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10" yWindow="240" windowWidth="13920" windowHeight="9225" tabRatio="814"/>
  </bookViews>
  <sheets>
    <sheet name="采购" sheetId="1" r:id="rId1"/>
    <sheet name="销售" sheetId="2" r:id="rId2"/>
    <sheet name="库存" sheetId="7" r:id="rId3"/>
    <sheet name="Ansell手套库存" sheetId="8" r:id="rId4"/>
    <sheet name="样品流向" sheetId="3" r:id="rId5"/>
    <sheet name="销售员取货" sheetId="5" r:id="rId6"/>
  </sheets>
  <definedNames>
    <definedName name="_xlnm._FilterDatabase" localSheetId="3" hidden="1">Ansell手套库存!$A$1:$G$40</definedName>
    <definedName name="_xlnm._FilterDatabase" localSheetId="0" hidden="1">采购!$A$1:$AF$936</definedName>
    <definedName name="_xlnm._FilterDatabase" localSheetId="2" hidden="1">库存!$A$1:$E$166</definedName>
    <definedName name="_xlnm._FilterDatabase" localSheetId="1" hidden="1">销售!$A$1:$AR$1818</definedName>
    <definedName name="_xlnm._FilterDatabase" localSheetId="5" hidden="1">销售员取货!$A$1:$G$45</definedName>
    <definedName name="_xlnm._FilterDatabase" localSheetId="4" hidden="1">样品流向!$A$1:$K$226</definedName>
    <definedName name="Z_E2EBE12A_2EEF_4ED6_A8ED_23574FF31B29_.wvu.FilterData" localSheetId="0" hidden="1">采购!$A$1:$AF$338</definedName>
    <definedName name="Z_E2EBE12A_2EEF_4ED6_A8ED_23574FF31B29_.wvu.FilterData" localSheetId="1" hidden="1">销售!$A$1:$AR$664</definedName>
    <definedName name="Z_E2EBE12A_2EEF_4ED6_A8ED_23574FF31B29_.wvu.FilterData" localSheetId="4" hidden="1">样品流向!$A$1:$H$150</definedName>
  </definedNames>
  <calcPr calcId="125725"/>
  <customWorkbookViews>
    <customWorkbookView name="微软用户 - 个人视图" guid="{E2EBE12A-2EEF-4ED6-A8ED-23574FF31B29}" mergeInterval="0" personalView="1" maximized="1" xWindow="1" yWindow="1" windowWidth="1280" windowHeight="530" activeSheetId="2"/>
  </customWorkbookViews>
</workbook>
</file>

<file path=xl/calcChain.xml><?xml version="1.0" encoding="utf-8"?>
<calcChain xmlns="http://schemas.openxmlformats.org/spreadsheetml/2006/main">
  <c r="I936" i="1"/>
  <c r="K1794" i="2"/>
  <c r="K1795"/>
  <c r="K1804"/>
  <c r="E17" i="7"/>
  <c r="C17"/>
  <c r="K1802" i="2"/>
  <c r="K1803"/>
  <c r="E32" i="7"/>
  <c r="C32"/>
  <c r="E28"/>
  <c r="C28"/>
  <c r="K1801" i="2"/>
  <c r="E15" i="7"/>
  <c r="C15"/>
  <c r="I1803" i="2"/>
  <c r="O1803" s="1"/>
  <c r="I1804"/>
  <c r="O1804" s="1"/>
  <c r="I1802"/>
  <c r="O1802" s="1"/>
  <c r="C92" i="7"/>
  <c r="K1799" i="2"/>
  <c r="K1805"/>
  <c r="E10" i="8"/>
  <c r="K1800" i="2"/>
  <c r="E154" i="7"/>
  <c r="C154"/>
  <c r="I1794" i="2"/>
  <c r="O1794" s="1"/>
  <c r="I1805"/>
  <c r="O1805" s="1"/>
  <c r="I1801"/>
  <c r="O1801" s="1"/>
  <c r="I1800"/>
  <c r="O1800" s="1"/>
  <c r="I1799"/>
  <c r="O1799" s="1"/>
  <c r="I935" i="1"/>
  <c r="I932"/>
  <c r="K1798" i="2"/>
  <c r="K1797"/>
  <c r="C16" i="7"/>
  <c r="K1796" i="2"/>
  <c r="I934" i="1"/>
  <c r="I933"/>
  <c r="I931"/>
  <c r="I930"/>
  <c r="I929"/>
  <c r="I1796" i="2"/>
  <c r="N1796" s="1"/>
  <c r="O1796" s="1"/>
  <c r="I927" i="1"/>
  <c r="K1793" i="2"/>
  <c r="C52" i="7"/>
  <c r="K1792" i="2"/>
  <c r="E100" i="7"/>
  <c r="C100"/>
  <c r="I1793" i="2"/>
  <c r="O1793" s="1"/>
  <c r="I1792"/>
  <c r="O1792" s="1"/>
  <c r="I1787"/>
  <c r="N1787" s="1"/>
  <c r="I1818"/>
  <c r="I1798"/>
  <c r="I1797"/>
  <c r="N1797" s="1"/>
  <c r="O1797" s="1"/>
  <c r="K1791"/>
  <c r="I928" i="1"/>
  <c r="I1817" i="2"/>
  <c r="I1795"/>
  <c r="N1795" s="1"/>
  <c r="K1790"/>
  <c r="K1789"/>
  <c r="E141" i="7"/>
  <c r="C141"/>
  <c r="C115"/>
  <c r="K1787" i="2"/>
  <c r="I1791"/>
  <c r="N1791" s="1"/>
  <c r="I1790"/>
  <c r="N1790" s="1"/>
  <c r="I1789"/>
  <c r="N1798" l="1"/>
  <c r="O1798" s="1"/>
  <c r="O1787"/>
  <c r="N1817"/>
  <c r="O1817" s="1"/>
  <c r="O1795"/>
  <c r="O1791"/>
  <c r="O1790"/>
  <c r="N1789"/>
  <c r="O1789" s="1"/>
  <c r="K1788"/>
  <c r="C51" i="7"/>
  <c r="I1788" i="2"/>
  <c r="O1788" s="1"/>
  <c r="I925" i="1" l="1"/>
  <c r="I926"/>
  <c r="K1759" i="2" l="1"/>
  <c r="I916" i="1"/>
  <c r="C53" i="7" l="1"/>
  <c r="I1816" i="2" l="1"/>
  <c r="O1816" s="1"/>
  <c r="I1815"/>
  <c r="O1815" s="1"/>
  <c r="I1806"/>
  <c r="K1785"/>
  <c r="E155" i="7"/>
  <c r="C155"/>
  <c r="I1785" i="2"/>
  <c r="O1785" s="1"/>
  <c r="N1777"/>
  <c r="O1777" s="1"/>
  <c r="N1806" l="1"/>
  <c r="O1806" s="1"/>
  <c r="C160" i="7"/>
  <c r="K1784" i="2"/>
  <c r="K1783"/>
  <c r="K1782"/>
  <c r="K1780"/>
  <c r="E158" i="7"/>
  <c r="C158"/>
  <c r="K1779" i="2"/>
  <c r="C113" i="7"/>
  <c r="E25" i="8"/>
  <c r="K1778" i="2"/>
  <c r="K1777"/>
  <c r="K1776"/>
  <c r="E88" i="7"/>
  <c r="C88"/>
  <c r="K1775" i="2"/>
  <c r="K1774"/>
  <c r="K1773"/>
  <c r="K1772"/>
  <c r="C6" i="7"/>
  <c r="I1784" i="2"/>
  <c r="I1772"/>
  <c r="I1773"/>
  <c r="I1774"/>
  <c r="I1775"/>
  <c r="I1776"/>
  <c r="I1778"/>
  <c r="I1779"/>
  <c r="I1780"/>
  <c r="I1781"/>
  <c r="I1782"/>
  <c r="I1783"/>
  <c r="I921" i="1"/>
  <c r="I922"/>
  <c r="I923"/>
  <c r="I924"/>
  <c r="I914"/>
  <c r="G37" i="8"/>
  <c r="N1774" i="2" l="1"/>
  <c r="O1774" s="1"/>
  <c r="N1780"/>
  <c r="O1780" s="1"/>
  <c r="N1779"/>
  <c r="O1779" s="1"/>
  <c r="N1784"/>
  <c r="O1784" s="1"/>
  <c r="N1781"/>
  <c r="O1781" s="1"/>
  <c r="N1776"/>
  <c r="O1776" s="1"/>
  <c r="N1772"/>
  <c r="O1772" s="1"/>
  <c r="N1783"/>
  <c r="O1783" s="1"/>
  <c r="N1775"/>
  <c r="O1775" s="1"/>
  <c r="N1782"/>
  <c r="O1782" s="1"/>
  <c r="N1778"/>
  <c r="O1778" s="1"/>
  <c r="N1773"/>
  <c r="O1773" s="1"/>
  <c r="K1753" l="1"/>
  <c r="I920" i="1"/>
  <c r="K1771" i="2"/>
  <c r="I1771"/>
  <c r="O1771" s="1"/>
  <c r="K1766"/>
  <c r="K1758"/>
  <c r="K1755"/>
  <c r="K1754"/>
  <c r="K1770"/>
  <c r="E14" i="7"/>
  <c r="C14"/>
  <c r="K1769" i="2"/>
  <c r="I919" i="1"/>
  <c r="K1760" i="2"/>
  <c r="K1756"/>
  <c r="C3" i="7"/>
  <c r="K1750" i="2"/>
  <c r="K1749"/>
  <c r="K1732"/>
  <c r="K1729"/>
  <c r="E4" i="7"/>
  <c r="C4"/>
  <c r="K1736" i="2"/>
  <c r="E27" i="7"/>
  <c r="C27"/>
  <c r="K1747" i="2"/>
  <c r="K1746"/>
  <c r="K1745"/>
  <c r="K1748"/>
  <c r="K1768"/>
  <c r="K1751"/>
  <c r="C10" i="7"/>
  <c r="K1744" i="2"/>
  <c r="K1743"/>
  <c r="E101" i="7"/>
  <c r="C101"/>
  <c r="C5"/>
  <c r="K1767" i="2"/>
  <c r="K1764"/>
  <c r="K1742"/>
  <c r="K1763"/>
  <c r="E9" i="7"/>
  <c r="C9"/>
  <c r="K1737" i="2"/>
  <c r="K1741"/>
  <c r="K1762"/>
  <c r="E7" i="7"/>
  <c r="C7"/>
  <c r="K1740" i="2"/>
  <c r="K1765"/>
  <c r="K1738"/>
  <c r="K1739"/>
  <c r="K1757"/>
  <c r="E113" i="7"/>
  <c r="I918" i="1"/>
  <c r="C62" i="7"/>
  <c r="I915" i="1"/>
  <c r="I899"/>
  <c r="I917"/>
  <c r="K1761" i="2"/>
  <c r="I913" i="1"/>
  <c r="I1770" i="2"/>
  <c r="I1769"/>
  <c r="I1768"/>
  <c r="K1735" l="1"/>
  <c r="I912" i="1"/>
  <c r="I1735" i="2"/>
  <c r="O1735" s="1"/>
  <c r="E152" i="7"/>
  <c r="C152"/>
  <c r="I911" i="1"/>
  <c r="I910"/>
  <c r="I909"/>
  <c r="K1734" i="2"/>
  <c r="I1734"/>
  <c r="N1734" l="1"/>
  <c r="O1734" s="1"/>
  <c r="I908" i="1"/>
  <c r="I904"/>
  <c r="I905"/>
  <c r="I906"/>
  <c r="I907"/>
  <c r="I903"/>
  <c r="I1767" i="2"/>
  <c r="K1752"/>
  <c r="I1752"/>
  <c r="O1752" s="1"/>
  <c r="I1766"/>
  <c r="I1765"/>
  <c r="N1766" l="1"/>
  <c r="O1766" s="1"/>
  <c r="N1765"/>
  <c r="O1765" s="1"/>
  <c r="I1809"/>
  <c r="O1809" s="1"/>
  <c r="I1810"/>
  <c r="O1810" s="1"/>
  <c r="I1811"/>
  <c r="O1811" s="1"/>
  <c r="I1812"/>
  <c r="O1812" s="1"/>
  <c r="I1808"/>
  <c r="O1808" s="1"/>
  <c r="I901" i="1"/>
  <c r="K1728" i="2"/>
  <c r="K1727"/>
  <c r="K1726"/>
  <c r="I1726"/>
  <c r="N1726" s="1"/>
  <c r="O1726" s="1"/>
  <c r="I1727"/>
  <c r="I1728"/>
  <c r="K1725"/>
  <c r="E51" i="7"/>
  <c r="K1724" i="2"/>
  <c r="E31" i="7"/>
  <c r="C31"/>
  <c r="I1725" i="2"/>
  <c r="I1724"/>
  <c r="N1724" s="1"/>
  <c r="I1754"/>
  <c r="O1754" s="1"/>
  <c r="K1731"/>
  <c r="K1730"/>
  <c r="I902" i="1"/>
  <c r="N1727" i="2" l="1"/>
  <c r="O1727" s="1"/>
  <c r="N1728"/>
  <c r="O1728" s="1"/>
  <c r="N1725"/>
  <c r="O1725" s="1"/>
  <c r="O1724"/>
  <c r="I1732"/>
  <c r="N1732" s="1"/>
  <c r="O1732" l="1"/>
  <c r="K1733"/>
  <c r="I900" i="1"/>
  <c r="I1733" i="2"/>
  <c r="O1733" s="1"/>
  <c r="I1807"/>
  <c r="N1807" s="1"/>
  <c r="I1764"/>
  <c r="N1764" s="1"/>
  <c r="I1763"/>
  <c r="N1763" s="1"/>
  <c r="I1762"/>
  <c r="N1762" s="1"/>
  <c r="I1761"/>
  <c r="N1761" s="1"/>
  <c r="I1760"/>
  <c r="N1760" s="1"/>
  <c r="I1759"/>
  <c r="N1759" s="1"/>
  <c r="I1758"/>
  <c r="N1758" s="1"/>
  <c r="K1722"/>
  <c r="O1807" l="1"/>
  <c r="O1764"/>
  <c r="O1763"/>
  <c r="O1762"/>
  <c r="O1761"/>
  <c r="O1760"/>
  <c r="O1759"/>
  <c r="O1758"/>
  <c r="I1731" l="1"/>
  <c r="N1731" s="1"/>
  <c r="I1730"/>
  <c r="N1730" s="1"/>
  <c r="K1723"/>
  <c r="I1757"/>
  <c r="N1757" s="1"/>
  <c r="I1729"/>
  <c r="N1729" s="1"/>
  <c r="O1731" l="1"/>
  <c r="O1730"/>
  <c r="O1757"/>
  <c r="O1729"/>
  <c r="I898" i="1"/>
  <c r="I897"/>
  <c r="I896" l="1"/>
  <c r="K1786" i="2"/>
  <c r="I1786"/>
  <c r="I895" i="1"/>
  <c r="K1720" i="2"/>
  <c r="I1723"/>
  <c r="I894" i="1"/>
  <c r="E84" i="7"/>
  <c r="C84"/>
  <c r="K1717" i="2"/>
  <c r="K1718"/>
  <c r="N1786" l="1"/>
  <c r="O1786" s="1"/>
  <c r="N1723"/>
  <c r="O1723" s="1"/>
  <c r="I1718"/>
  <c r="N1718" s="1"/>
  <c r="I1722"/>
  <c r="N1722" s="1"/>
  <c r="O1722" s="1"/>
  <c r="O1718" l="1"/>
  <c r="K1716"/>
  <c r="K1715"/>
  <c r="K1714"/>
  <c r="K1713"/>
  <c r="K1711"/>
  <c r="K1710" l="1"/>
  <c r="K1709"/>
  <c r="I1710"/>
  <c r="O1710" s="1"/>
  <c r="I1709"/>
  <c r="O1709" s="1"/>
  <c r="I1756"/>
  <c r="I1755"/>
  <c r="I1717"/>
  <c r="I1716"/>
  <c r="I1715"/>
  <c r="I1714"/>
  <c r="I1713"/>
  <c r="I892" i="1"/>
  <c r="I889"/>
  <c r="I890"/>
  <c r="I891"/>
  <c r="I888"/>
  <c r="K1712" i="2"/>
  <c r="E90" i="7"/>
  <c r="C90"/>
  <c r="I1712" i="2"/>
  <c r="I1751"/>
  <c r="O1751" s="1"/>
  <c r="K1721"/>
  <c r="C13" i="7"/>
  <c r="K1719" i="2"/>
  <c r="K1701"/>
  <c r="I893" i="1"/>
  <c r="I887"/>
  <c r="K1702" i="2"/>
  <c r="E3" i="7"/>
  <c r="K1708" i="2"/>
  <c r="I1708"/>
  <c r="N1708" s="1"/>
  <c r="C12" i="7"/>
  <c r="E12" s="1"/>
  <c r="K1699" i="2"/>
  <c r="K1698"/>
  <c r="K1697"/>
  <c r="E49" i="7"/>
  <c r="C49"/>
  <c r="I1711" i="2"/>
  <c r="K1700"/>
  <c r="I1700"/>
  <c r="N1712" l="1"/>
  <c r="O1712" s="1"/>
  <c r="N1700"/>
  <c r="O1700" s="1"/>
  <c r="N1755"/>
  <c r="O1755" s="1"/>
  <c r="N1756"/>
  <c r="O1756" s="1"/>
  <c r="N1716"/>
  <c r="O1716" s="1"/>
  <c r="N1715"/>
  <c r="O1715" s="1"/>
  <c r="N1714"/>
  <c r="O1714" s="1"/>
  <c r="N1717"/>
  <c r="O1717" s="1"/>
  <c r="N1711"/>
  <c r="O1711" s="1"/>
  <c r="N1713"/>
  <c r="O1713" s="1"/>
  <c r="O1708"/>
  <c r="K1695"/>
  <c r="K1694"/>
  <c r="K1693"/>
  <c r="K1692"/>
  <c r="K1696"/>
  <c r="I886" i="1"/>
  <c r="K1707" i="2"/>
  <c r="K1706"/>
  <c r="K1705"/>
  <c r="K1703"/>
  <c r="K1704"/>
  <c r="I1707"/>
  <c r="O1707" s="1"/>
  <c r="I1706"/>
  <c r="O1706" s="1"/>
  <c r="I1705"/>
  <c r="O1705" s="1"/>
  <c r="I1704"/>
  <c r="O1704" s="1"/>
  <c r="I1703"/>
  <c r="O1703" s="1"/>
  <c r="I1696" l="1"/>
  <c r="O1696" s="1"/>
  <c r="I1695"/>
  <c r="O1695" s="1"/>
  <c r="I1694"/>
  <c r="O1694" s="1"/>
  <c r="I1693"/>
  <c r="O1693" s="1"/>
  <c r="I1692"/>
  <c r="O1692" s="1"/>
  <c r="I1736" l="1"/>
  <c r="I1753"/>
  <c r="I1699"/>
  <c r="I1737"/>
  <c r="I1698"/>
  <c r="I1697"/>
  <c r="I1702"/>
  <c r="I1721"/>
  <c r="I1720"/>
  <c r="I1719"/>
  <c r="I885" i="1"/>
  <c r="I884"/>
  <c r="N1720" i="2" l="1"/>
  <c r="O1720" s="1"/>
  <c r="N1719"/>
  <c r="O1719" s="1"/>
  <c r="N1721"/>
  <c r="O1721" s="1"/>
  <c r="N1736"/>
  <c r="O1736" s="1"/>
  <c r="N1697"/>
  <c r="O1697" s="1"/>
  <c r="N1699"/>
  <c r="O1699" s="1"/>
  <c r="N1698"/>
  <c r="O1698" s="1"/>
  <c r="N1753"/>
  <c r="O1753" s="1"/>
  <c r="N1737"/>
  <c r="O1737" s="1"/>
  <c r="N1702"/>
  <c r="O1702" s="1"/>
  <c r="K1691"/>
  <c r="K1690"/>
  <c r="K1689"/>
  <c r="K1688"/>
  <c r="I883" i="1"/>
  <c r="I882"/>
  <c r="I881"/>
  <c r="I880"/>
  <c r="I1747" i="2" l="1"/>
  <c r="O1747" s="1"/>
  <c r="I1748"/>
  <c r="O1748" s="1"/>
  <c r="I1749"/>
  <c r="O1749" s="1"/>
  <c r="I1750"/>
  <c r="O1750" s="1"/>
  <c r="I1745"/>
  <c r="O1745" s="1"/>
  <c r="I1746"/>
  <c r="O1746" s="1"/>
  <c r="I1744"/>
  <c r="O1744" s="1"/>
  <c r="I1743"/>
  <c r="O1743" s="1"/>
  <c r="I1742"/>
  <c r="O1742" s="1"/>
  <c r="I1741"/>
  <c r="O1741" s="1"/>
  <c r="I1740"/>
  <c r="O1740" s="1"/>
  <c r="I1739"/>
  <c r="O1739" s="1"/>
  <c r="I1738"/>
  <c r="O1738" s="1"/>
  <c r="E116" i="7"/>
  <c r="C116"/>
  <c r="K1040" i="2" l="1"/>
  <c r="K992"/>
  <c r="K322"/>
  <c r="K192"/>
  <c r="G3" i="8" l="1"/>
  <c r="K1684" i="2"/>
  <c r="I1684"/>
  <c r="O1684" s="1"/>
  <c r="K1687" l="1"/>
  <c r="G8" i="8"/>
  <c r="E7"/>
  <c r="E9"/>
  <c r="K1683" i="2"/>
  <c r="E59" i="7"/>
  <c r="C59"/>
  <c r="I1688" i="2" l="1"/>
  <c r="O1688" s="1"/>
  <c r="I1689"/>
  <c r="O1689" s="1"/>
  <c r="I1690"/>
  <c r="O1690" s="1"/>
  <c r="I1691"/>
  <c r="O1691" s="1"/>
  <c r="K1685"/>
  <c r="I1685"/>
  <c r="O1685" s="1"/>
  <c r="N37"/>
  <c r="O37" s="1"/>
  <c r="N123"/>
  <c r="O123" s="1"/>
  <c r="N272"/>
  <c r="O272" s="1"/>
  <c r="N273"/>
  <c r="O273" s="1"/>
  <c r="N274"/>
  <c r="O274" s="1"/>
  <c r="N275"/>
  <c r="O275" s="1"/>
  <c r="N276"/>
  <c r="O276" s="1"/>
  <c r="N277"/>
  <c r="O277" s="1"/>
  <c r="N278"/>
  <c r="O278" s="1"/>
  <c r="N344"/>
  <c r="O344" s="1"/>
  <c r="N345"/>
  <c r="O345" s="1"/>
  <c r="N346"/>
  <c r="O346" s="1"/>
  <c r="N347"/>
  <c r="O347" s="1"/>
  <c r="N348"/>
  <c r="O348" s="1"/>
  <c r="N350"/>
  <c r="O350" s="1"/>
  <c r="N422"/>
  <c r="O422" s="1"/>
  <c r="N446"/>
  <c r="O446" s="1"/>
  <c r="N975"/>
  <c r="O975" s="1"/>
  <c r="N1299"/>
  <c r="O1299" s="1"/>
  <c r="K1682" l="1"/>
  <c r="I1682"/>
  <c r="O1682" s="1"/>
  <c r="K1681"/>
  <c r="I1681"/>
  <c r="O1681" s="1"/>
  <c r="I879" i="1"/>
  <c r="I878"/>
  <c r="K1677" i="2"/>
  <c r="K1678"/>
  <c r="K1680"/>
  <c r="K1679"/>
  <c r="K1676"/>
  <c r="I1680"/>
  <c r="O1680" s="1"/>
  <c r="I1679"/>
  <c r="O1679" s="1"/>
  <c r="I1678"/>
  <c r="O1678" s="1"/>
  <c r="I1677"/>
  <c r="O1677" s="1"/>
  <c r="I1676"/>
  <c r="O1676" s="1"/>
  <c r="K1675" l="1"/>
  <c r="C30" i="7"/>
  <c r="E27" i="8" l="1"/>
  <c r="E23"/>
  <c r="E34"/>
  <c r="I877" i="1" l="1"/>
  <c r="I876"/>
  <c r="I875"/>
  <c r="I874"/>
  <c r="I873"/>
  <c r="K1671" i="2"/>
  <c r="K1670"/>
  <c r="K1668"/>
  <c r="K1667"/>
  <c r="I1675"/>
  <c r="I1581"/>
  <c r="N1581" s="1"/>
  <c r="K1674"/>
  <c r="C163" i="7"/>
  <c r="I1674" i="2"/>
  <c r="I1673"/>
  <c r="I872" i="1"/>
  <c r="I871"/>
  <c r="I870"/>
  <c r="I869"/>
  <c r="I868"/>
  <c r="K1673" i="2"/>
  <c r="K1672"/>
  <c r="I1672"/>
  <c r="I1671"/>
  <c r="O1671" s="1"/>
  <c r="I1670"/>
  <c r="O1670" s="1"/>
  <c r="K1658"/>
  <c r="K1660"/>
  <c r="K1657"/>
  <c r="K1669"/>
  <c r="I1669"/>
  <c r="O1669" s="1"/>
  <c r="K1661"/>
  <c r="K1662"/>
  <c r="N1675" l="1"/>
  <c r="O1675" s="1"/>
  <c r="N1674"/>
  <c r="O1674" s="1"/>
  <c r="N1673"/>
  <c r="O1673" s="1"/>
  <c r="N1672"/>
  <c r="O1672" s="1"/>
  <c r="O1581"/>
  <c r="C2" i="7"/>
  <c r="I1652" i="2" l="1"/>
  <c r="I1653"/>
  <c r="I1654"/>
  <c r="I1655"/>
  <c r="I1656"/>
  <c r="C80" i="7"/>
  <c r="K1651" i="2"/>
  <c r="I1651"/>
  <c r="E128" i="7"/>
  <c r="C128"/>
  <c r="I1650" i="2"/>
  <c r="C33" i="7"/>
  <c r="K1666" i="2"/>
  <c r="K1664"/>
  <c r="K1665"/>
  <c r="I1668"/>
  <c r="O1668" s="1"/>
  <c r="I1667"/>
  <c r="O1667" s="1"/>
  <c r="I1666"/>
  <c r="O1666" s="1"/>
  <c r="I1665"/>
  <c r="O1665" s="1"/>
  <c r="I1664"/>
  <c r="O1664" s="1"/>
  <c r="K1663"/>
  <c r="E93" i="7"/>
  <c r="C93"/>
  <c r="K1659" i="2"/>
  <c r="I867" i="1"/>
  <c r="I1683" i="2"/>
  <c r="I1814"/>
  <c r="O1814" s="1"/>
  <c r="I1813"/>
  <c r="O1813" s="1"/>
  <c r="I1701"/>
  <c r="I866" i="1"/>
  <c r="I865"/>
  <c r="I1662" i="2"/>
  <c r="I1663"/>
  <c r="I1661"/>
  <c r="N1701" l="1"/>
  <c r="O1701" s="1"/>
  <c r="N1683"/>
  <c r="O1683" s="1"/>
  <c r="N1652"/>
  <c r="O1652" s="1"/>
  <c r="N1653"/>
  <c r="O1653" s="1"/>
  <c r="N1650"/>
  <c r="O1650" s="1"/>
  <c r="N1654"/>
  <c r="O1654" s="1"/>
  <c r="N1656"/>
  <c r="O1656" s="1"/>
  <c r="N1662"/>
  <c r="O1662" s="1"/>
  <c r="N1663"/>
  <c r="O1663" s="1"/>
  <c r="N1661"/>
  <c r="O1661" s="1"/>
  <c r="N1651"/>
  <c r="O1651" s="1"/>
  <c r="N1655"/>
  <c r="O1655" s="1"/>
  <c r="I1660"/>
  <c r="I1659"/>
  <c r="I1658"/>
  <c r="O1658" s="1"/>
  <c r="I1687"/>
  <c r="O1687" s="1"/>
  <c r="I1686"/>
  <c r="O1686" s="1"/>
  <c r="I1657"/>
  <c r="O1657" s="1"/>
  <c r="K1649"/>
  <c r="K1648"/>
  <c r="K1647"/>
  <c r="I864" i="1"/>
  <c r="I1649" i="2"/>
  <c r="I1648"/>
  <c r="I1647"/>
  <c r="K1646"/>
  <c r="I1646"/>
  <c r="I863" i="1"/>
  <c r="K1645" i="2"/>
  <c r="K1644"/>
  <c r="K1642"/>
  <c r="K1643"/>
  <c r="I1645"/>
  <c r="I1644"/>
  <c r="I1643"/>
  <c r="I1642"/>
  <c r="N1659" l="1"/>
  <c r="O1659" s="1"/>
  <c r="N1660"/>
  <c r="O1660" s="1"/>
  <c r="N1647"/>
  <c r="O1647" s="1"/>
  <c r="N1645"/>
  <c r="O1645" s="1"/>
  <c r="N1644"/>
  <c r="O1644" s="1"/>
  <c r="N1643"/>
  <c r="O1643" s="1"/>
  <c r="N1646"/>
  <c r="O1646" s="1"/>
  <c r="N1649"/>
  <c r="O1649" s="1"/>
  <c r="N1642"/>
  <c r="O1642" s="1"/>
  <c r="N1648"/>
  <c r="O1648" s="1"/>
  <c r="K1640"/>
  <c r="K1639"/>
  <c r="K1638"/>
  <c r="K1637"/>
  <c r="K1636"/>
  <c r="K1635"/>
  <c r="K1634"/>
  <c r="K1633"/>
  <c r="K1632"/>
  <c r="K1641" l="1"/>
  <c r="I1641"/>
  <c r="O1641" s="1"/>
  <c r="I834" i="1"/>
  <c r="I860"/>
  <c r="I861"/>
  <c r="I862"/>
  <c r="I859"/>
  <c r="I858"/>
  <c r="I857"/>
  <c r="I856"/>
  <c r="I855"/>
  <c r="I854"/>
  <c r="I853"/>
  <c r="I852"/>
  <c r="K1631" i="2"/>
  <c r="I1631"/>
  <c r="O1631" s="1"/>
  <c r="K1630"/>
  <c r="E33" i="8"/>
  <c r="I1630" i="2"/>
  <c r="I1629"/>
  <c r="I1628"/>
  <c r="I1627"/>
  <c r="I1626"/>
  <c r="K1628"/>
  <c r="K1627"/>
  <c r="K1626"/>
  <c r="N1629" l="1"/>
  <c r="O1629" s="1"/>
  <c r="N1628"/>
  <c r="O1628" s="1"/>
  <c r="N1627"/>
  <c r="O1627" s="1"/>
  <c r="N1626"/>
  <c r="O1626" s="1"/>
  <c r="N1630"/>
  <c r="O1630" s="1"/>
  <c r="I851" i="1"/>
  <c r="I1637" i="2"/>
  <c r="O1637" s="1"/>
  <c r="I1638"/>
  <c r="O1638" s="1"/>
  <c r="I1639"/>
  <c r="O1639" s="1"/>
  <c r="I1640"/>
  <c r="O1640" s="1"/>
  <c r="I850" i="1"/>
  <c r="I849"/>
  <c r="I848"/>
  <c r="I847"/>
  <c r="I846"/>
  <c r="I845"/>
  <c r="I844"/>
  <c r="I843"/>
  <c r="I842"/>
  <c r="I841"/>
  <c r="I840"/>
  <c r="K1623" i="2" l="1"/>
  <c r="K1621"/>
  <c r="K1622"/>
  <c r="I1621"/>
  <c r="I1622"/>
  <c r="I1623"/>
  <c r="K1620"/>
  <c r="I1620"/>
  <c r="K1619"/>
  <c r="I1619"/>
  <c r="O1619" s="1"/>
  <c r="N1622" l="1"/>
  <c r="O1622" s="1"/>
  <c r="N1623"/>
  <c r="O1623" s="1"/>
  <c r="N1620"/>
  <c r="O1620" s="1"/>
  <c r="N1621"/>
  <c r="O1621" s="1"/>
  <c r="K1616"/>
  <c r="I1616"/>
  <c r="O1616" s="1"/>
  <c r="K1197"/>
  <c r="K1196"/>
  <c r="K1195"/>
  <c r="K1613"/>
  <c r="K1612"/>
  <c r="K1611"/>
  <c r="K1609"/>
  <c r="K1610"/>
  <c r="I836" i="1"/>
  <c r="I837"/>
  <c r="I838"/>
  <c r="I839"/>
  <c r="K1615" i="2"/>
  <c r="K1614"/>
  <c r="I1613"/>
  <c r="O1613" s="1"/>
  <c r="I1614"/>
  <c r="O1614" s="1"/>
  <c r="I1615"/>
  <c r="O1615" s="1"/>
  <c r="I1612"/>
  <c r="O1612" s="1"/>
  <c r="I835" i="1"/>
  <c r="E161" i="7"/>
  <c r="C161"/>
  <c r="K1194" i="2"/>
  <c r="K1193"/>
  <c r="K1192"/>
  <c r="K1191"/>
  <c r="K1190"/>
  <c r="K1189"/>
  <c r="K1188"/>
  <c r="E111" i="7"/>
  <c r="C111"/>
  <c r="C164"/>
  <c r="K1608" i="2"/>
  <c r="I1608"/>
  <c r="N1608" l="1"/>
  <c r="O1608" s="1"/>
  <c r="I833" i="1"/>
  <c r="K1607" i="2"/>
  <c r="K1606"/>
  <c r="K1605"/>
  <c r="K1604"/>
  <c r="I1607"/>
  <c r="O1607" s="1"/>
  <c r="I1606"/>
  <c r="O1606" s="1"/>
  <c r="I1605"/>
  <c r="O1605" s="1"/>
  <c r="I1604"/>
  <c r="O1604" s="1"/>
  <c r="I1611"/>
  <c r="O1611" s="1"/>
  <c r="I1610"/>
  <c r="O1610" s="1"/>
  <c r="I1609"/>
  <c r="O1609" s="1"/>
  <c r="K1618" l="1"/>
  <c r="K1570"/>
  <c r="K1454"/>
  <c r="K1319"/>
  <c r="K577"/>
  <c r="I1618"/>
  <c r="O1618" s="1"/>
  <c r="K1617" l="1"/>
  <c r="I1617"/>
  <c r="O1617" s="1"/>
  <c r="C65" i="7"/>
  <c r="C11" l="1"/>
  <c r="K1601" i="2"/>
  <c r="K1602" l="1"/>
  <c r="K1603"/>
  <c r="I1603" l="1"/>
  <c r="I1602"/>
  <c r="I1601"/>
  <c r="I832" i="1"/>
  <c r="K1586" i="2"/>
  <c r="I1586"/>
  <c r="I831" i="1"/>
  <c r="N1601" i="2" l="1"/>
  <c r="O1601" s="1"/>
  <c r="N1586"/>
  <c r="O1586" s="1"/>
  <c r="N1603"/>
  <c r="O1603" s="1"/>
  <c r="N1602"/>
  <c r="O1602" s="1"/>
  <c r="K1593"/>
  <c r="K1584"/>
  <c r="K1583"/>
  <c r="K1585"/>
  <c r="I1585"/>
  <c r="I1584"/>
  <c r="I1583"/>
  <c r="K1582"/>
  <c r="I1582"/>
  <c r="I830" i="1"/>
  <c r="I829"/>
  <c r="I828"/>
  <c r="I827"/>
  <c r="K1592" i="2"/>
  <c r="K1589"/>
  <c r="K1588"/>
  <c r="K1587"/>
  <c r="E13" i="8"/>
  <c r="E32"/>
  <c r="K1581" i="2"/>
  <c r="K1598"/>
  <c r="I1598"/>
  <c r="O1598" s="1"/>
  <c r="N1582" l="1"/>
  <c r="O1582" s="1"/>
  <c r="N1585"/>
  <c r="O1585" s="1"/>
  <c r="N1584"/>
  <c r="O1584" s="1"/>
  <c r="N1583"/>
  <c r="O1583" s="1"/>
  <c r="I1632"/>
  <c r="I1633"/>
  <c r="I1634"/>
  <c r="I1635"/>
  <c r="I1636"/>
  <c r="I826" i="1"/>
  <c r="I825"/>
  <c r="K1577" i="2"/>
  <c r="I1577"/>
  <c r="N1636" l="1"/>
  <c r="O1636" s="1"/>
  <c r="N1632"/>
  <c r="O1632" s="1"/>
  <c r="N1633"/>
  <c r="O1633" s="1"/>
  <c r="N1634"/>
  <c r="O1634" s="1"/>
  <c r="N1635"/>
  <c r="O1635" s="1"/>
  <c r="N1577"/>
  <c r="O1577" s="1"/>
  <c r="K1579"/>
  <c r="K1578"/>
  <c r="K1580"/>
  <c r="I1580"/>
  <c r="I1579"/>
  <c r="I1578"/>
  <c r="K1596"/>
  <c r="I1596"/>
  <c r="N1578" l="1"/>
  <c r="O1578" s="1"/>
  <c r="N1580"/>
  <c r="O1580" s="1"/>
  <c r="N1579"/>
  <c r="O1579" s="1"/>
  <c r="N1596"/>
  <c r="O1596" s="1"/>
  <c r="K1625"/>
  <c r="K1624"/>
  <c r="I823" i="1"/>
  <c r="I822"/>
  <c r="I821"/>
  <c r="I824"/>
  <c r="I820"/>
  <c r="K1597" i="2" l="1"/>
  <c r="K1576"/>
  <c r="I1576"/>
  <c r="K1575"/>
  <c r="K1574"/>
  <c r="K1573"/>
  <c r="I1574"/>
  <c r="O1574" s="1"/>
  <c r="I1575"/>
  <c r="O1575" s="1"/>
  <c r="I1573"/>
  <c r="O1573" s="1"/>
  <c r="K1572"/>
  <c r="I1572"/>
  <c r="I819" i="1"/>
  <c r="I817"/>
  <c r="I818"/>
  <c r="N1576" i="2" l="1"/>
  <c r="O1576" s="1"/>
  <c r="N1572"/>
  <c r="O1572" s="1"/>
  <c r="I1593"/>
  <c r="O1593" s="1"/>
  <c r="I1592"/>
  <c r="O1592" s="1"/>
  <c r="I1591"/>
  <c r="O1591" s="1"/>
  <c r="I1590"/>
  <c r="O1590" s="1"/>
  <c r="I1589"/>
  <c r="O1589" s="1"/>
  <c r="I1588"/>
  <c r="O1588" s="1"/>
  <c r="I1587"/>
  <c r="O1587" s="1"/>
  <c r="I816" i="1"/>
  <c r="I815"/>
  <c r="K1600" i="2"/>
  <c r="K1599"/>
  <c r="I814" i="1"/>
  <c r="I813"/>
  <c r="I812"/>
  <c r="I811"/>
  <c r="I810"/>
  <c r="E31" i="8" l="1"/>
  <c r="E26"/>
  <c r="E24"/>
  <c r="E21"/>
  <c r="E19"/>
  <c r="E18"/>
  <c r="E11"/>
  <c r="E12"/>
  <c r="K1569" i="2"/>
  <c r="I809" i="1"/>
  <c r="I1571" i="2"/>
  <c r="I1600"/>
  <c r="I1599"/>
  <c r="I1597"/>
  <c r="I1625"/>
  <c r="I1624"/>
  <c r="N1625" l="1"/>
  <c r="O1625" s="1"/>
  <c r="N1624"/>
  <c r="O1624" s="1"/>
  <c r="N1599"/>
  <c r="O1599" s="1"/>
  <c r="N1571"/>
  <c r="O1571" s="1"/>
  <c r="N1600"/>
  <c r="O1600" s="1"/>
  <c r="N1597"/>
  <c r="O1597" s="1"/>
  <c r="K1562"/>
  <c r="K1561"/>
  <c r="E26" i="7"/>
  <c r="C26"/>
  <c r="I1562" i="2"/>
  <c r="I1561"/>
  <c r="K1563"/>
  <c r="K1564"/>
  <c r="K1567"/>
  <c r="K1566"/>
  <c r="K1565"/>
  <c r="K1559"/>
  <c r="C35" i="7"/>
  <c r="I1559" i="2"/>
  <c r="I1567"/>
  <c r="I1566"/>
  <c r="I1565"/>
  <c r="I1564"/>
  <c r="I1563"/>
  <c r="K1560"/>
  <c r="I1560"/>
  <c r="N1560" l="1"/>
  <c r="O1560" s="1"/>
  <c r="N1562"/>
  <c r="O1562" s="1"/>
  <c r="N1564"/>
  <c r="O1564" s="1"/>
  <c r="N1561"/>
  <c r="O1561" s="1"/>
  <c r="N1566"/>
  <c r="O1566" s="1"/>
  <c r="N1565"/>
  <c r="O1565" s="1"/>
  <c r="N1559"/>
  <c r="O1559" s="1"/>
  <c r="N1563"/>
  <c r="O1563" s="1"/>
  <c r="N1567"/>
  <c r="O1567" s="1"/>
  <c r="K1523"/>
  <c r="I808" i="1"/>
  <c r="I807"/>
  <c r="K1595" i="2"/>
  <c r="K1594"/>
  <c r="I1595"/>
  <c r="I1594"/>
  <c r="N1595" l="1"/>
  <c r="O1595" s="1"/>
  <c r="N1594"/>
  <c r="O1594" s="1"/>
  <c r="K1555"/>
  <c r="I1555"/>
  <c r="O1555" s="1"/>
  <c r="I1554"/>
  <c r="O1554" s="1"/>
  <c r="K1554"/>
  <c r="K1556"/>
  <c r="I1556"/>
  <c r="O1556" s="1"/>
  <c r="K1553"/>
  <c r="K1551"/>
  <c r="K1552"/>
  <c r="K1550"/>
  <c r="I1553"/>
  <c r="I1552"/>
  <c r="I1551"/>
  <c r="I1550"/>
  <c r="N1553" l="1"/>
  <c r="O1553" s="1"/>
  <c r="N1552"/>
  <c r="O1552" s="1"/>
  <c r="N1551"/>
  <c r="O1551" s="1"/>
  <c r="N1550"/>
  <c r="O1550" s="1"/>
  <c r="K1558"/>
  <c r="I1558"/>
  <c r="O1558" s="1"/>
  <c r="I806" i="1"/>
  <c r="K1557" i="2" l="1"/>
  <c r="I790" i="1"/>
  <c r="K1548" i="2" l="1"/>
  <c r="I1548"/>
  <c r="O1548" s="1"/>
  <c r="K1547"/>
  <c r="I1547"/>
  <c r="I1546"/>
  <c r="O1546" s="1"/>
  <c r="K1546"/>
  <c r="I805" i="1"/>
  <c r="N1547" i="2" l="1"/>
  <c r="O1547" s="1"/>
  <c r="I804" i="1"/>
  <c r="K1545" i="2"/>
  <c r="K1544"/>
  <c r="I1545"/>
  <c r="I1544"/>
  <c r="K1549"/>
  <c r="I802" i="1"/>
  <c r="I803"/>
  <c r="K1543" i="2"/>
  <c r="I1543"/>
  <c r="I1549"/>
  <c r="N1545" l="1"/>
  <c r="O1545" s="1"/>
  <c r="N1544"/>
  <c r="O1544" s="1"/>
  <c r="N1549"/>
  <c r="O1549" s="1"/>
  <c r="N1543"/>
  <c r="O1543" s="1"/>
  <c r="K1538" l="1"/>
  <c r="K1537"/>
  <c r="K1542"/>
  <c r="K1541"/>
  <c r="K1540"/>
  <c r="K1539"/>
  <c r="I1541"/>
  <c r="I1542"/>
  <c r="I1540"/>
  <c r="I1539"/>
  <c r="I800" i="1"/>
  <c r="I801"/>
  <c r="K1519" i="2"/>
  <c r="I799" i="1"/>
  <c r="I1538" i="2"/>
  <c r="N1540" l="1"/>
  <c r="O1540" s="1"/>
  <c r="N1539"/>
  <c r="O1539" s="1"/>
  <c r="N1541"/>
  <c r="O1541" s="1"/>
  <c r="N1542"/>
  <c r="O1542" s="1"/>
  <c r="N1538"/>
  <c r="O1538" s="1"/>
  <c r="K1532"/>
  <c r="K1531"/>
  <c r="K1530"/>
  <c r="K1529"/>
  <c r="K1568"/>
  <c r="I1570"/>
  <c r="I1569"/>
  <c r="I1568"/>
  <c r="N1569" l="1"/>
  <c r="O1569" s="1"/>
  <c r="N1568"/>
  <c r="O1568" s="1"/>
  <c r="N1570"/>
  <c r="O1570" s="1"/>
  <c r="K1526"/>
  <c r="K1527"/>
  <c r="I1527"/>
  <c r="I1526"/>
  <c r="K1521"/>
  <c r="K1520"/>
  <c r="I1521"/>
  <c r="I1520"/>
  <c r="K1528"/>
  <c r="K1515"/>
  <c r="E63" i="7"/>
  <c r="C63"/>
  <c r="I1515" i="2"/>
  <c r="I798" i="1"/>
  <c r="K1514" i="2"/>
  <c r="I1514"/>
  <c r="O1514" s="1"/>
  <c r="I797" i="1"/>
  <c r="I796"/>
  <c r="I795"/>
  <c r="I794"/>
  <c r="K1534" i="2"/>
  <c r="K1518"/>
  <c r="K1517"/>
  <c r="K1516"/>
  <c r="I793" i="1"/>
  <c r="I792"/>
  <c r="I1504" i="2"/>
  <c r="K1525"/>
  <c r="K1513"/>
  <c r="I1513"/>
  <c r="K1522"/>
  <c r="I791" i="1"/>
  <c r="I1519" i="2"/>
  <c r="I1518"/>
  <c r="O1518" s="1"/>
  <c r="I1517"/>
  <c r="I1516"/>
  <c r="I1537"/>
  <c r="I1522"/>
  <c r="E110" i="7"/>
  <c r="C110"/>
  <c r="K1506" i="2"/>
  <c r="I1506"/>
  <c r="K1482"/>
  <c r="K1512"/>
  <c r="K1510"/>
  <c r="K1509"/>
  <c r="K1508"/>
  <c r="K1507"/>
  <c r="K1505"/>
  <c r="I1505"/>
  <c r="K1504"/>
  <c r="N1506" l="1"/>
  <c r="O1506" s="1"/>
  <c r="N1517"/>
  <c r="O1517" s="1"/>
  <c r="N1516"/>
  <c r="O1516" s="1"/>
  <c r="N1537"/>
  <c r="O1537" s="1"/>
  <c r="N1527"/>
  <c r="O1527" s="1"/>
  <c r="N1504"/>
  <c r="O1504" s="1"/>
  <c r="N1505"/>
  <c r="O1505" s="1"/>
  <c r="N1520"/>
  <c r="O1520" s="1"/>
  <c r="N1519"/>
  <c r="O1519" s="1"/>
  <c r="N1521"/>
  <c r="O1521" s="1"/>
  <c r="N1513"/>
  <c r="O1513" s="1"/>
  <c r="N1515"/>
  <c r="O1515" s="1"/>
  <c r="N1522"/>
  <c r="O1522" s="1"/>
  <c r="N1526"/>
  <c r="O1526" s="1"/>
  <c r="K1503"/>
  <c r="C91" i="7"/>
  <c r="K1502" i="2"/>
  <c r="K1501"/>
  <c r="K1488"/>
  <c r="K1500"/>
  <c r="K1499"/>
  <c r="I1503"/>
  <c r="I1502"/>
  <c r="I1501"/>
  <c r="I1500"/>
  <c r="I1499"/>
  <c r="K1498"/>
  <c r="I1498"/>
  <c r="N1500" l="1"/>
  <c r="O1500" s="1"/>
  <c r="N1503"/>
  <c r="O1503" s="1"/>
  <c r="N1499"/>
  <c r="O1499" s="1"/>
  <c r="N1502"/>
  <c r="O1502" s="1"/>
  <c r="N1498"/>
  <c r="O1498" s="1"/>
  <c r="N1501"/>
  <c r="O1501" s="1"/>
  <c r="I1512"/>
  <c r="K1511"/>
  <c r="I1511"/>
  <c r="I1510"/>
  <c r="I1509"/>
  <c r="I1508"/>
  <c r="I1507"/>
  <c r="K1536"/>
  <c r="I1536"/>
  <c r="I787" i="1"/>
  <c r="I788"/>
  <c r="I789"/>
  <c r="N1509" i="2" l="1"/>
  <c r="O1509" s="1"/>
  <c r="N1508"/>
  <c r="O1508" s="1"/>
  <c r="N1507"/>
  <c r="O1507" s="1"/>
  <c r="N1536"/>
  <c r="O1536" s="1"/>
  <c r="N1512"/>
  <c r="O1512" s="1"/>
  <c r="N1511"/>
  <c r="O1511" s="1"/>
  <c r="N1510"/>
  <c r="O1510" s="1"/>
  <c r="K1496"/>
  <c r="K1495"/>
  <c r="K1497"/>
  <c r="I1497"/>
  <c r="I1496"/>
  <c r="I1495"/>
  <c r="I786" i="1"/>
  <c r="I785"/>
  <c r="I784"/>
  <c r="E139" i="7"/>
  <c r="E138"/>
  <c r="N1497" i="2" l="1"/>
  <c r="O1497" s="1"/>
  <c r="N1496"/>
  <c r="O1496" s="1"/>
  <c r="N1495"/>
  <c r="O1495" s="1"/>
  <c r="K1524"/>
  <c r="K1535"/>
  <c r="K1533"/>
  <c r="K1494"/>
  <c r="K1493"/>
  <c r="I1493"/>
  <c r="K1492"/>
  <c r="K1491"/>
  <c r="I1492"/>
  <c r="I1491"/>
  <c r="K1490"/>
  <c r="I1490"/>
  <c r="O1490" s="1"/>
  <c r="I783" i="1"/>
  <c r="I782"/>
  <c r="I781"/>
  <c r="K1473" i="2"/>
  <c r="I764" i="1"/>
  <c r="K1485" i="2"/>
  <c r="I780" i="1"/>
  <c r="N1492" i="2" l="1"/>
  <c r="O1492" s="1"/>
  <c r="N1491"/>
  <c r="O1491" s="1"/>
  <c r="N1493"/>
  <c r="O1493" s="1"/>
  <c r="K1487"/>
  <c r="K1486"/>
  <c r="K1484"/>
  <c r="K1489"/>
  <c r="I779" i="1"/>
  <c r="I778"/>
  <c r="I777"/>
  <c r="I776"/>
  <c r="K1483" i="2"/>
  <c r="I1483"/>
  <c r="C57" i="7"/>
  <c r="N1483" i="2" l="1"/>
  <c r="O1483" s="1"/>
  <c r="E163" i="7"/>
  <c r="I1525" i="2"/>
  <c r="O1525" s="1"/>
  <c r="I1524"/>
  <c r="O1524" s="1"/>
  <c r="I1523"/>
  <c r="O1523" s="1"/>
  <c r="I1482"/>
  <c r="K1480"/>
  <c r="K1481"/>
  <c r="I1535"/>
  <c r="I1481"/>
  <c r="I1480"/>
  <c r="I762" i="1"/>
  <c r="I761"/>
  <c r="I760"/>
  <c r="I759"/>
  <c r="K1479" i="2"/>
  <c r="I1479"/>
  <c r="K1478"/>
  <c r="I1478"/>
  <c r="N1481" l="1"/>
  <c r="O1481" s="1"/>
  <c r="N1482"/>
  <c r="O1482" s="1"/>
  <c r="N1478"/>
  <c r="O1478" s="1"/>
  <c r="N1480"/>
  <c r="O1480" s="1"/>
  <c r="N1479"/>
  <c r="O1479" s="1"/>
  <c r="N1535"/>
  <c r="O1535" s="1"/>
  <c r="I1494"/>
  <c r="I1528"/>
  <c r="K1475"/>
  <c r="K1477"/>
  <c r="K1476"/>
  <c r="K1474"/>
  <c r="I1477"/>
  <c r="I1476"/>
  <c r="I1475"/>
  <c r="I1474"/>
  <c r="N1494" l="1"/>
  <c r="O1494" s="1"/>
  <c r="N1475"/>
  <c r="O1475" s="1"/>
  <c r="N1476"/>
  <c r="O1476" s="1"/>
  <c r="N1528"/>
  <c r="O1528" s="1"/>
  <c r="N1474"/>
  <c r="O1474" s="1"/>
  <c r="N1477"/>
  <c r="O1477" s="1"/>
  <c r="I1473"/>
  <c r="N1473" s="1"/>
  <c r="K1472"/>
  <c r="I1472"/>
  <c r="N1472" s="1"/>
  <c r="I1466"/>
  <c r="I775" i="1"/>
  <c r="I774"/>
  <c r="K1471" i="2"/>
  <c r="K1470"/>
  <c r="I1471"/>
  <c r="I1470"/>
  <c r="I773" i="1"/>
  <c r="I772"/>
  <c r="I1557" i="2"/>
  <c r="I1489"/>
  <c r="I1488"/>
  <c r="I1487"/>
  <c r="I1486"/>
  <c r="O1486" s="1"/>
  <c r="I1485"/>
  <c r="I1484"/>
  <c r="I770" i="1"/>
  <c r="I771"/>
  <c r="I769"/>
  <c r="I768"/>
  <c r="I767"/>
  <c r="I766"/>
  <c r="K1469" i="2"/>
  <c r="K1468"/>
  <c r="N1484" l="1"/>
  <c r="O1484" s="1"/>
  <c r="N1488"/>
  <c r="O1488" s="1"/>
  <c r="N1487"/>
  <c r="O1487" s="1"/>
  <c r="N1485"/>
  <c r="O1485" s="1"/>
  <c r="N1489"/>
  <c r="O1489" s="1"/>
  <c r="N1466"/>
  <c r="O1466" s="1"/>
  <c r="O1473"/>
  <c r="N1471"/>
  <c r="O1471" s="1"/>
  <c r="N1470"/>
  <c r="O1470" s="1"/>
  <c r="O1472"/>
  <c r="N1557"/>
  <c r="O1557" s="1"/>
  <c r="E5" i="8"/>
  <c r="E4"/>
  <c r="E2"/>
  <c r="I1534" i="2"/>
  <c r="O1534" s="1"/>
  <c r="I1533"/>
  <c r="O1533" s="1"/>
  <c r="I1532"/>
  <c r="O1532" s="1"/>
  <c r="I1531"/>
  <c r="O1531" s="1"/>
  <c r="I1530"/>
  <c r="O1530" s="1"/>
  <c r="I1529"/>
  <c r="O1529" s="1"/>
  <c r="K1467"/>
  <c r="K1465" l="1"/>
  <c r="K1466"/>
  <c r="I1465"/>
  <c r="N1465" l="1"/>
  <c r="O1465" s="1"/>
  <c r="I765" i="1"/>
  <c r="I1468" i="2"/>
  <c r="I1469"/>
  <c r="I763" i="1"/>
  <c r="C77" i="7"/>
  <c r="C76"/>
  <c r="K1462" i="2"/>
  <c r="I1467"/>
  <c r="K1464"/>
  <c r="K1463"/>
  <c r="I1464"/>
  <c r="I1463"/>
  <c r="I754" i="1"/>
  <c r="I753"/>
  <c r="K1461" i="2"/>
  <c r="K1460"/>
  <c r="I1461"/>
  <c r="O1461" s="1"/>
  <c r="I1460"/>
  <c r="O1460" s="1"/>
  <c r="I756" i="1"/>
  <c r="I757"/>
  <c r="I758"/>
  <c r="K1459" i="2"/>
  <c r="K1458"/>
  <c r="K1456"/>
  <c r="K1453"/>
  <c r="K1452"/>
  <c r="K1457"/>
  <c r="I1459"/>
  <c r="I1458"/>
  <c r="I1457"/>
  <c r="I1456"/>
  <c r="I1455"/>
  <c r="I1454"/>
  <c r="I1453"/>
  <c r="I1452"/>
  <c r="K1455"/>
  <c r="E159" i="7"/>
  <c r="C159"/>
  <c r="K1389" i="2"/>
  <c r="K1388"/>
  <c r="K1387"/>
  <c r="K1450"/>
  <c r="K1449"/>
  <c r="K1448"/>
  <c r="I1448"/>
  <c r="I1449"/>
  <c r="I1450"/>
  <c r="I755" i="1"/>
  <c r="K1447" i="2"/>
  <c r="I1447"/>
  <c r="K1437"/>
  <c r="K1436"/>
  <c r="I1437"/>
  <c r="I1436"/>
  <c r="K1444"/>
  <c r="K1443"/>
  <c r="K1442"/>
  <c r="K1440"/>
  <c r="K1439"/>
  <c r="K1438"/>
  <c r="E98" i="7"/>
  <c r="C98"/>
  <c r="K1445" i="2"/>
  <c r="I749" i="1"/>
  <c r="I750"/>
  <c r="I751"/>
  <c r="I752"/>
  <c r="K1446" i="2"/>
  <c r="K1435"/>
  <c r="I1435"/>
  <c r="I1439"/>
  <c r="I1440"/>
  <c r="I1438"/>
  <c r="I1442"/>
  <c r="I1443"/>
  <c r="I1444"/>
  <c r="I1462"/>
  <c r="I1446"/>
  <c r="I1445"/>
  <c r="C95" i="7"/>
  <c r="K1407" i="2"/>
  <c r="K1406"/>
  <c r="I1407"/>
  <c r="I1406"/>
  <c r="K1451"/>
  <c r="I1441"/>
  <c r="K1441"/>
  <c r="K1428"/>
  <c r="K1427"/>
  <c r="K1426"/>
  <c r="I1424"/>
  <c r="I1423"/>
  <c r="I1422"/>
  <c r="I1421"/>
  <c r="K1421"/>
  <c r="K1422"/>
  <c r="K1424"/>
  <c r="K1423"/>
  <c r="E10" i="7"/>
  <c r="K1429" i="2"/>
  <c r="I1429"/>
  <c r="I1428"/>
  <c r="I1427"/>
  <c r="I1426"/>
  <c r="I748" i="1"/>
  <c r="I747"/>
  <c r="I746"/>
  <c r="I745"/>
  <c r="I744"/>
  <c r="K1420" i="2"/>
  <c r="I1420"/>
  <c r="I743" i="1"/>
  <c r="I742"/>
  <c r="C54" i="7"/>
  <c r="E54"/>
  <c r="K1434" i="2"/>
  <c r="I1434"/>
  <c r="O1434" s="1"/>
  <c r="K1432"/>
  <c r="I733" i="1"/>
  <c r="K1431" i="2"/>
  <c r="K1430"/>
  <c r="I1430"/>
  <c r="I1432"/>
  <c r="I1431"/>
  <c r="I1451"/>
  <c r="K1417"/>
  <c r="I1417"/>
  <c r="K1433"/>
  <c r="I1433"/>
  <c r="I1373"/>
  <c r="K1419"/>
  <c r="K1418"/>
  <c r="K1413"/>
  <c r="K1412"/>
  <c r="I1418"/>
  <c r="I1419"/>
  <c r="I1416"/>
  <c r="I1415"/>
  <c r="I1414"/>
  <c r="I741" i="1"/>
  <c r="I740"/>
  <c r="I739"/>
  <c r="I1413" i="2"/>
  <c r="I1412"/>
  <c r="K1411"/>
  <c r="K1410"/>
  <c r="K1409"/>
  <c r="I1411"/>
  <c r="I1410"/>
  <c r="I1409"/>
  <c r="K1408"/>
  <c r="I1408"/>
  <c r="I738" i="1"/>
  <c r="I737"/>
  <c r="I736"/>
  <c r="I1387" i="2"/>
  <c r="I1388"/>
  <c r="I1389"/>
  <c r="I732" i="1"/>
  <c r="K1425" i="2"/>
  <c r="I1425"/>
  <c r="K1369"/>
  <c r="K1405"/>
  <c r="K1404"/>
  <c r="K1403"/>
  <c r="I735" i="1"/>
  <c r="I734"/>
  <c r="I1403" i="2"/>
  <c r="I1404"/>
  <c r="I1405"/>
  <c r="N1463" l="1"/>
  <c r="O1463" s="1"/>
  <c r="N1464"/>
  <c r="O1464" s="1"/>
  <c r="N1454"/>
  <c r="O1454" s="1"/>
  <c r="N1453"/>
  <c r="O1453" s="1"/>
  <c r="N1452"/>
  <c r="O1452" s="1"/>
  <c r="N1456"/>
  <c r="O1456" s="1"/>
  <c r="N1458"/>
  <c r="O1458" s="1"/>
  <c r="N1457"/>
  <c r="O1457" s="1"/>
  <c r="N1455"/>
  <c r="O1455" s="1"/>
  <c r="N1459"/>
  <c r="O1459" s="1"/>
  <c r="N1413"/>
  <c r="O1413" s="1"/>
  <c r="N1414"/>
  <c r="O1414" s="1"/>
  <c r="N1418"/>
  <c r="O1418" s="1"/>
  <c r="N1417"/>
  <c r="O1417" s="1"/>
  <c r="N1432"/>
  <c r="O1432" s="1"/>
  <c r="N1429"/>
  <c r="O1429" s="1"/>
  <c r="N1422"/>
  <c r="O1422" s="1"/>
  <c r="N1462"/>
  <c r="O1462" s="1"/>
  <c r="N1438"/>
  <c r="O1438" s="1"/>
  <c r="N1437"/>
  <c r="O1437" s="1"/>
  <c r="N1448"/>
  <c r="O1448" s="1"/>
  <c r="N1387"/>
  <c r="O1387" s="1"/>
  <c r="N1408"/>
  <c r="O1408" s="1"/>
  <c r="N1411"/>
  <c r="O1411" s="1"/>
  <c r="N1412"/>
  <c r="O1412" s="1"/>
  <c r="N1419"/>
  <c r="O1419" s="1"/>
  <c r="N1431"/>
  <c r="O1431" s="1"/>
  <c r="N1428"/>
  <c r="O1428" s="1"/>
  <c r="N1421"/>
  <c r="O1421" s="1"/>
  <c r="N1441"/>
  <c r="O1441" s="1"/>
  <c r="N1446"/>
  <c r="O1446" s="1"/>
  <c r="N1442"/>
  <c r="O1442" s="1"/>
  <c r="N1435"/>
  <c r="O1435" s="1"/>
  <c r="N1436"/>
  <c r="O1436" s="1"/>
  <c r="N1447"/>
  <c r="O1447" s="1"/>
  <c r="N1449"/>
  <c r="O1449" s="1"/>
  <c r="N1468"/>
  <c r="O1468" s="1"/>
  <c r="N1404"/>
  <c r="O1404" s="1"/>
  <c r="N1425"/>
  <c r="O1425" s="1"/>
  <c r="N1410"/>
  <c r="O1410" s="1"/>
  <c r="N1433"/>
  <c r="O1433" s="1"/>
  <c r="N1420"/>
  <c r="O1420" s="1"/>
  <c r="N1427"/>
  <c r="O1427" s="1"/>
  <c r="N1424"/>
  <c r="O1424" s="1"/>
  <c r="N1407"/>
  <c r="O1407" s="1"/>
  <c r="N1445"/>
  <c r="O1445" s="1"/>
  <c r="N1443"/>
  <c r="O1443" s="1"/>
  <c r="N1439"/>
  <c r="O1439" s="1"/>
  <c r="N1450"/>
  <c r="O1450" s="1"/>
  <c r="N1469"/>
  <c r="O1469" s="1"/>
  <c r="N1403"/>
  <c r="O1403" s="1"/>
  <c r="N1388"/>
  <c r="O1388" s="1"/>
  <c r="N1416"/>
  <c r="O1416" s="1"/>
  <c r="N1451"/>
  <c r="O1451" s="1"/>
  <c r="N1405"/>
  <c r="O1405" s="1"/>
  <c r="N1389"/>
  <c r="O1389" s="1"/>
  <c r="N1409"/>
  <c r="O1409" s="1"/>
  <c r="N1415"/>
  <c r="O1415" s="1"/>
  <c r="N1373"/>
  <c r="O1373" s="1"/>
  <c r="N1430"/>
  <c r="O1430" s="1"/>
  <c r="N1426"/>
  <c r="O1426" s="1"/>
  <c r="N1423"/>
  <c r="O1423" s="1"/>
  <c r="N1406"/>
  <c r="O1406" s="1"/>
  <c r="N1444"/>
  <c r="O1444" s="1"/>
  <c r="N1440"/>
  <c r="O1440" s="1"/>
  <c r="N1467"/>
  <c r="O1467" s="1"/>
  <c r="K1397"/>
  <c r="I1397"/>
  <c r="K1398"/>
  <c r="N1397" l="1"/>
  <c r="O1397" s="1"/>
  <c r="I730" i="1"/>
  <c r="I729"/>
  <c r="I728"/>
  <c r="I727"/>
  <c r="I731"/>
  <c r="K1392" i="2" l="1"/>
  <c r="K1393"/>
  <c r="K1391"/>
  <c r="K1390"/>
  <c r="I1392"/>
  <c r="I1393"/>
  <c r="I1391"/>
  <c r="I1390"/>
  <c r="N1392" l="1"/>
  <c r="O1392" s="1"/>
  <c r="N1393"/>
  <c r="O1393" s="1"/>
  <c r="N1391"/>
  <c r="O1391" s="1"/>
  <c r="N1390"/>
  <c r="O1390" s="1"/>
  <c r="I726" i="1"/>
  <c r="E5" i="7"/>
  <c r="D7" i="3" l="1"/>
  <c r="E39" i="8"/>
  <c r="E28"/>
  <c r="G7" l="1"/>
  <c r="G40" s="1"/>
  <c r="C165" i="7"/>
  <c r="E165" s="1"/>
  <c r="E164" l="1"/>
  <c r="E160"/>
  <c r="C156"/>
  <c r="E142" l="1"/>
  <c r="C142"/>
  <c r="E134"/>
  <c r="C134"/>
  <c r="E133"/>
  <c r="C127" l="1"/>
  <c r="C107" l="1"/>
  <c r="C102"/>
  <c r="E92" l="1"/>
  <c r="E91" l="1"/>
  <c r="C87"/>
  <c r="C60" l="1"/>
  <c r="E57"/>
  <c r="E53" l="1"/>
  <c r="E52"/>
  <c r="E35" l="1"/>
  <c r="C18" l="1"/>
  <c r="E13"/>
  <c r="E11"/>
  <c r="E6" l="1"/>
  <c r="E166" s="1"/>
  <c r="K1396" i="2" l="1"/>
  <c r="I1396"/>
  <c r="K1395"/>
  <c r="I1395"/>
  <c r="K1394"/>
  <c r="I1394"/>
  <c r="N1394" l="1"/>
  <c r="O1394" s="1"/>
  <c r="N1396"/>
  <c r="O1396" s="1"/>
  <c r="N1395"/>
  <c r="O1395" s="1"/>
  <c r="K1402"/>
  <c r="I1402"/>
  <c r="K1401"/>
  <c r="I1401"/>
  <c r="K1400"/>
  <c r="I1400"/>
  <c r="K1399"/>
  <c r="I1399"/>
  <c r="I1398"/>
  <c r="N1398" s="1"/>
  <c r="O1398" s="1"/>
  <c r="K1386"/>
  <c r="I1386"/>
  <c r="K1385"/>
  <c r="I1385"/>
  <c r="K1384"/>
  <c r="I1384"/>
  <c r="K1383"/>
  <c r="I1383"/>
  <c r="K1382"/>
  <c r="I1382"/>
  <c r="K1381"/>
  <c r="I1381"/>
  <c r="K1380"/>
  <c r="I1380"/>
  <c r="K1379"/>
  <c r="I1379"/>
  <c r="K1378"/>
  <c r="I1378"/>
  <c r="K1377"/>
  <c r="I1377"/>
  <c r="K1376"/>
  <c r="I1376"/>
  <c r="K1375"/>
  <c r="I1375"/>
  <c r="K1374"/>
  <c r="I1374"/>
  <c r="I1372"/>
  <c r="K1371"/>
  <c r="I1371"/>
  <c r="K1370"/>
  <c r="I1370"/>
  <c r="I1369"/>
  <c r="K1368"/>
  <c r="I1368"/>
  <c r="K1367"/>
  <c r="I1367"/>
  <c r="N1380" l="1"/>
  <c r="O1380" s="1"/>
  <c r="N1378"/>
  <c r="O1378" s="1"/>
  <c r="N1384"/>
  <c r="O1384" s="1"/>
  <c r="N1370"/>
  <c r="O1370" s="1"/>
  <c r="N1399"/>
  <c r="O1399" s="1"/>
  <c r="N1401"/>
  <c r="O1401" s="1"/>
  <c r="N1374"/>
  <c r="O1374" s="1"/>
  <c r="N1382"/>
  <c r="O1382" s="1"/>
  <c r="N1367"/>
  <c r="O1367" s="1"/>
  <c r="N1379"/>
  <c r="O1379" s="1"/>
  <c r="N1385"/>
  <c r="O1385" s="1"/>
  <c r="N1368"/>
  <c r="O1368" s="1"/>
  <c r="N1376"/>
  <c r="O1376" s="1"/>
  <c r="N1386"/>
  <c r="O1386" s="1"/>
  <c r="N1372"/>
  <c r="O1372" s="1"/>
  <c r="N1369"/>
  <c r="O1369" s="1"/>
  <c r="N1375"/>
  <c r="O1375" s="1"/>
  <c r="N1377"/>
  <c r="O1377" s="1"/>
  <c r="N1381"/>
  <c r="O1381" s="1"/>
  <c r="N1383"/>
  <c r="O1383" s="1"/>
  <c r="N1371"/>
  <c r="O1371" s="1"/>
  <c r="N1400"/>
  <c r="O1400" s="1"/>
  <c r="N1402"/>
  <c r="O1402" s="1"/>
  <c r="K1366"/>
  <c r="I1366"/>
  <c r="K1365"/>
  <c r="I1365"/>
  <c r="K1364"/>
  <c r="I1364"/>
  <c r="K1363"/>
  <c r="I1363"/>
  <c r="K1362"/>
  <c r="I1362"/>
  <c r="K1361"/>
  <c r="I1361"/>
  <c r="K1360"/>
  <c r="I1360"/>
  <c r="I1359"/>
  <c r="K1358"/>
  <c r="I1358"/>
  <c r="K1357"/>
  <c r="I1357"/>
  <c r="K1356"/>
  <c r="I1356"/>
  <c r="K1355"/>
  <c r="I1355"/>
  <c r="K1354"/>
  <c r="I1354"/>
  <c r="K1353"/>
  <c r="I1353"/>
  <c r="K1352"/>
  <c r="I1352"/>
  <c r="K1351"/>
  <c r="I1351"/>
  <c r="K1350"/>
  <c r="I1350"/>
  <c r="O1350" s="1"/>
  <c r="K1349"/>
  <c r="I1349"/>
  <c r="O1349" s="1"/>
  <c r="K1348"/>
  <c r="I1348"/>
  <c r="O1348" s="1"/>
  <c r="K1347"/>
  <c r="I1347"/>
  <c r="O1347" s="1"/>
  <c r="K1346"/>
  <c r="I1346"/>
  <c r="O1346" s="1"/>
  <c r="K1345"/>
  <c r="I1345"/>
  <c r="K1344"/>
  <c r="N1359" l="1"/>
  <c r="O1359" s="1"/>
  <c r="N1345"/>
  <c r="O1345" s="1"/>
  <c r="N1351"/>
  <c r="O1351" s="1"/>
  <c r="N1355"/>
  <c r="O1355" s="1"/>
  <c r="N1361"/>
  <c r="O1361" s="1"/>
  <c r="N1363"/>
  <c r="O1363" s="1"/>
  <c r="N1365"/>
  <c r="O1365" s="1"/>
  <c r="N1357"/>
  <c r="O1357" s="1"/>
  <c r="N1354"/>
  <c r="O1354" s="1"/>
  <c r="N1358"/>
  <c r="O1358" s="1"/>
  <c r="N1353"/>
  <c r="O1353" s="1"/>
  <c r="N1352"/>
  <c r="O1352" s="1"/>
  <c r="N1356"/>
  <c r="O1356" s="1"/>
  <c r="N1360"/>
  <c r="O1360" s="1"/>
  <c r="N1362"/>
  <c r="O1362" s="1"/>
  <c r="N1364"/>
  <c r="O1364" s="1"/>
  <c r="N1366"/>
  <c r="O1366" s="1"/>
  <c r="I1344"/>
  <c r="K1343"/>
  <c r="I1343"/>
  <c r="K1342"/>
  <c r="I1342"/>
  <c r="K1341"/>
  <c r="I1341"/>
  <c r="K1340"/>
  <c r="I1340"/>
  <c r="K1339"/>
  <c r="I1339"/>
  <c r="K1338"/>
  <c r="I1338"/>
  <c r="O1338" s="1"/>
  <c r="K1337"/>
  <c r="I1337"/>
  <c r="O1337" s="1"/>
  <c r="K1336"/>
  <c r="I1336"/>
  <c r="O1336" s="1"/>
  <c r="K1335"/>
  <c r="I1335"/>
  <c r="O1335" s="1"/>
  <c r="K1334"/>
  <c r="I1334"/>
  <c r="O1334" s="1"/>
  <c r="N1343" l="1"/>
  <c r="O1343" s="1"/>
  <c r="N1339"/>
  <c r="O1339" s="1"/>
  <c r="N1342"/>
  <c r="O1342" s="1"/>
  <c r="N1341"/>
  <c r="O1341" s="1"/>
  <c r="N1340"/>
  <c r="O1340" s="1"/>
  <c r="N1344"/>
  <c r="O1344" s="1"/>
  <c r="K1333"/>
  <c r="I1333"/>
  <c r="O1333" s="1"/>
  <c r="K1332"/>
  <c r="I1332"/>
  <c r="K1331"/>
  <c r="I1331"/>
  <c r="K1330"/>
  <c r="I1330"/>
  <c r="K1329"/>
  <c r="I1329"/>
  <c r="K1328"/>
  <c r="I1328"/>
  <c r="K1327"/>
  <c r="I1327"/>
  <c r="K1326"/>
  <c r="I1326"/>
  <c r="N1329" l="1"/>
  <c r="O1329" s="1"/>
  <c r="N1327"/>
  <c r="O1327" s="1"/>
  <c r="N1331"/>
  <c r="O1331" s="1"/>
  <c r="N1326"/>
  <c r="O1326" s="1"/>
  <c r="N1328"/>
  <c r="O1328" s="1"/>
  <c r="N1330"/>
  <c r="O1330" s="1"/>
  <c r="N1332"/>
  <c r="O1332" s="1"/>
  <c r="K1325"/>
  <c r="I1325"/>
  <c r="K1324"/>
  <c r="I1324"/>
  <c r="K1323"/>
  <c r="I1323"/>
  <c r="K1322"/>
  <c r="I1322"/>
  <c r="I1321"/>
  <c r="K1320"/>
  <c r="I1320"/>
  <c r="I1319"/>
  <c r="K1318"/>
  <c r="I1318"/>
  <c r="K1317"/>
  <c r="I1317"/>
  <c r="K1316"/>
  <c r="I1316"/>
  <c r="K1315"/>
  <c r="I1315"/>
  <c r="K1314"/>
  <c r="I1314"/>
  <c r="K1313"/>
  <c r="I1313"/>
  <c r="K1312"/>
  <c r="I1312"/>
  <c r="I1311"/>
  <c r="I1310"/>
  <c r="K1309"/>
  <c r="I1309"/>
  <c r="K1308"/>
  <c r="I1308"/>
  <c r="K1307"/>
  <c r="I1307"/>
  <c r="K1306"/>
  <c r="I1306"/>
  <c r="K1305"/>
  <c r="I1305"/>
  <c r="K1304"/>
  <c r="I1304"/>
  <c r="N1311" l="1"/>
  <c r="O1311" s="1"/>
  <c r="N1308"/>
  <c r="O1308" s="1"/>
  <c r="N1317"/>
  <c r="O1317" s="1"/>
  <c r="N1324"/>
  <c r="O1324" s="1"/>
  <c r="N1320"/>
  <c r="O1320" s="1"/>
  <c r="N1304"/>
  <c r="O1304" s="1"/>
  <c r="N1310"/>
  <c r="O1310" s="1"/>
  <c r="N1315"/>
  <c r="O1315" s="1"/>
  <c r="N1322"/>
  <c r="O1322" s="1"/>
  <c r="N1321"/>
  <c r="O1321" s="1"/>
  <c r="N1306"/>
  <c r="O1306" s="1"/>
  <c r="N1313"/>
  <c r="O1313" s="1"/>
  <c r="N1319"/>
  <c r="O1319" s="1"/>
  <c r="N1305"/>
  <c r="O1305" s="1"/>
  <c r="N1307"/>
  <c r="O1307" s="1"/>
  <c r="N1309"/>
  <c r="O1309" s="1"/>
  <c r="N1312"/>
  <c r="O1312" s="1"/>
  <c r="N1314"/>
  <c r="O1314" s="1"/>
  <c r="N1316"/>
  <c r="O1316" s="1"/>
  <c r="N1318"/>
  <c r="O1318" s="1"/>
  <c r="N1323"/>
  <c r="O1323" s="1"/>
  <c r="N1325"/>
  <c r="O1325" s="1"/>
  <c r="K1303"/>
  <c r="I1303" l="1"/>
  <c r="K1302"/>
  <c r="I1302"/>
  <c r="K1301"/>
  <c r="I1301"/>
  <c r="K1300"/>
  <c r="I1300"/>
  <c r="K1299"/>
  <c r="K1298"/>
  <c r="I1298"/>
  <c r="N1301" l="1"/>
  <c r="O1301" s="1"/>
  <c r="N1303"/>
  <c r="O1303" s="1"/>
  <c r="N1298"/>
  <c r="O1298" s="1"/>
  <c r="N1300"/>
  <c r="O1300" s="1"/>
  <c r="N1302"/>
  <c r="O1302" s="1"/>
  <c r="K1297"/>
  <c r="I1297"/>
  <c r="O1297" s="1"/>
  <c r="K1296"/>
  <c r="I1296"/>
  <c r="O1296" s="1"/>
  <c r="K1295"/>
  <c r="I1295"/>
  <c r="O1295" s="1"/>
  <c r="K1294"/>
  <c r="I1294"/>
  <c r="O1294" s="1"/>
  <c r="K1293"/>
  <c r="I1293" l="1"/>
  <c r="O1293" s="1"/>
  <c r="K1292"/>
  <c r="I1292"/>
  <c r="K1291"/>
  <c r="I1291"/>
  <c r="K1290"/>
  <c r="I1290"/>
  <c r="I1289"/>
  <c r="I1288"/>
  <c r="K1287"/>
  <c r="I1287"/>
  <c r="K1286"/>
  <c r="I1286"/>
  <c r="K1285"/>
  <c r="I1285"/>
  <c r="K1284"/>
  <c r="I1284"/>
  <c r="K1283"/>
  <c r="I1283"/>
  <c r="K1282"/>
  <c r="I1282"/>
  <c r="K1281"/>
  <c r="I1281"/>
  <c r="N1288" l="1"/>
  <c r="O1288" s="1"/>
  <c r="N1282"/>
  <c r="O1282" s="1"/>
  <c r="N1286"/>
  <c r="O1286" s="1"/>
  <c r="N1291"/>
  <c r="O1291" s="1"/>
  <c r="N1285"/>
  <c r="O1285" s="1"/>
  <c r="N1284"/>
  <c r="O1284" s="1"/>
  <c r="N1281"/>
  <c r="O1281" s="1"/>
  <c r="N1283"/>
  <c r="O1283" s="1"/>
  <c r="N1287"/>
  <c r="O1287" s="1"/>
  <c r="N1290"/>
  <c r="O1290" s="1"/>
  <c r="N1292"/>
  <c r="O1292" s="1"/>
  <c r="N1289"/>
  <c r="O1289" s="1"/>
  <c r="K1280"/>
  <c r="I1280"/>
  <c r="K1279"/>
  <c r="I1279"/>
  <c r="K1278"/>
  <c r="I1278"/>
  <c r="K1277"/>
  <c r="I1277"/>
  <c r="K1276"/>
  <c r="I1276"/>
  <c r="K1275"/>
  <c r="I1275"/>
  <c r="K1274"/>
  <c r="I1274"/>
  <c r="K1273"/>
  <c r="I1273"/>
  <c r="K1272"/>
  <c r="I1272"/>
  <c r="K1271"/>
  <c r="I1271"/>
  <c r="K1270"/>
  <c r="I1270"/>
  <c r="K1269"/>
  <c r="I1269"/>
  <c r="K1268"/>
  <c r="I1268"/>
  <c r="O1268" s="1"/>
  <c r="K1267"/>
  <c r="I1267"/>
  <c r="O1267" s="1"/>
  <c r="K1266"/>
  <c r="I1266"/>
  <c r="O1266" s="1"/>
  <c r="K1265"/>
  <c r="I1265"/>
  <c r="O1265" s="1"/>
  <c r="K1264"/>
  <c r="I1264"/>
  <c r="K1263"/>
  <c r="I1263"/>
  <c r="K1262"/>
  <c r="I1262"/>
  <c r="K1261"/>
  <c r="I1261"/>
  <c r="K1260"/>
  <c r="I1260"/>
  <c r="K1259"/>
  <c r="I1259"/>
  <c r="K1258"/>
  <c r="I1258"/>
  <c r="K1257"/>
  <c r="I1257"/>
  <c r="K1256"/>
  <c r="I1256"/>
  <c r="K1255"/>
  <c r="I1255"/>
  <c r="N1260" l="1"/>
  <c r="O1260" s="1"/>
  <c r="N1256"/>
  <c r="O1256" s="1"/>
  <c r="N1270"/>
  <c r="O1270" s="1"/>
  <c r="N1272"/>
  <c r="O1272" s="1"/>
  <c r="N1276"/>
  <c r="O1276" s="1"/>
  <c r="N1280"/>
  <c r="O1280" s="1"/>
  <c r="N1262"/>
  <c r="O1262" s="1"/>
  <c r="N1274"/>
  <c r="O1274" s="1"/>
  <c r="N1278"/>
  <c r="O1278" s="1"/>
  <c r="N1258"/>
  <c r="O1258" s="1"/>
  <c r="N1264"/>
  <c r="O1264" s="1"/>
  <c r="N1255"/>
  <c r="O1255" s="1"/>
  <c r="N1257"/>
  <c r="O1257" s="1"/>
  <c r="N1259"/>
  <c r="O1259" s="1"/>
  <c r="N1261"/>
  <c r="O1261" s="1"/>
  <c r="N1263"/>
  <c r="O1263" s="1"/>
  <c r="N1269"/>
  <c r="O1269" s="1"/>
  <c r="N1271"/>
  <c r="O1271" s="1"/>
  <c r="N1273"/>
  <c r="O1273" s="1"/>
  <c r="N1275"/>
  <c r="O1275" s="1"/>
  <c r="N1277"/>
  <c r="O1277" s="1"/>
  <c r="N1279"/>
  <c r="O1279" s="1"/>
  <c r="K1254"/>
  <c r="I1254"/>
  <c r="K1253"/>
  <c r="I1253"/>
  <c r="K1252"/>
  <c r="I1252"/>
  <c r="K1251"/>
  <c r="I1251"/>
  <c r="K1250"/>
  <c r="I1250"/>
  <c r="K1249"/>
  <c r="I1249"/>
  <c r="K1248"/>
  <c r="I1248"/>
  <c r="K1247"/>
  <c r="I1247"/>
  <c r="K1246"/>
  <c r="I1246"/>
  <c r="K1245"/>
  <c r="I1245"/>
  <c r="K1244"/>
  <c r="I1244"/>
  <c r="I1243"/>
  <c r="K1242"/>
  <c r="I1242"/>
  <c r="K1241"/>
  <c r="N1248" l="1"/>
  <c r="O1248" s="1"/>
  <c r="N1254"/>
  <c r="O1254" s="1"/>
  <c r="N1242"/>
  <c r="O1242" s="1"/>
  <c r="N1244"/>
  <c r="O1244" s="1"/>
  <c r="N1250"/>
  <c r="O1250" s="1"/>
  <c r="N1246"/>
  <c r="O1246" s="1"/>
  <c r="N1252"/>
  <c r="O1252" s="1"/>
  <c r="N1243"/>
  <c r="O1243" s="1"/>
  <c r="N1245"/>
  <c r="O1245" s="1"/>
  <c r="N1247"/>
  <c r="O1247" s="1"/>
  <c r="N1249"/>
  <c r="O1249" s="1"/>
  <c r="N1251"/>
  <c r="O1251" s="1"/>
  <c r="N1253"/>
  <c r="O1253" s="1"/>
  <c r="I1241"/>
  <c r="K1240"/>
  <c r="I1240"/>
  <c r="K1239"/>
  <c r="I1239"/>
  <c r="K1238"/>
  <c r="I1238"/>
  <c r="N1238" l="1"/>
  <c r="O1238" s="1"/>
  <c r="N1239"/>
  <c r="O1239" s="1"/>
  <c r="N1240"/>
  <c r="O1240" s="1"/>
  <c r="N1241"/>
  <c r="O1241" s="1"/>
  <c r="K1237"/>
  <c r="I1237"/>
  <c r="K1236"/>
  <c r="I1236"/>
  <c r="K1235"/>
  <c r="I1235"/>
  <c r="K1234"/>
  <c r="I1234"/>
  <c r="K1233"/>
  <c r="I1233"/>
  <c r="K1232"/>
  <c r="I1232"/>
  <c r="K1231"/>
  <c r="I1231"/>
  <c r="N1233" l="1"/>
  <c r="O1233" s="1"/>
  <c r="N1231"/>
  <c r="O1231" s="1"/>
  <c r="N1235"/>
  <c r="O1235" s="1"/>
  <c r="N1237"/>
  <c r="O1237" s="1"/>
  <c r="N1232"/>
  <c r="O1232" s="1"/>
  <c r="N1234"/>
  <c r="O1234" s="1"/>
  <c r="N1236"/>
  <c r="O1236" s="1"/>
  <c r="K1230"/>
  <c r="I1230"/>
  <c r="K1229"/>
  <c r="I1229"/>
  <c r="K1228"/>
  <c r="I1228"/>
  <c r="K1227"/>
  <c r="I1227"/>
  <c r="N1227" l="1"/>
  <c r="O1227" s="1"/>
  <c r="N1229"/>
  <c r="O1229" s="1"/>
  <c r="N1228"/>
  <c r="O1228" s="1"/>
  <c r="N1230"/>
  <c r="O1230" s="1"/>
  <c r="K1226"/>
  <c r="I1226"/>
  <c r="K1225"/>
  <c r="I1225"/>
  <c r="K1224"/>
  <c r="I1224"/>
  <c r="K1223"/>
  <c r="I1223"/>
  <c r="K1222"/>
  <c r="I1222"/>
  <c r="K1221"/>
  <c r="I1221"/>
  <c r="O1221" s="1"/>
  <c r="K1220"/>
  <c r="I1220"/>
  <c r="O1220" s="1"/>
  <c r="K1219"/>
  <c r="N1226" l="1"/>
  <c r="O1226" s="1"/>
  <c r="N1222"/>
  <c r="O1222" s="1"/>
  <c r="N1224"/>
  <c r="O1224" s="1"/>
  <c r="N1223"/>
  <c r="O1223" s="1"/>
  <c r="N1225"/>
  <c r="O1225" s="1"/>
  <c r="I1219"/>
  <c r="K1218"/>
  <c r="I1218"/>
  <c r="K1217"/>
  <c r="I1217"/>
  <c r="K1216"/>
  <c r="I1216"/>
  <c r="K1215"/>
  <c r="I1215"/>
  <c r="K1214"/>
  <c r="I1214"/>
  <c r="K1213"/>
  <c r="I1213"/>
  <c r="K1212"/>
  <c r="I1212"/>
  <c r="K1211"/>
  <c r="I1211"/>
  <c r="N1216" l="1"/>
  <c r="O1216" s="1"/>
  <c r="N1214"/>
  <c r="O1214" s="1"/>
  <c r="N1215"/>
  <c r="O1215" s="1"/>
  <c r="N1212"/>
  <c r="O1212" s="1"/>
  <c r="N1218"/>
  <c r="O1218" s="1"/>
  <c r="N1211"/>
  <c r="O1211" s="1"/>
  <c r="N1213"/>
  <c r="O1213" s="1"/>
  <c r="N1217"/>
  <c r="O1217" s="1"/>
  <c r="N1219"/>
  <c r="O1219" s="1"/>
  <c r="K1210"/>
  <c r="I1210"/>
  <c r="K1209"/>
  <c r="I1209"/>
  <c r="K1208"/>
  <c r="I1208"/>
  <c r="K1207"/>
  <c r="I1207"/>
  <c r="K1206"/>
  <c r="I1206"/>
  <c r="K1205"/>
  <c r="I1205"/>
  <c r="K1204"/>
  <c r="I1204"/>
  <c r="K1203"/>
  <c r="I1203"/>
  <c r="K1202"/>
  <c r="I1202"/>
  <c r="K1201"/>
  <c r="I1201"/>
  <c r="K1200"/>
  <c r="I1200"/>
  <c r="K1199"/>
  <c r="I1199"/>
  <c r="K1198"/>
  <c r="I1198"/>
  <c r="I1197"/>
  <c r="I1196"/>
  <c r="I1195"/>
  <c r="I1194"/>
  <c r="I1193"/>
  <c r="I1192"/>
  <c r="I1191"/>
  <c r="I1190"/>
  <c r="I1189"/>
  <c r="I1188"/>
  <c r="K1187"/>
  <c r="I1187"/>
  <c r="N1193" l="1"/>
  <c r="O1193" s="1"/>
  <c r="N1194"/>
  <c r="O1194" s="1"/>
  <c r="N1188"/>
  <c r="O1188" s="1"/>
  <c r="N1201"/>
  <c r="O1201" s="1"/>
  <c r="N1205"/>
  <c r="O1205" s="1"/>
  <c r="N1207"/>
  <c r="O1207" s="1"/>
  <c r="N1209"/>
  <c r="O1209" s="1"/>
  <c r="N1189"/>
  <c r="O1189" s="1"/>
  <c r="N1192"/>
  <c r="O1192" s="1"/>
  <c r="N1199"/>
  <c r="O1199" s="1"/>
  <c r="N1191"/>
  <c r="O1191" s="1"/>
  <c r="N1196"/>
  <c r="O1196" s="1"/>
  <c r="N1197"/>
  <c r="O1197" s="1"/>
  <c r="N1203"/>
  <c r="O1203" s="1"/>
  <c r="N1187"/>
  <c r="O1187" s="1"/>
  <c r="N1190"/>
  <c r="O1190" s="1"/>
  <c r="N1195"/>
  <c r="O1195" s="1"/>
  <c r="N1198"/>
  <c r="O1198" s="1"/>
  <c r="N1200"/>
  <c r="O1200" s="1"/>
  <c r="N1202"/>
  <c r="O1202" s="1"/>
  <c r="N1204"/>
  <c r="O1204" s="1"/>
  <c r="N1206"/>
  <c r="O1206" s="1"/>
  <c r="N1208"/>
  <c r="O1208" s="1"/>
  <c r="N1210"/>
  <c r="O1210" s="1"/>
  <c r="K1186"/>
  <c r="I1186"/>
  <c r="K1185"/>
  <c r="I1185"/>
  <c r="I1184"/>
  <c r="I1183"/>
  <c r="K1182"/>
  <c r="I1182"/>
  <c r="K1181"/>
  <c r="I1181"/>
  <c r="N1184" l="1"/>
  <c r="O1184" s="1"/>
  <c r="N1183"/>
  <c r="O1183" s="1"/>
  <c r="N1181"/>
  <c r="O1181" s="1"/>
  <c r="N1186"/>
  <c r="O1186" s="1"/>
  <c r="N1182"/>
  <c r="O1182" s="1"/>
  <c r="N1185"/>
  <c r="O1185" s="1"/>
  <c r="K1180"/>
  <c r="I1180"/>
  <c r="O1180" s="1"/>
  <c r="K1179"/>
  <c r="I1179"/>
  <c r="O1179" s="1"/>
  <c r="K1178"/>
  <c r="I1178"/>
  <c r="O1178" s="1"/>
  <c r="K1177"/>
  <c r="I1177"/>
  <c r="K1176"/>
  <c r="I1176"/>
  <c r="K1175"/>
  <c r="I1175"/>
  <c r="K1174"/>
  <c r="I1174"/>
  <c r="K1173"/>
  <c r="I1173"/>
  <c r="K1172"/>
  <c r="I1172"/>
  <c r="K1171"/>
  <c r="I1171"/>
  <c r="K1170"/>
  <c r="I1170"/>
  <c r="K1169"/>
  <c r="I1169"/>
  <c r="K1168"/>
  <c r="I1168"/>
  <c r="K1167"/>
  <c r="I1167"/>
  <c r="K1166"/>
  <c r="I1166"/>
  <c r="K1165"/>
  <c r="I1165"/>
  <c r="K1164"/>
  <c r="I1164"/>
  <c r="K1163"/>
  <c r="I1163"/>
  <c r="K1162"/>
  <c r="I1162"/>
  <c r="K1161"/>
  <c r="I1161"/>
  <c r="K1160"/>
  <c r="I1160"/>
  <c r="K1159"/>
  <c r="I1159"/>
  <c r="K1158"/>
  <c r="I1158"/>
  <c r="K1157"/>
  <c r="I1157"/>
  <c r="K1156"/>
  <c r="I1156"/>
  <c r="K1155"/>
  <c r="I1155"/>
  <c r="K1154"/>
  <c r="I1154"/>
  <c r="K1153"/>
  <c r="I1153"/>
  <c r="K1152"/>
  <c r="I1152"/>
  <c r="K1151"/>
  <c r="I1151"/>
  <c r="K1150"/>
  <c r="I1150"/>
  <c r="K1149"/>
  <c r="I1149"/>
  <c r="N1154" l="1"/>
  <c r="O1154" s="1"/>
  <c r="N1160"/>
  <c r="O1160" s="1"/>
  <c r="N1166"/>
  <c r="O1166" s="1"/>
  <c r="N1170"/>
  <c r="O1170" s="1"/>
  <c r="N1174"/>
  <c r="O1174" s="1"/>
  <c r="N1152"/>
  <c r="O1152" s="1"/>
  <c r="N1158"/>
  <c r="O1158" s="1"/>
  <c r="N1164"/>
  <c r="O1164" s="1"/>
  <c r="N1172"/>
  <c r="O1172" s="1"/>
  <c r="N1176"/>
  <c r="O1176" s="1"/>
  <c r="N1150"/>
  <c r="O1150" s="1"/>
  <c r="N1156"/>
  <c r="O1156" s="1"/>
  <c r="N1162"/>
  <c r="O1162" s="1"/>
  <c r="N1168"/>
  <c r="O1168" s="1"/>
  <c r="N1149"/>
  <c r="O1149" s="1"/>
  <c r="N1151"/>
  <c r="O1151" s="1"/>
  <c r="N1153"/>
  <c r="O1153" s="1"/>
  <c r="N1155"/>
  <c r="O1155" s="1"/>
  <c r="N1157"/>
  <c r="O1157" s="1"/>
  <c r="N1159"/>
  <c r="O1159" s="1"/>
  <c r="N1161"/>
  <c r="O1161" s="1"/>
  <c r="N1163"/>
  <c r="O1163" s="1"/>
  <c r="N1165"/>
  <c r="O1165" s="1"/>
  <c r="N1167"/>
  <c r="O1167" s="1"/>
  <c r="N1169"/>
  <c r="O1169" s="1"/>
  <c r="N1171"/>
  <c r="O1171" s="1"/>
  <c r="N1173"/>
  <c r="O1173" s="1"/>
  <c r="N1175"/>
  <c r="O1175" s="1"/>
  <c r="N1177"/>
  <c r="O1177" s="1"/>
  <c r="K1148"/>
  <c r="I1148"/>
  <c r="K1147"/>
  <c r="I1147"/>
  <c r="K1146"/>
  <c r="I1146"/>
  <c r="K1145"/>
  <c r="I1145"/>
  <c r="K1144"/>
  <c r="I1144"/>
  <c r="K1143"/>
  <c r="I1143"/>
  <c r="K1142"/>
  <c r="N1143" l="1"/>
  <c r="O1143" s="1"/>
  <c r="N1147"/>
  <c r="O1147" s="1"/>
  <c r="N1145"/>
  <c r="O1145" s="1"/>
  <c r="N1144"/>
  <c r="O1144" s="1"/>
  <c r="N1146"/>
  <c r="O1146" s="1"/>
  <c r="N1148"/>
  <c r="O1148" s="1"/>
  <c r="I1142"/>
  <c r="K1141"/>
  <c r="I1141"/>
  <c r="K1140"/>
  <c r="I1140"/>
  <c r="K1139"/>
  <c r="I1139"/>
  <c r="K1138"/>
  <c r="I1138"/>
  <c r="K1137"/>
  <c r="I1137"/>
  <c r="N1138" l="1"/>
  <c r="O1138" s="1"/>
  <c r="N1140"/>
  <c r="O1140" s="1"/>
  <c r="N1139"/>
  <c r="O1139" s="1"/>
  <c r="N1142"/>
  <c r="O1142" s="1"/>
  <c r="N1137"/>
  <c r="O1137" s="1"/>
  <c r="N1141"/>
  <c r="O1141" s="1"/>
  <c r="K1136"/>
  <c r="I1136"/>
  <c r="K1135"/>
  <c r="I1135"/>
  <c r="N1136" l="1"/>
  <c r="O1136" s="1"/>
  <c r="N1135"/>
  <c r="O1135" s="1"/>
  <c r="K1134"/>
  <c r="I1134"/>
  <c r="N1134" l="1"/>
  <c r="O1134" s="1"/>
  <c r="K1133"/>
  <c r="I1133"/>
  <c r="K1132"/>
  <c r="I1132"/>
  <c r="K1131"/>
  <c r="I1131"/>
  <c r="K1130"/>
  <c r="I1130"/>
  <c r="K1129"/>
  <c r="I1129"/>
  <c r="K1128"/>
  <c r="I1128"/>
  <c r="K1127"/>
  <c r="I1127"/>
  <c r="K1126"/>
  <c r="I1126"/>
  <c r="K1125"/>
  <c r="I1125"/>
  <c r="K1124"/>
  <c r="I1124"/>
  <c r="K1123"/>
  <c r="I1123"/>
  <c r="K1122"/>
  <c r="I1122"/>
  <c r="K1121"/>
  <c r="I1121"/>
  <c r="K1120"/>
  <c r="I1120"/>
  <c r="K1119"/>
  <c r="I1119"/>
  <c r="N1120" l="1"/>
  <c r="O1120" s="1"/>
  <c r="N1126"/>
  <c r="O1126" s="1"/>
  <c r="N1124"/>
  <c r="O1124" s="1"/>
  <c r="N1130"/>
  <c r="O1130" s="1"/>
  <c r="N1122"/>
  <c r="O1122" s="1"/>
  <c r="N1128"/>
  <c r="O1128" s="1"/>
  <c r="N1132"/>
  <c r="O1132" s="1"/>
  <c r="N1119"/>
  <c r="O1119" s="1"/>
  <c r="N1121"/>
  <c r="O1121" s="1"/>
  <c r="N1123"/>
  <c r="O1123" s="1"/>
  <c r="N1125"/>
  <c r="O1125" s="1"/>
  <c r="N1127"/>
  <c r="O1127" s="1"/>
  <c r="N1129"/>
  <c r="O1129" s="1"/>
  <c r="N1131"/>
  <c r="O1131" s="1"/>
  <c r="N1133"/>
  <c r="O1133" s="1"/>
  <c r="K1118"/>
  <c r="I1118"/>
  <c r="K1117"/>
  <c r="I1117"/>
  <c r="K1116"/>
  <c r="I1116"/>
  <c r="K1115"/>
  <c r="I1115"/>
  <c r="K1114"/>
  <c r="N1115" l="1"/>
  <c r="O1115" s="1"/>
  <c r="N1117"/>
  <c r="O1117" s="1"/>
  <c r="N1116"/>
  <c r="O1116" s="1"/>
  <c r="N1118"/>
  <c r="O1118" s="1"/>
  <c r="I1114"/>
  <c r="K1113"/>
  <c r="I1113"/>
  <c r="K1112"/>
  <c r="I1112"/>
  <c r="K1111"/>
  <c r="I1111"/>
  <c r="N1114" l="1"/>
  <c r="O1114" s="1"/>
  <c r="N1112"/>
  <c r="O1112" s="1"/>
  <c r="N1111"/>
  <c r="O1111" s="1"/>
  <c r="N1113"/>
  <c r="O1113" s="1"/>
  <c r="K1110"/>
  <c r="I1110"/>
  <c r="O1110" s="1"/>
  <c r="K1109" l="1"/>
  <c r="I1109"/>
  <c r="K1108"/>
  <c r="I1108"/>
  <c r="K1107"/>
  <c r="I1107"/>
  <c r="K1106"/>
  <c r="I1106"/>
  <c r="K1105"/>
  <c r="I1105"/>
  <c r="K1104"/>
  <c r="I1104"/>
  <c r="K1103"/>
  <c r="I1103"/>
  <c r="K1102"/>
  <c r="I1102"/>
  <c r="N1103" l="1"/>
  <c r="O1103" s="1"/>
  <c r="N1107"/>
  <c r="O1107" s="1"/>
  <c r="N1105"/>
  <c r="O1105" s="1"/>
  <c r="N1109"/>
  <c r="O1109" s="1"/>
  <c r="N1102"/>
  <c r="O1102" s="1"/>
  <c r="N1104"/>
  <c r="O1104" s="1"/>
  <c r="N1106"/>
  <c r="O1106" s="1"/>
  <c r="N1108"/>
  <c r="O1108" s="1"/>
  <c r="K1101"/>
  <c r="I1101"/>
  <c r="K1100"/>
  <c r="I1100"/>
  <c r="K1099"/>
  <c r="I1099"/>
  <c r="N1099" l="1"/>
  <c r="O1099" s="1"/>
  <c r="N1101"/>
  <c r="O1101" s="1"/>
  <c r="N1100"/>
  <c r="O1100" s="1"/>
  <c r="K1098"/>
  <c r="I1098"/>
  <c r="K1097"/>
  <c r="I1097"/>
  <c r="K1096"/>
  <c r="I1096"/>
  <c r="K1095"/>
  <c r="I1095"/>
  <c r="K1094"/>
  <c r="I1094"/>
  <c r="K1093"/>
  <c r="I1093"/>
  <c r="K1092"/>
  <c r="I1092"/>
  <c r="K1091"/>
  <c r="I1091"/>
  <c r="N1091" l="1"/>
  <c r="O1091" s="1"/>
  <c r="N1093"/>
  <c r="O1093" s="1"/>
  <c r="N1095"/>
  <c r="O1095" s="1"/>
  <c r="N1097"/>
  <c r="O1097" s="1"/>
  <c r="N1092"/>
  <c r="O1092" s="1"/>
  <c r="N1094"/>
  <c r="O1094" s="1"/>
  <c r="N1096"/>
  <c r="O1096" s="1"/>
  <c r="N1098"/>
  <c r="O1098" s="1"/>
  <c r="K1090"/>
  <c r="I1090"/>
  <c r="K1089"/>
  <c r="I1089"/>
  <c r="K1088"/>
  <c r="I1088"/>
  <c r="K1087"/>
  <c r="I1087"/>
  <c r="K1086"/>
  <c r="I1086"/>
  <c r="K1085"/>
  <c r="I1085"/>
  <c r="K1084"/>
  <c r="I1084"/>
  <c r="K1083"/>
  <c r="I1083"/>
  <c r="K1082"/>
  <c r="I1082"/>
  <c r="K1081"/>
  <c r="I1081"/>
  <c r="K1080"/>
  <c r="I1080"/>
  <c r="K1079"/>
  <c r="I1079"/>
  <c r="K1078"/>
  <c r="I1078"/>
  <c r="K1077"/>
  <c r="I1077"/>
  <c r="N1080" l="1"/>
  <c r="O1080" s="1"/>
  <c r="N1086"/>
  <c r="O1086" s="1"/>
  <c r="N1084"/>
  <c r="O1084" s="1"/>
  <c r="N1090"/>
  <c r="O1090" s="1"/>
  <c r="N1078"/>
  <c r="O1078" s="1"/>
  <c r="N1082"/>
  <c r="O1082" s="1"/>
  <c r="N1088"/>
  <c r="O1088" s="1"/>
  <c r="N1077"/>
  <c r="O1077" s="1"/>
  <c r="N1079"/>
  <c r="O1079" s="1"/>
  <c r="N1081"/>
  <c r="O1081" s="1"/>
  <c r="N1083"/>
  <c r="O1083" s="1"/>
  <c r="N1085"/>
  <c r="O1085" s="1"/>
  <c r="N1087"/>
  <c r="O1087" s="1"/>
  <c r="N1089"/>
  <c r="O1089" s="1"/>
  <c r="K1076"/>
  <c r="I1076"/>
  <c r="K1075"/>
  <c r="I1075"/>
  <c r="O1075" s="1"/>
  <c r="K1074"/>
  <c r="I1074"/>
  <c r="O1074" s="1"/>
  <c r="K1073"/>
  <c r="I1073"/>
  <c r="K1072"/>
  <c r="I1072"/>
  <c r="K1071"/>
  <c r="I1071"/>
  <c r="K1070"/>
  <c r="I1070"/>
  <c r="K1069"/>
  <c r="I1069"/>
  <c r="K1068"/>
  <c r="I1068"/>
  <c r="K1067"/>
  <c r="I1067"/>
  <c r="K1066"/>
  <c r="I1066"/>
  <c r="K1065"/>
  <c r="I1065"/>
  <c r="K1064"/>
  <c r="I1064"/>
  <c r="O1064" s="1"/>
  <c r="K1063"/>
  <c r="I1063"/>
  <c r="O1063" s="1"/>
  <c r="K1062"/>
  <c r="I1062"/>
  <c r="O1062" s="1"/>
  <c r="K1061"/>
  <c r="I1061"/>
  <c r="O1061" s="1"/>
  <c r="K1060"/>
  <c r="I1060"/>
  <c r="K1059"/>
  <c r="I1059"/>
  <c r="N1070" l="1"/>
  <c r="O1070" s="1"/>
  <c r="N1060"/>
  <c r="O1060" s="1"/>
  <c r="N1066"/>
  <c r="O1066" s="1"/>
  <c r="N1072"/>
  <c r="O1072" s="1"/>
  <c r="N1076"/>
  <c r="O1076" s="1"/>
  <c r="N1068"/>
  <c r="O1068" s="1"/>
  <c r="N1059"/>
  <c r="O1059" s="1"/>
  <c r="N1065"/>
  <c r="O1065" s="1"/>
  <c r="N1067"/>
  <c r="O1067" s="1"/>
  <c r="N1069"/>
  <c r="O1069" s="1"/>
  <c r="N1071"/>
  <c r="O1071" s="1"/>
  <c r="N1073"/>
  <c r="O1073" s="1"/>
  <c r="K1058"/>
  <c r="I1058"/>
  <c r="K1057"/>
  <c r="I1057"/>
  <c r="K1056"/>
  <c r="N1058" l="1"/>
  <c r="O1058" s="1"/>
  <c r="N1057"/>
  <c r="O1057" s="1"/>
  <c r="I1056"/>
  <c r="K1055"/>
  <c r="I1055"/>
  <c r="K1054"/>
  <c r="I1054"/>
  <c r="K1053"/>
  <c r="I1053"/>
  <c r="K1052"/>
  <c r="I1052"/>
  <c r="N1052" l="1"/>
  <c r="O1052" s="1"/>
  <c r="N1054"/>
  <c r="O1054" s="1"/>
  <c r="N1056"/>
  <c r="O1056" s="1"/>
  <c r="N1053"/>
  <c r="O1053" s="1"/>
  <c r="N1055"/>
  <c r="O1055" s="1"/>
  <c r="K1051"/>
  <c r="I1051"/>
  <c r="N1051" l="1"/>
  <c r="O1051" s="1"/>
  <c r="K1050"/>
  <c r="I1050"/>
  <c r="N1050" l="1"/>
  <c r="O1050" s="1"/>
  <c r="K1049"/>
  <c r="I1049"/>
  <c r="N1049" l="1"/>
  <c r="O1049" s="1"/>
  <c r="K1048"/>
  <c r="I1048"/>
  <c r="K1047"/>
  <c r="I1047"/>
  <c r="K1046"/>
  <c r="I1046"/>
  <c r="K1045"/>
  <c r="I1045"/>
  <c r="K1044"/>
  <c r="I1044"/>
  <c r="O1044" s="1"/>
  <c r="N1045" l="1"/>
  <c r="O1045" s="1"/>
  <c r="N1047"/>
  <c r="O1047" s="1"/>
  <c r="N1046"/>
  <c r="O1046" s="1"/>
  <c r="N1048"/>
  <c r="O1048" s="1"/>
  <c r="K1043"/>
  <c r="I1043"/>
  <c r="N1043" l="1"/>
  <c r="O1043" s="1"/>
  <c r="K1042"/>
  <c r="I1042"/>
  <c r="O1042" s="1"/>
  <c r="K1041"/>
  <c r="I1041"/>
  <c r="I1040"/>
  <c r="K1039"/>
  <c r="I1039"/>
  <c r="K1038"/>
  <c r="I1038"/>
  <c r="K1037"/>
  <c r="I1037"/>
  <c r="O1037" s="1"/>
  <c r="K1036"/>
  <c r="I1036"/>
  <c r="O1036" s="1"/>
  <c r="K1035"/>
  <c r="I1035"/>
  <c r="O1035" s="1"/>
  <c r="K1034"/>
  <c r="I1034"/>
  <c r="O1034" s="1"/>
  <c r="N1041" l="1"/>
  <c r="O1041" s="1"/>
  <c r="N1039"/>
  <c r="O1039" s="1"/>
  <c r="N1038"/>
  <c r="O1038" s="1"/>
  <c r="N1040"/>
  <c r="O1040" s="1"/>
  <c r="K1033"/>
  <c r="I1033"/>
  <c r="O1033" s="1"/>
  <c r="K1032"/>
  <c r="I1032"/>
  <c r="O1032" s="1"/>
  <c r="K1031"/>
  <c r="I1031"/>
  <c r="O1031" s="1"/>
  <c r="K1030"/>
  <c r="I1030"/>
  <c r="K1029"/>
  <c r="I1029"/>
  <c r="K1028"/>
  <c r="I1028"/>
  <c r="K1027"/>
  <c r="I1027"/>
  <c r="K1026"/>
  <c r="I1026"/>
  <c r="O1026" s="1"/>
  <c r="K1025"/>
  <c r="I1025"/>
  <c r="O1025" s="1"/>
  <c r="K1024"/>
  <c r="I1024"/>
  <c r="K1023"/>
  <c r="I1023"/>
  <c r="K1022"/>
  <c r="I1022"/>
  <c r="K1021"/>
  <c r="I1021"/>
  <c r="K1020"/>
  <c r="I1020"/>
  <c r="K1019"/>
  <c r="I1019"/>
  <c r="K1018"/>
  <c r="I1018"/>
  <c r="K1017"/>
  <c r="I1017"/>
  <c r="O1017" s="1"/>
  <c r="K1016"/>
  <c r="I1016"/>
  <c r="O1016" s="1"/>
  <c r="K1015"/>
  <c r="I1015"/>
  <c r="O1015" s="1"/>
  <c r="N1019" l="1"/>
  <c r="O1019" s="1"/>
  <c r="N1029"/>
  <c r="O1029" s="1"/>
  <c r="N1023"/>
  <c r="O1023" s="1"/>
  <c r="N1021"/>
  <c r="O1021" s="1"/>
  <c r="N1027"/>
  <c r="O1027" s="1"/>
  <c r="N1018"/>
  <c r="O1018" s="1"/>
  <c r="N1020"/>
  <c r="O1020" s="1"/>
  <c r="N1022"/>
  <c r="O1022" s="1"/>
  <c r="N1024"/>
  <c r="O1024" s="1"/>
  <c r="N1028"/>
  <c r="O1028" s="1"/>
  <c r="N1030"/>
  <c r="O1030" s="1"/>
  <c r="K1014"/>
  <c r="I1014"/>
  <c r="O1014" s="1"/>
  <c r="K1013"/>
  <c r="I1013"/>
  <c r="K1012"/>
  <c r="I1012"/>
  <c r="N1012" l="1"/>
  <c r="O1012" s="1"/>
  <c r="N1013"/>
  <c r="O1013" s="1"/>
  <c r="K1011"/>
  <c r="I1011"/>
  <c r="K1010"/>
  <c r="I1010"/>
  <c r="K1009"/>
  <c r="I1009"/>
  <c r="K1008"/>
  <c r="I1008"/>
  <c r="K1007"/>
  <c r="I1007"/>
  <c r="K1006"/>
  <c r="I1006"/>
  <c r="N1011" l="1"/>
  <c r="O1011" s="1"/>
  <c r="N1007"/>
  <c r="O1007" s="1"/>
  <c r="N1009"/>
  <c r="O1009" s="1"/>
  <c r="N1006"/>
  <c r="O1006" s="1"/>
  <c r="N1008"/>
  <c r="O1008" s="1"/>
  <c r="N1010"/>
  <c r="O1010" s="1"/>
  <c r="K1005"/>
  <c r="I1005"/>
  <c r="O1005" s="1"/>
  <c r="K1004"/>
  <c r="I1004"/>
  <c r="O1004" s="1"/>
  <c r="K1003"/>
  <c r="I1003"/>
  <c r="K1002"/>
  <c r="I1002"/>
  <c r="K1001"/>
  <c r="I1001"/>
  <c r="K1000"/>
  <c r="I1000"/>
  <c r="K999"/>
  <c r="I999"/>
  <c r="K998"/>
  <c r="I998"/>
  <c r="K997"/>
  <c r="I997"/>
  <c r="N997" l="1"/>
  <c r="O997" s="1"/>
  <c r="N1003"/>
  <c r="O1003" s="1"/>
  <c r="N1001"/>
  <c r="O1001" s="1"/>
  <c r="N999"/>
  <c r="O999" s="1"/>
  <c r="N998"/>
  <c r="O998" s="1"/>
  <c r="N1000"/>
  <c r="O1000" s="1"/>
  <c r="N1002"/>
  <c r="O1002" s="1"/>
  <c r="K996"/>
  <c r="I996"/>
  <c r="K995"/>
  <c r="I995"/>
  <c r="K994"/>
  <c r="I994"/>
  <c r="K993"/>
  <c r="I993"/>
  <c r="I992"/>
  <c r="K991"/>
  <c r="I991"/>
  <c r="K990"/>
  <c r="I990"/>
  <c r="K989"/>
  <c r="I989"/>
  <c r="K988"/>
  <c r="I988"/>
  <c r="K987"/>
  <c r="I987"/>
  <c r="K986"/>
  <c r="I986"/>
  <c r="K985"/>
  <c r="I985"/>
  <c r="K984"/>
  <c r="I984"/>
  <c r="K983"/>
  <c r="I983"/>
  <c r="K982"/>
  <c r="I982"/>
  <c r="K981"/>
  <c r="I981"/>
  <c r="K980"/>
  <c r="N987" l="1"/>
  <c r="O987" s="1"/>
  <c r="N991"/>
  <c r="O991" s="1"/>
  <c r="N995"/>
  <c r="O995" s="1"/>
  <c r="N983"/>
  <c r="O983" s="1"/>
  <c r="N981"/>
  <c r="O981" s="1"/>
  <c r="N985"/>
  <c r="O985" s="1"/>
  <c r="N989"/>
  <c r="O989" s="1"/>
  <c r="N993"/>
  <c r="O993" s="1"/>
  <c r="N982"/>
  <c r="O982" s="1"/>
  <c r="N984"/>
  <c r="O984" s="1"/>
  <c r="N986"/>
  <c r="O986" s="1"/>
  <c r="N988"/>
  <c r="O988" s="1"/>
  <c r="N990"/>
  <c r="O990" s="1"/>
  <c r="N992"/>
  <c r="O992" s="1"/>
  <c r="N994"/>
  <c r="O994" s="1"/>
  <c r="N996"/>
  <c r="O996" s="1"/>
  <c r="I980"/>
  <c r="K979"/>
  <c r="I979"/>
  <c r="K978"/>
  <c r="I978"/>
  <c r="K977"/>
  <c r="I977"/>
  <c r="K976"/>
  <c r="I976"/>
  <c r="K975"/>
  <c r="K974"/>
  <c r="I974"/>
  <c r="K973"/>
  <c r="I973"/>
  <c r="K972"/>
  <c r="I972"/>
  <c r="N978" l="1"/>
  <c r="O978" s="1"/>
  <c r="N973"/>
  <c r="O973" s="1"/>
  <c r="N980"/>
  <c r="O980" s="1"/>
  <c r="N979"/>
  <c r="O979" s="1"/>
  <c r="N976"/>
  <c r="O976" s="1"/>
  <c r="N977"/>
  <c r="O977" s="1"/>
  <c r="N972"/>
  <c r="O972" s="1"/>
  <c r="N974"/>
  <c r="O974" s="1"/>
  <c r="K971"/>
  <c r="I971"/>
  <c r="K970"/>
  <c r="I970"/>
  <c r="K969"/>
  <c r="I969"/>
  <c r="K968"/>
  <c r="I968"/>
  <c r="K967"/>
  <c r="I967"/>
  <c r="K966"/>
  <c r="I966"/>
  <c r="K965"/>
  <c r="I965"/>
  <c r="K964"/>
  <c r="I964"/>
  <c r="K963"/>
  <c r="I963"/>
  <c r="K962"/>
  <c r="I962"/>
  <c r="K961"/>
  <c r="I961"/>
  <c r="K960"/>
  <c r="I960"/>
  <c r="K959"/>
  <c r="I959"/>
  <c r="K958"/>
  <c r="I958"/>
  <c r="K957"/>
  <c r="I957"/>
  <c r="K956"/>
  <c r="I956"/>
  <c r="K955"/>
  <c r="I955"/>
  <c r="N955" l="1"/>
  <c r="O955" s="1"/>
  <c r="N961"/>
  <c r="O961" s="1"/>
  <c r="N965"/>
  <c r="O965" s="1"/>
  <c r="N971"/>
  <c r="O971" s="1"/>
  <c r="N959"/>
  <c r="O959" s="1"/>
  <c r="N967"/>
  <c r="O967" s="1"/>
  <c r="N957"/>
  <c r="O957" s="1"/>
  <c r="N963"/>
  <c r="O963" s="1"/>
  <c r="N969"/>
  <c r="O969" s="1"/>
  <c r="N956"/>
  <c r="O956" s="1"/>
  <c r="N958"/>
  <c r="O958" s="1"/>
  <c r="N960"/>
  <c r="O960" s="1"/>
  <c r="N962"/>
  <c r="O962" s="1"/>
  <c r="N964"/>
  <c r="O964" s="1"/>
  <c r="N966"/>
  <c r="O966" s="1"/>
  <c r="N968"/>
  <c r="O968" s="1"/>
  <c r="N970"/>
  <c r="O970" s="1"/>
  <c r="K954"/>
  <c r="I954" l="1"/>
  <c r="K953"/>
  <c r="I953"/>
  <c r="K952"/>
  <c r="I952"/>
  <c r="K951"/>
  <c r="I951"/>
  <c r="K950"/>
  <c r="I950"/>
  <c r="K949"/>
  <c r="I949"/>
  <c r="K948"/>
  <c r="I948"/>
  <c r="K947"/>
  <c r="I947"/>
  <c r="K946"/>
  <c r="I946"/>
  <c r="K945"/>
  <c r="I945"/>
  <c r="K944"/>
  <c r="N946" l="1"/>
  <c r="O946" s="1"/>
  <c r="N950"/>
  <c r="O950" s="1"/>
  <c r="N947"/>
  <c r="O947" s="1"/>
  <c r="N948"/>
  <c r="O948" s="1"/>
  <c r="N952"/>
  <c r="O952" s="1"/>
  <c r="N954"/>
  <c r="O954" s="1"/>
  <c r="N945"/>
  <c r="O945" s="1"/>
  <c r="N949"/>
  <c r="O949" s="1"/>
  <c r="N951"/>
  <c r="O951" s="1"/>
  <c r="N953"/>
  <c r="O953" s="1"/>
  <c r="I944"/>
  <c r="K943"/>
  <c r="I943"/>
  <c r="K942"/>
  <c r="I942"/>
  <c r="K941"/>
  <c r="I941"/>
  <c r="K940"/>
  <c r="I940"/>
  <c r="K939"/>
  <c r="I939"/>
  <c r="K938"/>
  <c r="I938"/>
  <c r="K937"/>
  <c r="I937"/>
  <c r="K936"/>
  <c r="I936"/>
  <c r="O936" s="1"/>
  <c r="K935"/>
  <c r="I935"/>
  <c r="O935" s="1"/>
  <c r="K934"/>
  <c r="I934"/>
  <c r="N940" l="1"/>
  <c r="O940" s="1"/>
  <c r="N942"/>
  <c r="O942" s="1"/>
  <c r="N938"/>
  <c r="O938" s="1"/>
  <c r="N939"/>
  <c r="O939" s="1"/>
  <c r="N934"/>
  <c r="O934" s="1"/>
  <c r="N944"/>
  <c r="O944" s="1"/>
  <c r="N937"/>
  <c r="O937" s="1"/>
  <c r="N941"/>
  <c r="O941" s="1"/>
  <c r="N943"/>
  <c r="O943" s="1"/>
  <c r="K933"/>
  <c r="I933"/>
  <c r="K932"/>
  <c r="I932"/>
  <c r="K931"/>
  <c r="I931"/>
  <c r="K930"/>
  <c r="I930"/>
  <c r="I929"/>
  <c r="I928"/>
  <c r="K927"/>
  <c r="I927"/>
  <c r="K926"/>
  <c r="I926"/>
  <c r="K925"/>
  <c r="I925"/>
  <c r="K924"/>
  <c r="I924"/>
  <c r="K923"/>
  <c r="I923"/>
  <c r="K922"/>
  <c r="I922"/>
  <c r="K921"/>
  <c r="I921"/>
  <c r="K920"/>
  <c r="I920"/>
  <c r="K919"/>
  <c r="I919"/>
  <c r="K918"/>
  <c r="I918"/>
  <c r="K917"/>
  <c r="I917"/>
  <c r="O917" s="1"/>
  <c r="K916"/>
  <c r="I916"/>
  <c r="O916" s="1"/>
  <c r="K915"/>
  <c r="I915"/>
  <c r="O915" s="1"/>
  <c r="K914"/>
  <c r="I914"/>
  <c r="K913"/>
  <c r="I913"/>
  <c r="K912"/>
  <c r="I912"/>
  <c r="K911"/>
  <c r="I911"/>
  <c r="K910"/>
  <c r="I910"/>
  <c r="K909"/>
  <c r="I909"/>
  <c r="K908"/>
  <c r="I908"/>
  <c r="K907"/>
  <c r="I907"/>
  <c r="K906"/>
  <c r="I906"/>
  <c r="K905"/>
  <c r="I905"/>
  <c r="K904"/>
  <c r="I904"/>
  <c r="K903"/>
  <c r="I903"/>
  <c r="K902"/>
  <c r="I902"/>
  <c r="K901"/>
  <c r="I901"/>
  <c r="K900"/>
  <c r="I900"/>
  <c r="N929" l="1"/>
  <c r="O929" s="1"/>
  <c r="N902"/>
  <c r="O902" s="1"/>
  <c r="N908"/>
  <c r="O908" s="1"/>
  <c r="N920"/>
  <c r="O920" s="1"/>
  <c r="N922"/>
  <c r="O922" s="1"/>
  <c r="N926"/>
  <c r="O926" s="1"/>
  <c r="N928"/>
  <c r="O928" s="1"/>
  <c r="N931"/>
  <c r="O931" s="1"/>
  <c r="N933"/>
  <c r="O933" s="1"/>
  <c r="N904"/>
  <c r="O904" s="1"/>
  <c r="N910"/>
  <c r="O910" s="1"/>
  <c r="N914"/>
  <c r="O914" s="1"/>
  <c r="N918"/>
  <c r="O918" s="1"/>
  <c r="N924"/>
  <c r="O924" s="1"/>
  <c r="N900"/>
  <c r="O900" s="1"/>
  <c r="N906"/>
  <c r="O906" s="1"/>
  <c r="N912"/>
  <c r="O912" s="1"/>
  <c r="N901"/>
  <c r="O901" s="1"/>
  <c r="N903"/>
  <c r="O903" s="1"/>
  <c r="N905"/>
  <c r="O905" s="1"/>
  <c r="N907"/>
  <c r="O907" s="1"/>
  <c r="N909"/>
  <c r="O909" s="1"/>
  <c r="N911"/>
  <c r="O911" s="1"/>
  <c r="N913"/>
  <c r="O913" s="1"/>
  <c r="N919"/>
  <c r="O919" s="1"/>
  <c r="N921"/>
  <c r="O921" s="1"/>
  <c r="N923"/>
  <c r="O923" s="1"/>
  <c r="N925"/>
  <c r="O925" s="1"/>
  <c r="N927"/>
  <c r="O927" s="1"/>
  <c r="N930"/>
  <c r="O930" s="1"/>
  <c r="N932"/>
  <c r="O932" s="1"/>
  <c r="K899"/>
  <c r="I899"/>
  <c r="K898"/>
  <c r="I898"/>
  <c r="K897"/>
  <c r="I897"/>
  <c r="I896"/>
  <c r="K895"/>
  <c r="I895"/>
  <c r="K894"/>
  <c r="I894"/>
  <c r="K893"/>
  <c r="I893"/>
  <c r="N896" l="1"/>
  <c r="O896" s="1"/>
  <c r="N894"/>
  <c r="O894" s="1"/>
  <c r="N898"/>
  <c r="O898" s="1"/>
  <c r="N893"/>
  <c r="O893" s="1"/>
  <c r="N895"/>
  <c r="O895" s="1"/>
  <c r="N897"/>
  <c r="O897" s="1"/>
  <c r="N899"/>
  <c r="O899" s="1"/>
  <c r="K892"/>
  <c r="I892"/>
  <c r="K891"/>
  <c r="I891"/>
  <c r="K890"/>
  <c r="I890"/>
  <c r="K889"/>
  <c r="I889"/>
  <c r="K888"/>
  <c r="I888"/>
  <c r="K887"/>
  <c r="I887"/>
  <c r="N889" l="1"/>
  <c r="O889" s="1"/>
  <c r="N887"/>
  <c r="O887" s="1"/>
  <c r="N891"/>
  <c r="O891" s="1"/>
  <c r="N888"/>
  <c r="O888" s="1"/>
  <c r="N890"/>
  <c r="O890" s="1"/>
  <c r="N892"/>
  <c r="O892" s="1"/>
  <c r="K886"/>
  <c r="I886"/>
  <c r="K885"/>
  <c r="I885"/>
  <c r="K884"/>
  <c r="I884"/>
  <c r="O884" s="1"/>
  <c r="K883"/>
  <c r="I883"/>
  <c r="K882"/>
  <c r="I882"/>
  <c r="K881"/>
  <c r="I881"/>
  <c r="K880"/>
  <c r="I880"/>
  <c r="K879"/>
  <c r="I879"/>
  <c r="N886" l="1"/>
  <c r="O886" s="1"/>
  <c r="N882"/>
  <c r="O882" s="1"/>
  <c r="N880"/>
  <c r="O880" s="1"/>
  <c r="N879"/>
  <c r="O879" s="1"/>
  <c r="N881"/>
  <c r="O881" s="1"/>
  <c r="N883"/>
  <c r="O883" s="1"/>
  <c r="N885"/>
  <c r="O885" s="1"/>
  <c r="K878"/>
  <c r="I878"/>
  <c r="K877"/>
  <c r="I877"/>
  <c r="K876"/>
  <c r="I876"/>
  <c r="K875"/>
  <c r="I875"/>
  <c r="K874"/>
  <c r="I874"/>
  <c r="K873"/>
  <c r="I873"/>
  <c r="K872"/>
  <c r="I872"/>
  <c r="K871"/>
  <c r="I871"/>
  <c r="K870"/>
  <c r="I870"/>
  <c r="K869"/>
  <c r="I869"/>
  <c r="K868"/>
  <c r="I868"/>
  <c r="K867"/>
  <c r="I867"/>
  <c r="K866"/>
  <c r="I866"/>
  <c r="K865"/>
  <c r="I865"/>
  <c r="K864"/>
  <c r="I864"/>
  <c r="K863"/>
  <c r="I863"/>
  <c r="K862"/>
  <c r="I862"/>
  <c r="K861"/>
  <c r="I861"/>
  <c r="K860"/>
  <c r="I860"/>
  <c r="O860" s="1"/>
  <c r="K859"/>
  <c r="I859"/>
  <c r="K858"/>
  <c r="I858"/>
  <c r="K857"/>
  <c r="N859" l="1"/>
  <c r="O859" s="1"/>
  <c r="N865"/>
  <c r="O865" s="1"/>
  <c r="N869"/>
  <c r="O869" s="1"/>
  <c r="N875"/>
  <c r="O875" s="1"/>
  <c r="N863"/>
  <c r="O863" s="1"/>
  <c r="N871"/>
  <c r="O871" s="1"/>
  <c r="N873"/>
  <c r="O873" s="1"/>
  <c r="N861"/>
  <c r="O861" s="1"/>
  <c r="N867"/>
  <c r="O867" s="1"/>
  <c r="N877"/>
  <c r="O877" s="1"/>
  <c r="N858"/>
  <c r="O858" s="1"/>
  <c r="N862"/>
  <c r="O862" s="1"/>
  <c r="N864"/>
  <c r="O864" s="1"/>
  <c r="N866"/>
  <c r="O866" s="1"/>
  <c r="N868"/>
  <c r="O868" s="1"/>
  <c r="N870"/>
  <c r="O870" s="1"/>
  <c r="N872"/>
  <c r="O872" s="1"/>
  <c r="N874"/>
  <c r="O874" s="1"/>
  <c r="N876"/>
  <c r="O876" s="1"/>
  <c r="N878"/>
  <c r="O878" s="1"/>
  <c r="I857"/>
  <c r="K856"/>
  <c r="I856"/>
  <c r="K855"/>
  <c r="I855"/>
  <c r="O855" s="1"/>
  <c r="K854"/>
  <c r="I854"/>
  <c r="O854" s="1"/>
  <c r="K853"/>
  <c r="I853"/>
  <c r="O853" s="1"/>
  <c r="K852"/>
  <c r="I852"/>
  <c r="O852" s="1"/>
  <c r="K851"/>
  <c r="I851"/>
  <c r="K850"/>
  <c r="I850"/>
  <c r="K849"/>
  <c r="I849"/>
  <c r="K848"/>
  <c r="I848"/>
  <c r="K847"/>
  <c r="I847"/>
  <c r="K846"/>
  <c r="I846"/>
  <c r="K845"/>
  <c r="I845"/>
  <c r="N851" l="1"/>
  <c r="O851" s="1"/>
  <c r="N845"/>
  <c r="O845" s="1"/>
  <c r="N849"/>
  <c r="O849" s="1"/>
  <c r="N857"/>
  <c r="O857" s="1"/>
  <c r="N846"/>
  <c r="O846" s="1"/>
  <c r="N847"/>
  <c r="O847" s="1"/>
  <c r="N848"/>
  <c r="O848" s="1"/>
  <c r="N850"/>
  <c r="O850" s="1"/>
  <c r="N856"/>
  <c r="O856" s="1"/>
  <c r="K844"/>
  <c r="I844"/>
  <c r="O844" s="1"/>
  <c r="K843"/>
  <c r="I843"/>
  <c r="K842"/>
  <c r="I842"/>
  <c r="K841"/>
  <c r="I841"/>
  <c r="K840"/>
  <c r="I840"/>
  <c r="K839"/>
  <c r="I839"/>
  <c r="K838"/>
  <c r="I838"/>
  <c r="N843" l="1"/>
  <c r="O843" s="1"/>
  <c r="N839"/>
  <c r="O839" s="1"/>
  <c r="N841"/>
  <c r="O841" s="1"/>
  <c r="N838"/>
  <c r="O838" s="1"/>
  <c r="N840"/>
  <c r="O840" s="1"/>
  <c r="N842"/>
  <c r="O842" s="1"/>
  <c r="K837"/>
  <c r="I837"/>
  <c r="N837" l="1"/>
  <c r="O837" s="1"/>
  <c r="K836"/>
  <c r="I836"/>
  <c r="K835"/>
  <c r="I835"/>
  <c r="O835" s="1"/>
  <c r="K834"/>
  <c r="I834"/>
  <c r="K833"/>
  <c r="I833"/>
  <c r="K832"/>
  <c r="I832"/>
  <c r="K831"/>
  <c r="I831"/>
  <c r="K830"/>
  <c r="I830"/>
  <c r="K829"/>
  <c r="I829"/>
  <c r="K828"/>
  <c r="I828"/>
  <c r="K827"/>
  <c r="I827"/>
  <c r="K826"/>
  <c r="I826"/>
  <c r="K825"/>
  <c r="I825"/>
  <c r="K824"/>
  <c r="I824"/>
  <c r="K823"/>
  <c r="I823"/>
  <c r="K822"/>
  <c r="I822"/>
  <c r="K821"/>
  <c r="I821"/>
  <c r="K820"/>
  <c r="I820"/>
  <c r="N831" l="1"/>
  <c r="O831" s="1"/>
  <c r="N821"/>
  <c r="O821" s="1"/>
  <c r="N827"/>
  <c r="O827" s="1"/>
  <c r="N833"/>
  <c r="O833" s="1"/>
  <c r="N823"/>
  <c r="O823" s="1"/>
  <c r="N825"/>
  <c r="O825" s="1"/>
  <c r="N829"/>
  <c r="O829" s="1"/>
  <c r="N820"/>
  <c r="O820" s="1"/>
  <c r="N822"/>
  <c r="O822" s="1"/>
  <c r="N824"/>
  <c r="O824" s="1"/>
  <c r="N826"/>
  <c r="O826" s="1"/>
  <c r="N828"/>
  <c r="O828" s="1"/>
  <c r="N830"/>
  <c r="O830" s="1"/>
  <c r="N832"/>
  <c r="O832" s="1"/>
  <c r="N834"/>
  <c r="O834" s="1"/>
  <c r="N836"/>
  <c r="O836" s="1"/>
  <c r="K819"/>
  <c r="I819"/>
  <c r="K818"/>
  <c r="I818"/>
  <c r="K817"/>
  <c r="I817"/>
  <c r="K816"/>
  <c r="I816"/>
  <c r="K815"/>
  <c r="I815"/>
  <c r="K814"/>
  <c r="I814"/>
  <c r="K813"/>
  <c r="I813"/>
  <c r="K812"/>
  <c r="I812"/>
  <c r="K811"/>
  <c r="I811"/>
  <c r="N811" l="1"/>
  <c r="O811" s="1"/>
  <c r="N815"/>
  <c r="O815" s="1"/>
  <c r="N817"/>
  <c r="O817" s="1"/>
  <c r="N813"/>
  <c r="O813" s="1"/>
  <c r="N819"/>
  <c r="O819" s="1"/>
  <c r="N812"/>
  <c r="O812" s="1"/>
  <c r="N814"/>
  <c r="O814" s="1"/>
  <c r="N816"/>
  <c r="O816" s="1"/>
  <c r="N818"/>
  <c r="O818" s="1"/>
  <c r="K810"/>
  <c r="I810"/>
  <c r="K809"/>
  <c r="I809"/>
  <c r="N809" l="1"/>
  <c r="O809" s="1"/>
  <c r="N810"/>
  <c r="O810" s="1"/>
  <c r="K808"/>
  <c r="I808"/>
  <c r="K807"/>
  <c r="I807"/>
  <c r="N808" l="1"/>
  <c r="O808" s="1"/>
  <c r="N807"/>
  <c r="O807" s="1"/>
  <c r="K806"/>
  <c r="I806"/>
  <c r="K805"/>
  <c r="I805"/>
  <c r="K804"/>
  <c r="I804"/>
  <c r="K803"/>
  <c r="I803"/>
  <c r="K802"/>
  <c r="I802"/>
  <c r="K801"/>
  <c r="I801"/>
  <c r="N804" l="1"/>
  <c r="O804" s="1"/>
  <c r="N802"/>
  <c r="O802" s="1"/>
  <c r="N806"/>
  <c r="O806" s="1"/>
  <c r="N801"/>
  <c r="O801" s="1"/>
  <c r="N803"/>
  <c r="O803" s="1"/>
  <c r="N805"/>
  <c r="O805" s="1"/>
  <c r="K800"/>
  <c r="I800"/>
  <c r="K799"/>
  <c r="I799"/>
  <c r="K798"/>
  <c r="I798"/>
  <c r="K797"/>
  <c r="I797"/>
  <c r="K796"/>
  <c r="I796"/>
  <c r="K795"/>
  <c r="I795"/>
  <c r="K794"/>
  <c r="I794"/>
  <c r="K793"/>
  <c r="I793"/>
  <c r="K792"/>
  <c r="I792"/>
  <c r="N792" l="1"/>
  <c r="O792" s="1"/>
  <c r="N800"/>
  <c r="O800" s="1"/>
  <c r="N798"/>
  <c r="O798" s="1"/>
  <c r="N794"/>
  <c r="O794" s="1"/>
  <c r="N796"/>
  <c r="O796" s="1"/>
  <c r="N793"/>
  <c r="O793" s="1"/>
  <c r="N795"/>
  <c r="O795" s="1"/>
  <c r="N797"/>
  <c r="O797" s="1"/>
  <c r="N799"/>
  <c r="O799" s="1"/>
  <c r="K791"/>
  <c r="I791"/>
  <c r="K790"/>
  <c r="I790"/>
  <c r="K789"/>
  <c r="I789"/>
  <c r="K788"/>
  <c r="I788"/>
  <c r="K787"/>
  <c r="I787"/>
  <c r="K786"/>
  <c r="I786"/>
  <c r="K785"/>
  <c r="I785"/>
  <c r="K784"/>
  <c r="I784"/>
  <c r="K783"/>
  <c r="I783"/>
  <c r="K782"/>
  <c r="I782"/>
  <c r="N782" l="1"/>
  <c r="O782" s="1"/>
  <c r="N786"/>
  <c r="O786" s="1"/>
  <c r="N788"/>
  <c r="O788" s="1"/>
  <c r="N784"/>
  <c r="O784" s="1"/>
  <c r="N790"/>
  <c r="O790" s="1"/>
  <c r="N783"/>
  <c r="O783" s="1"/>
  <c r="N785"/>
  <c r="O785" s="1"/>
  <c r="N787"/>
  <c r="O787" s="1"/>
  <c r="N789"/>
  <c r="O789" s="1"/>
  <c r="N791"/>
  <c r="O791" s="1"/>
  <c r="K781"/>
  <c r="I781"/>
  <c r="K780"/>
  <c r="I780"/>
  <c r="K779"/>
  <c r="I779"/>
  <c r="K778"/>
  <c r="I778"/>
  <c r="K777"/>
  <c r="I777"/>
  <c r="K776"/>
  <c r="I776"/>
  <c r="N779" l="1"/>
  <c r="O779" s="1"/>
  <c r="N777"/>
  <c r="O777" s="1"/>
  <c r="N781"/>
  <c r="O781" s="1"/>
  <c r="N776"/>
  <c r="O776" s="1"/>
  <c r="N778"/>
  <c r="O778" s="1"/>
  <c r="N780"/>
  <c r="O780" s="1"/>
  <c r="K775"/>
  <c r="I775"/>
  <c r="K774"/>
  <c r="I774"/>
  <c r="K773"/>
  <c r="I773"/>
  <c r="N773" l="1"/>
  <c r="O773" s="1"/>
  <c r="N775"/>
  <c r="O775" s="1"/>
  <c r="N774"/>
  <c r="O774" s="1"/>
  <c r="K772"/>
  <c r="I772"/>
  <c r="K771"/>
  <c r="I771"/>
  <c r="K770"/>
  <c r="I770"/>
  <c r="K769"/>
  <c r="I769"/>
  <c r="K768"/>
  <c r="I768"/>
  <c r="K767"/>
  <c r="I767"/>
  <c r="N771" l="1"/>
  <c r="O771" s="1"/>
  <c r="N767"/>
  <c r="O767" s="1"/>
  <c r="N769"/>
  <c r="O769" s="1"/>
  <c r="N768"/>
  <c r="O768" s="1"/>
  <c r="N770"/>
  <c r="O770" s="1"/>
  <c r="N772"/>
  <c r="O772" s="1"/>
  <c r="K766"/>
  <c r="I766"/>
  <c r="K765"/>
  <c r="I765"/>
  <c r="K764"/>
  <c r="I764"/>
  <c r="K763"/>
  <c r="I763"/>
  <c r="K762"/>
  <c r="I762"/>
  <c r="K761"/>
  <c r="I761"/>
  <c r="N764" l="1"/>
  <c r="O764" s="1"/>
  <c r="N762"/>
  <c r="O762" s="1"/>
  <c r="N766"/>
  <c r="O766" s="1"/>
  <c r="N761"/>
  <c r="O761" s="1"/>
  <c r="N763"/>
  <c r="O763" s="1"/>
  <c r="N765"/>
  <c r="O765" s="1"/>
  <c r="K760"/>
  <c r="I760"/>
  <c r="K759"/>
  <c r="I759"/>
  <c r="K758"/>
  <c r="I758"/>
  <c r="K757"/>
  <c r="I757"/>
  <c r="K756"/>
  <c r="I756"/>
  <c r="K755"/>
  <c r="I755"/>
  <c r="K754"/>
  <c r="I754"/>
  <c r="K753"/>
  <c r="I753"/>
  <c r="K752"/>
  <c r="I752"/>
  <c r="K751"/>
  <c r="N758" l="1"/>
  <c r="O758" s="1"/>
  <c r="N754"/>
  <c r="O754" s="1"/>
  <c r="N752"/>
  <c r="O752" s="1"/>
  <c r="N756"/>
  <c r="O756" s="1"/>
  <c r="N760"/>
  <c r="O760" s="1"/>
  <c r="N753"/>
  <c r="O753" s="1"/>
  <c r="N755"/>
  <c r="O755" s="1"/>
  <c r="N757"/>
  <c r="O757" s="1"/>
  <c r="N759"/>
  <c r="O759" s="1"/>
  <c r="I751"/>
  <c r="K750"/>
  <c r="I750"/>
  <c r="K749"/>
  <c r="I749"/>
  <c r="K748"/>
  <c r="I748"/>
  <c r="K747"/>
  <c r="I747"/>
  <c r="K746"/>
  <c r="I746"/>
  <c r="K745"/>
  <c r="I745"/>
  <c r="N750" l="1"/>
  <c r="O750" s="1"/>
  <c r="N748"/>
  <c r="O748" s="1"/>
  <c r="N751"/>
  <c r="O751" s="1"/>
  <c r="N746"/>
  <c r="O746" s="1"/>
  <c r="N745"/>
  <c r="O745" s="1"/>
  <c r="N747"/>
  <c r="O747" s="1"/>
  <c r="N749"/>
  <c r="O749" s="1"/>
  <c r="K744"/>
  <c r="I744"/>
  <c r="N744" l="1"/>
  <c r="O744" s="1"/>
  <c r="K743"/>
  <c r="I743"/>
  <c r="K742"/>
  <c r="I742"/>
  <c r="K741"/>
  <c r="I741"/>
  <c r="K740"/>
  <c r="I740"/>
  <c r="K739"/>
  <c r="I739"/>
  <c r="K738"/>
  <c r="I738"/>
  <c r="K737"/>
  <c r="I737"/>
  <c r="K736"/>
  <c r="I736"/>
  <c r="K735"/>
  <c r="I735"/>
  <c r="K734"/>
  <c r="I734"/>
  <c r="K733"/>
  <c r="I733"/>
  <c r="N740" l="1"/>
  <c r="O740" s="1"/>
  <c r="N736"/>
  <c r="O736" s="1"/>
  <c r="N742"/>
  <c r="O742" s="1"/>
  <c r="N734"/>
  <c r="O734" s="1"/>
  <c r="N738"/>
  <c r="O738" s="1"/>
  <c r="N733"/>
  <c r="O733" s="1"/>
  <c r="N735"/>
  <c r="O735" s="1"/>
  <c r="N737"/>
  <c r="O737" s="1"/>
  <c r="N739"/>
  <c r="O739" s="1"/>
  <c r="N741"/>
  <c r="O741" s="1"/>
  <c r="N743"/>
  <c r="O743" s="1"/>
  <c r="K732"/>
  <c r="I732"/>
  <c r="K731"/>
  <c r="I731"/>
  <c r="K730"/>
  <c r="I730"/>
  <c r="K729"/>
  <c r="I729"/>
  <c r="K728"/>
  <c r="I728"/>
  <c r="K727"/>
  <c r="I727"/>
  <c r="K726"/>
  <c r="I726"/>
  <c r="K725"/>
  <c r="I725"/>
  <c r="K724"/>
  <c r="I724"/>
  <c r="K723"/>
  <c r="I723"/>
  <c r="K722"/>
  <c r="I722"/>
  <c r="K721"/>
  <c r="I721"/>
  <c r="K720"/>
  <c r="I720"/>
  <c r="K719"/>
  <c r="I719"/>
  <c r="K718"/>
  <c r="I718"/>
  <c r="K717"/>
  <c r="I717"/>
  <c r="K716"/>
  <c r="I716"/>
  <c r="K715"/>
  <c r="I715"/>
  <c r="K714"/>
  <c r="I714"/>
  <c r="K713"/>
  <c r="I713"/>
  <c r="K712"/>
  <c r="I712"/>
  <c r="K711"/>
  <c r="I711"/>
  <c r="K710"/>
  <c r="I710"/>
  <c r="K709"/>
  <c r="I709"/>
  <c r="K708"/>
  <c r="I708"/>
  <c r="K707"/>
  <c r="I707"/>
  <c r="K706"/>
  <c r="I706"/>
  <c r="K705"/>
  <c r="I705"/>
  <c r="K704"/>
  <c r="I704"/>
  <c r="K703"/>
  <c r="I703"/>
  <c r="K702"/>
  <c r="I702"/>
  <c r="K701"/>
  <c r="I701"/>
  <c r="K700"/>
  <c r="N703" l="1"/>
  <c r="O703" s="1"/>
  <c r="N709"/>
  <c r="O709" s="1"/>
  <c r="N713"/>
  <c r="O713" s="1"/>
  <c r="N715"/>
  <c r="O715" s="1"/>
  <c r="N717"/>
  <c r="O717" s="1"/>
  <c r="N719"/>
  <c r="O719" s="1"/>
  <c r="N721"/>
  <c r="O721" s="1"/>
  <c r="N723"/>
  <c r="O723" s="1"/>
  <c r="N725"/>
  <c r="O725" s="1"/>
  <c r="N727"/>
  <c r="O727" s="1"/>
  <c r="N729"/>
  <c r="O729" s="1"/>
  <c r="N731"/>
  <c r="O731" s="1"/>
  <c r="N705"/>
  <c r="O705" s="1"/>
  <c r="N711"/>
  <c r="O711" s="1"/>
  <c r="N701"/>
  <c r="O701" s="1"/>
  <c r="N707"/>
  <c r="O707" s="1"/>
  <c r="N702"/>
  <c r="O702" s="1"/>
  <c r="N704"/>
  <c r="O704" s="1"/>
  <c r="N706"/>
  <c r="O706" s="1"/>
  <c r="N708"/>
  <c r="O708" s="1"/>
  <c r="N710"/>
  <c r="O710" s="1"/>
  <c r="N712"/>
  <c r="O712" s="1"/>
  <c r="N714"/>
  <c r="O714" s="1"/>
  <c r="N716"/>
  <c r="O716" s="1"/>
  <c r="N718"/>
  <c r="O718" s="1"/>
  <c r="N720"/>
  <c r="O720" s="1"/>
  <c r="N722"/>
  <c r="O722" s="1"/>
  <c r="N724"/>
  <c r="O724" s="1"/>
  <c r="N726"/>
  <c r="O726" s="1"/>
  <c r="N728"/>
  <c r="O728" s="1"/>
  <c r="N730"/>
  <c r="O730" s="1"/>
  <c r="N732"/>
  <c r="O732" s="1"/>
  <c r="I700"/>
  <c r="K699"/>
  <c r="I699"/>
  <c r="K698"/>
  <c r="I698"/>
  <c r="K697"/>
  <c r="I697"/>
  <c r="K696"/>
  <c r="I696"/>
  <c r="K695"/>
  <c r="I695"/>
  <c r="K694"/>
  <c r="I694"/>
  <c r="K693"/>
  <c r="I693"/>
  <c r="K692"/>
  <c r="I692"/>
  <c r="K691"/>
  <c r="I691"/>
  <c r="N694" l="1"/>
  <c r="O694" s="1"/>
  <c r="N696"/>
  <c r="O696" s="1"/>
  <c r="N692"/>
  <c r="O692" s="1"/>
  <c r="N700"/>
  <c r="O700" s="1"/>
  <c r="N693"/>
  <c r="O693" s="1"/>
  <c r="N699"/>
  <c r="O699" s="1"/>
  <c r="N698"/>
  <c r="O698" s="1"/>
  <c r="N691"/>
  <c r="O691" s="1"/>
  <c r="N695"/>
  <c r="O695" s="1"/>
  <c r="N697"/>
  <c r="O697" s="1"/>
  <c r="K690"/>
  <c r="I690"/>
  <c r="K689"/>
  <c r="I689"/>
  <c r="K688"/>
  <c r="I688"/>
  <c r="K687"/>
  <c r="I687"/>
  <c r="K686"/>
  <c r="I686"/>
  <c r="N686" l="1"/>
  <c r="O686" s="1"/>
  <c r="N690"/>
  <c r="O690" s="1"/>
  <c r="N688"/>
  <c r="O688" s="1"/>
  <c r="N687"/>
  <c r="O687" s="1"/>
  <c r="N689"/>
  <c r="O689" s="1"/>
  <c r="K685"/>
  <c r="I685"/>
  <c r="K684"/>
  <c r="I684"/>
  <c r="K683"/>
  <c r="I683"/>
  <c r="N684" l="1"/>
  <c r="O684" s="1"/>
  <c r="N683"/>
  <c r="O683" s="1"/>
  <c r="N685"/>
  <c r="O685" s="1"/>
  <c r="K682"/>
  <c r="I682"/>
  <c r="K681"/>
  <c r="I681"/>
  <c r="K680"/>
  <c r="I680"/>
  <c r="K679"/>
  <c r="I679"/>
  <c r="K678"/>
  <c r="I678"/>
  <c r="K677"/>
  <c r="I677"/>
  <c r="K676"/>
  <c r="I676"/>
  <c r="K675"/>
  <c r="I675"/>
  <c r="K674"/>
  <c r="I674"/>
  <c r="K673"/>
  <c r="I673"/>
  <c r="N681" l="1"/>
  <c r="O681" s="1"/>
  <c r="N673"/>
  <c r="O673" s="1"/>
  <c r="N679"/>
  <c r="O679" s="1"/>
  <c r="N675"/>
  <c r="O675" s="1"/>
  <c r="N677"/>
  <c r="O677" s="1"/>
  <c r="N674"/>
  <c r="O674" s="1"/>
  <c r="N676"/>
  <c r="O676" s="1"/>
  <c r="N678"/>
  <c r="O678" s="1"/>
  <c r="N680"/>
  <c r="O680" s="1"/>
  <c r="N682"/>
  <c r="O682" s="1"/>
  <c r="K672"/>
  <c r="I672"/>
  <c r="K671"/>
  <c r="I671"/>
  <c r="K670"/>
  <c r="I670"/>
  <c r="K669"/>
  <c r="I669"/>
  <c r="K668"/>
  <c r="I668"/>
  <c r="K667"/>
  <c r="I667"/>
  <c r="K666"/>
  <c r="I666"/>
  <c r="K665"/>
  <c r="I665"/>
  <c r="K664"/>
  <c r="I664"/>
  <c r="K663"/>
  <c r="I663"/>
  <c r="K662"/>
  <c r="I662"/>
  <c r="K661"/>
  <c r="I661"/>
  <c r="K660"/>
  <c r="I660"/>
  <c r="K659"/>
  <c r="I659"/>
  <c r="K658"/>
  <c r="I658"/>
  <c r="K657"/>
  <c r="I657"/>
  <c r="K656"/>
  <c r="I656"/>
  <c r="K655"/>
  <c r="I655"/>
  <c r="K654"/>
  <c r="I654"/>
  <c r="K653"/>
  <c r="I653"/>
  <c r="K652"/>
  <c r="I652"/>
  <c r="K651"/>
  <c r="I651"/>
  <c r="K650"/>
  <c r="I650"/>
  <c r="K649"/>
  <c r="I649"/>
  <c r="K648"/>
  <c r="I648"/>
  <c r="K647"/>
  <c r="I647"/>
  <c r="K646"/>
  <c r="I646"/>
  <c r="K645"/>
  <c r="I645"/>
  <c r="K644"/>
  <c r="I644"/>
  <c r="K643"/>
  <c r="I643"/>
  <c r="K642"/>
  <c r="I642"/>
  <c r="K641"/>
  <c r="I641"/>
  <c r="K640"/>
  <c r="I640"/>
  <c r="K639"/>
  <c r="I639"/>
  <c r="K638"/>
  <c r="I638"/>
  <c r="K637"/>
  <c r="I637"/>
  <c r="K636"/>
  <c r="I636"/>
  <c r="K635"/>
  <c r="I635"/>
  <c r="K634"/>
  <c r="I634"/>
  <c r="K633"/>
  <c r="I633"/>
  <c r="K632"/>
  <c r="I632"/>
  <c r="K631"/>
  <c r="I631"/>
  <c r="K630"/>
  <c r="I630"/>
  <c r="K629"/>
  <c r="I629"/>
  <c r="K628"/>
  <c r="I628"/>
  <c r="K627"/>
  <c r="I627"/>
  <c r="K626"/>
  <c r="I626"/>
  <c r="K625"/>
  <c r="I625"/>
  <c r="K624"/>
  <c r="I624"/>
  <c r="K623"/>
  <c r="I623"/>
  <c r="K622"/>
  <c r="I622"/>
  <c r="K621"/>
  <c r="I621"/>
  <c r="K620"/>
  <c r="I620"/>
  <c r="K619"/>
  <c r="I619"/>
  <c r="K618"/>
  <c r="I618"/>
  <c r="K617"/>
  <c r="I617"/>
  <c r="K616"/>
  <c r="I616"/>
  <c r="K615"/>
  <c r="I615"/>
  <c r="K614"/>
  <c r="I614"/>
  <c r="K613"/>
  <c r="I613"/>
  <c r="K612"/>
  <c r="I612"/>
  <c r="K611"/>
  <c r="I611"/>
  <c r="K610"/>
  <c r="I610"/>
  <c r="K609"/>
  <c r="I609"/>
  <c r="K608"/>
  <c r="I608"/>
  <c r="K607"/>
  <c r="I607"/>
  <c r="K606"/>
  <c r="I606"/>
  <c r="K605"/>
  <c r="I605"/>
  <c r="K604"/>
  <c r="I604"/>
  <c r="K603"/>
  <c r="I603"/>
  <c r="K602"/>
  <c r="I602"/>
  <c r="K601"/>
  <c r="I601"/>
  <c r="K600"/>
  <c r="I600"/>
  <c r="K599"/>
  <c r="I599"/>
  <c r="K598"/>
  <c r="I598"/>
  <c r="K597"/>
  <c r="I597"/>
  <c r="K596"/>
  <c r="I596"/>
  <c r="K595"/>
  <c r="I595"/>
  <c r="K594"/>
  <c r="I594"/>
  <c r="K593"/>
  <c r="I593"/>
  <c r="K592"/>
  <c r="I592"/>
  <c r="K591"/>
  <c r="I591"/>
  <c r="K590"/>
  <c r="I590"/>
  <c r="K589"/>
  <c r="I589"/>
  <c r="K588"/>
  <c r="I588"/>
  <c r="K587"/>
  <c r="I587"/>
  <c r="K586"/>
  <c r="I586"/>
  <c r="K585"/>
  <c r="I585"/>
  <c r="K584"/>
  <c r="I584"/>
  <c r="K583"/>
  <c r="I583"/>
  <c r="K582"/>
  <c r="I582"/>
  <c r="K581"/>
  <c r="I581"/>
  <c r="K580"/>
  <c r="I580"/>
  <c r="K579"/>
  <c r="I579"/>
  <c r="K578"/>
  <c r="I578"/>
  <c r="I577"/>
  <c r="K576"/>
  <c r="I576"/>
  <c r="K575"/>
  <c r="I575"/>
  <c r="K574"/>
  <c r="I574"/>
  <c r="K573"/>
  <c r="I573"/>
  <c r="K572"/>
  <c r="I572"/>
  <c r="K571"/>
  <c r="I571"/>
  <c r="K570"/>
  <c r="I570"/>
  <c r="K569"/>
  <c r="I569"/>
  <c r="K568"/>
  <c r="I568"/>
  <c r="K567"/>
  <c r="I567"/>
  <c r="K566"/>
  <c r="I566"/>
  <c r="K565"/>
  <c r="I565"/>
  <c r="K564"/>
  <c r="I564"/>
  <c r="K563"/>
  <c r="I563"/>
  <c r="K562"/>
  <c r="I562"/>
  <c r="K561"/>
  <c r="I561"/>
  <c r="K560"/>
  <c r="I560"/>
  <c r="K559"/>
  <c r="I559"/>
  <c r="K558"/>
  <c r="I558"/>
  <c r="K557"/>
  <c r="I557"/>
  <c r="K556"/>
  <c r="I556"/>
  <c r="K555"/>
  <c r="I555"/>
  <c r="K554"/>
  <c r="I554"/>
  <c r="K553"/>
  <c r="I553"/>
  <c r="K552"/>
  <c r="I552"/>
  <c r="K551"/>
  <c r="I551"/>
  <c r="K550"/>
  <c r="I550"/>
  <c r="K549"/>
  <c r="I549"/>
  <c r="K548"/>
  <c r="I548"/>
  <c r="K547"/>
  <c r="I547"/>
  <c r="K546"/>
  <c r="I546"/>
  <c r="K545"/>
  <c r="I545"/>
  <c r="K544"/>
  <c r="I544"/>
  <c r="K543"/>
  <c r="I543"/>
  <c r="K542"/>
  <c r="I542"/>
  <c r="K541"/>
  <c r="I541"/>
  <c r="K540"/>
  <c r="N542" l="1"/>
  <c r="O542" s="1"/>
  <c r="N550"/>
  <c r="O550" s="1"/>
  <c r="N552"/>
  <c r="O552" s="1"/>
  <c r="N554"/>
  <c r="O554" s="1"/>
  <c r="N556"/>
  <c r="O556" s="1"/>
  <c r="N558"/>
  <c r="O558" s="1"/>
  <c r="N560"/>
  <c r="O560" s="1"/>
  <c r="N562"/>
  <c r="O562" s="1"/>
  <c r="N564"/>
  <c r="O564" s="1"/>
  <c r="N566"/>
  <c r="O566" s="1"/>
  <c r="N568"/>
  <c r="O568" s="1"/>
  <c r="N570"/>
  <c r="O570" s="1"/>
  <c r="N572"/>
  <c r="O572" s="1"/>
  <c r="N574"/>
  <c r="O574" s="1"/>
  <c r="N576"/>
  <c r="O576" s="1"/>
  <c r="N548"/>
  <c r="O548" s="1"/>
  <c r="N578"/>
  <c r="O578" s="1"/>
  <c r="N580"/>
  <c r="O580" s="1"/>
  <c r="N582"/>
  <c r="O582" s="1"/>
  <c r="N584"/>
  <c r="O584" s="1"/>
  <c r="N586"/>
  <c r="O586" s="1"/>
  <c r="N588"/>
  <c r="O588" s="1"/>
  <c r="N590"/>
  <c r="O590" s="1"/>
  <c r="N592"/>
  <c r="O592" s="1"/>
  <c r="N594"/>
  <c r="O594" s="1"/>
  <c r="N596"/>
  <c r="O596" s="1"/>
  <c r="N598"/>
  <c r="O598" s="1"/>
  <c r="N600"/>
  <c r="O600" s="1"/>
  <c r="N602"/>
  <c r="O602" s="1"/>
  <c r="N604"/>
  <c r="O604" s="1"/>
  <c r="N606"/>
  <c r="O606" s="1"/>
  <c r="N608"/>
  <c r="O608" s="1"/>
  <c r="N610"/>
  <c r="O610" s="1"/>
  <c r="N612"/>
  <c r="O612" s="1"/>
  <c r="N614"/>
  <c r="O614" s="1"/>
  <c r="N616"/>
  <c r="O616" s="1"/>
  <c r="N618"/>
  <c r="O618" s="1"/>
  <c r="N620"/>
  <c r="O620" s="1"/>
  <c r="N622"/>
  <c r="O622" s="1"/>
  <c r="N624"/>
  <c r="O624" s="1"/>
  <c r="N626"/>
  <c r="O626" s="1"/>
  <c r="N628"/>
  <c r="O628" s="1"/>
  <c r="N630"/>
  <c r="O630" s="1"/>
  <c r="N632"/>
  <c r="O632" s="1"/>
  <c r="N634"/>
  <c r="O634" s="1"/>
  <c r="N636"/>
  <c r="O636" s="1"/>
  <c r="N638"/>
  <c r="O638" s="1"/>
  <c r="N640"/>
  <c r="O640" s="1"/>
  <c r="N642"/>
  <c r="O642" s="1"/>
  <c r="N644"/>
  <c r="O644" s="1"/>
  <c r="N646"/>
  <c r="O646" s="1"/>
  <c r="N648"/>
  <c r="O648" s="1"/>
  <c r="N650"/>
  <c r="O650" s="1"/>
  <c r="N652"/>
  <c r="O652" s="1"/>
  <c r="N654"/>
  <c r="O654" s="1"/>
  <c r="N656"/>
  <c r="O656" s="1"/>
  <c r="N658"/>
  <c r="O658" s="1"/>
  <c r="N660"/>
  <c r="O660" s="1"/>
  <c r="N662"/>
  <c r="O662" s="1"/>
  <c r="N664"/>
  <c r="O664" s="1"/>
  <c r="N666"/>
  <c r="O666" s="1"/>
  <c r="N668"/>
  <c r="O668" s="1"/>
  <c r="N670"/>
  <c r="O670" s="1"/>
  <c r="N672"/>
  <c r="O672" s="1"/>
  <c r="N544"/>
  <c r="O544" s="1"/>
  <c r="N543"/>
  <c r="O543" s="1"/>
  <c r="N545"/>
  <c r="O545" s="1"/>
  <c r="N547"/>
  <c r="O547" s="1"/>
  <c r="N549"/>
  <c r="O549" s="1"/>
  <c r="N551"/>
  <c r="O551" s="1"/>
  <c r="N553"/>
  <c r="O553" s="1"/>
  <c r="N555"/>
  <c r="O555" s="1"/>
  <c r="N557"/>
  <c r="O557" s="1"/>
  <c r="N559"/>
  <c r="O559" s="1"/>
  <c r="N561"/>
  <c r="O561" s="1"/>
  <c r="N563"/>
  <c r="O563" s="1"/>
  <c r="N565"/>
  <c r="O565" s="1"/>
  <c r="N567"/>
  <c r="O567" s="1"/>
  <c r="N569"/>
  <c r="O569" s="1"/>
  <c r="N571"/>
  <c r="O571" s="1"/>
  <c r="N573"/>
  <c r="O573" s="1"/>
  <c r="N575"/>
  <c r="O575" s="1"/>
  <c r="N577"/>
  <c r="O577" s="1"/>
  <c r="N546"/>
  <c r="O546" s="1"/>
  <c r="N541"/>
  <c r="O541" s="1"/>
  <c r="N579"/>
  <c r="O579" s="1"/>
  <c r="N581"/>
  <c r="O581" s="1"/>
  <c r="N583"/>
  <c r="O583" s="1"/>
  <c r="N585"/>
  <c r="O585" s="1"/>
  <c r="N587"/>
  <c r="O587" s="1"/>
  <c r="N589"/>
  <c r="O589" s="1"/>
  <c r="N591"/>
  <c r="O591" s="1"/>
  <c r="N593"/>
  <c r="O593" s="1"/>
  <c r="N595"/>
  <c r="O595" s="1"/>
  <c r="N597"/>
  <c r="O597" s="1"/>
  <c r="N599"/>
  <c r="O599" s="1"/>
  <c r="N601"/>
  <c r="O601" s="1"/>
  <c r="N603"/>
  <c r="O603" s="1"/>
  <c r="N605"/>
  <c r="O605" s="1"/>
  <c r="N607"/>
  <c r="O607" s="1"/>
  <c r="N609"/>
  <c r="O609" s="1"/>
  <c r="N611"/>
  <c r="O611" s="1"/>
  <c r="N613"/>
  <c r="O613" s="1"/>
  <c r="N615"/>
  <c r="O615" s="1"/>
  <c r="N617"/>
  <c r="O617" s="1"/>
  <c r="N619"/>
  <c r="O619" s="1"/>
  <c r="N621"/>
  <c r="O621" s="1"/>
  <c r="N623"/>
  <c r="O623" s="1"/>
  <c r="N625"/>
  <c r="O625" s="1"/>
  <c r="N627"/>
  <c r="O627" s="1"/>
  <c r="N629"/>
  <c r="O629" s="1"/>
  <c r="N631"/>
  <c r="O631" s="1"/>
  <c r="N633"/>
  <c r="O633" s="1"/>
  <c r="N635"/>
  <c r="O635" s="1"/>
  <c r="N637"/>
  <c r="O637" s="1"/>
  <c r="N639"/>
  <c r="O639" s="1"/>
  <c r="N641"/>
  <c r="O641" s="1"/>
  <c r="N643"/>
  <c r="O643" s="1"/>
  <c r="N645"/>
  <c r="O645" s="1"/>
  <c r="N647"/>
  <c r="O647" s="1"/>
  <c r="N649"/>
  <c r="O649" s="1"/>
  <c r="N651"/>
  <c r="O651" s="1"/>
  <c r="N653"/>
  <c r="O653" s="1"/>
  <c r="N655"/>
  <c r="O655" s="1"/>
  <c r="N657"/>
  <c r="O657" s="1"/>
  <c r="N659"/>
  <c r="O659" s="1"/>
  <c r="N661"/>
  <c r="O661" s="1"/>
  <c r="N663"/>
  <c r="O663" s="1"/>
  <c r="N665"/>
  <c r="O665" s="1"/>
  <c r="N667"/>
  <c r="O667" s="1"/>
  <c r="N669"/>
  <c r="O669" s="1"/>
  <c r="N671"/>
  <c r="O671" s="1"/>
  <c r="I540"/>
  <c r="K539"/>
  <c r="I539"/>
  <c r="K538"/>
  <c r="I538"/>
  <c r="K537"/>
  <c r="I537"/>
  <c r="K536"/>
  <c r="I536"/>
  <c r="K535"/>
  <c r="I535"/>
  <c r="K534"/>
  <c r="I534"/>
  <c r="K533"/>
  <c r="I533"/>
  <c r="K532"/>
  <c r="I532"/>
  <c r="K531"/>
  <c r="I531"/>
  <c r="K530"/>
  <c r="I530"/>
  <c r="K529"/>
  <c r="I529"/>
  <c r="K528"/>
  <c r="I528"/>
  <c r="K527"/>
  <c r="I527"/>
  <c r="K526"/>
  <c r="I526"/>
  <c r="K525"/>
  <c r="I525"/>
  <c r="K524"/>
  <c r="I524"/>
  <c r="K523"/>
  <c r="I523"/>
  <c r="K522"/>
  <c r="I522"/>
  <c r="K521"/>
  <c r="I521"/>
  <c r="K520"/>
  <c r="I520"/>
  <c r="K519"/>
  <c r="I519"/>
  <c r="K518"/>
  <c r="I518"/>
  <c r="K517"/>
  <c r="I517"/>
  <c r="K516"/>
  <c r="I516"/>
  <c r="K515"/>
  <c r="I515"/>
  <c r="K514"/>
  <c r="I514"/>
  <c r="K513"/>
  <c r="I513"/>
  <c r="K512"/>
  <c r="I512"/>
  <c r="K511"/>
  <c r="I511"/>
  <c r="K510"/>
  <c r="I510"/>
  <c r="K509"/>
  <c r="I509"/>
  <c r="I508"/>
  <c r="K507"/>
  <c r="I507"/>
  <c r="I506"/>
  <c r="K505"/>
  <c r="I505"/>
  <c r="K504"/>
  <c r="I504"/>
  <c r="K503"/>
  <c r="I503"/>
  <c r="K502"/>
  <c r="I502"/>
  <c r="K501"/>
  <c r="I501"/>
  <c r="K500"/>
  <c r="I500"/>
  <c r="K499"/>
  <c r="I499"/>
  <c r="K498"/>
  <c r="I498"/>
  <c r="K497"/>
  <c r="I497"/>
  <c r="K496"/>
  <c r="I496"/>
  <c r="K495"/>
  <c r="I495"/>
  <c r="K494"/>
  <c r="I494"/>
  <c r="K493"/>
  <c r="I493"/>
  <c r="K492"/>
  <c r="I492"/>
  <c r="K491"/>
  <c r="I491"/>
  <c r="K490"/>
  <c r="I490"/>
  <c r="K489"/>
  <c r="I489"/>
  <c r="K488"/>
  <c r="I488"/>
  <c r="K487"/>
  <c r="I487"/>
  <c r="K486"/>
  <c r="I486"/>
  <c r="K485"/>
  <c r="I485"/>
  <c r="K484"/>
  <c r="I484"/>
  <c r="K483"/>
  <c r="I483"/>
  <c r="K482"/>
  <c r="I482"/>
  <c r="K481"/>
  <c r="I481"/>
  <c r="K480"/>
  <c r="I480"/>
  <c r="K479"/>
  <c r="I479"/>
  <c r="K478"/>
  <c r="I478"/>
  <c r="K477"/>
  <c r="I477"/>
  <c r="K476"/>
  <c r="I476"/>
  <c r="K475"/>
  <c r="I475"/>
  <c r="K474"/>
  <c r="I474"/>
  <c r="K473"/>
  <c r="I473"/>
  <c r="K472"/>
  <c r="I472"/>
  <c r="K471"/>
  <c r="I471"/>
  <c r="K470"/>
  <c r="I470"/>
  <c r="K469"/>
  <c r="I469"/>
  <c r="K468"/>
  <c r="I468"/>
  <c r="K467"/>
  <c r="I467"/>
  <c r="K466"/>
  <c r="I466"/>
  <c r="K465"/>
  <c r="I465"/>
  <c r="K464"/>
  <c r="I464"/>
  <c r="K463"/>
  <c r="I463"/>
  <c r="K462"/>
  <c r="I462"/>
  <c r="K461"/>
  <c r="I461"/>
  <c r="K460"/>
  <c r="I460"/>
  <c r="K459"/>
  <c r="I459"/>
  <c r="K458"/>
  <c r="I458"/>
  <c r="K457"/>
  <c r="I457"/>
  <c r="K456"/>
  <c r="I456"/>
  <c r="K455"/>
  <c r="I455"/>
  <c r="K454"/>
  <c r="I454"/>
  <c r="K453"/>
  <c r="I453"/>
  <c r="K452"/>
  <c r="I452"/>
  <c r="K451"/>
  <c r="I451"/>
  <c r="K450"/>
  <c r="I450"/>
  <c r="K449"/>
  <c r="I449"/>
  <c r="K448"/>
  <c r="I448"/>
  <c r="K447"/>
  <c r="I447"/>
  <c r="K446"/>
  <c r="K445"/>
  <c r="I445"/>
  <c r="K444"/>
  <c r="I444"/>
  <c r="K443"/>
  <c r="I443"/>
  <c r="K442"/>
  <c r="I442"/>
  <c r="K441"/>
  <c r="I441"/>
  <c r="K440"/>
  <c r="I440"/>
  <c r="K439"/>
  <c r="I439"/>
  <c r="K438"/>
  <c r="I438"/>
  <c r="K437"/>
  <c r="I437"/>
  <c r="K436"/>
  <c r="I436"/>
  <c r="K435"/>
  <c r="I435"/>
  <c r="K434"/>
  <c r="I434"/>
  <c r="K433"/>
  <c r="I433"/>
  <c r="K432"/>
  <c r="I432"/>
  <c r="K431"/>
  <c r="I431"/>
  <c r="K430"/>
  <c r="I430"/>
  <c r="K429"/>
  <c r="I429"/>
  <c r="I428"/>
  <c r="K427"/>
  <c r="I427"/>
  <c r="K426"/>
  <c r="I426"/>
  <c r="K425"/>
  <c r="I425"/>
  <c r="K424"/>
  <c r="I424"/>
  <c r="K423"/>
  <c r="I423"/>
  <c r="K421"/>
  <c r="I421"/>
  <c r="K420"/>
  <c r="I420"/>
  <c r="K419"/>
  <c r="I419"/>
  <c r="K418"/>
  <c r="I418"/>
  <c r="K417"/>
  <c r="I417"/>
  <c r="K416"/>
  <c r="I416"/>
  <c r="K415"/>
  <c r="I415"/>
  <c r="K414"/>
  <c r="I414"/>
  <c r="K413"/>
  <c r="I413"/>
  <c r="K412"/>
  <c r="I412"/>
  <c r="K411"/>
  <c r="I411"/>
  <c r="K410"/>
  <c r="I410"/>
  <c r="K409"/>
  <c r="I409"/>
  <c r="K408"/>
  <c r="I408"/>
  <c r="K407"/>
  <c r="I407"/>
  <c r="K406"/>
  <c r="I406"/>
  <c r="K405"/>
  <c r="I405"/>
  <c r="K404"/>
  <c r="I404"/>
  <c r="K403"/>
  <c r="I403"/>
  <c r="K402"/>
  <c r="I402"/>
  <c r="K401"/>
  <c r="I401"/>
  <c r="K400"/>
  <c r="I400"/>
  <c r="K399"/>
  <c r="I399"/>
  <c r="K398"/>
  <c r="I398"/>
  <c r="K397"/>
  <c r="I397"/>
  <c r="K396"/>
  <c r="I396"/>
  <c r="K395"/>
  <c r="I395"/>
  <c r="K394"/>
  <c r="I394"/>
  <c r="K393"/>
  <c r="I393"/>
  <c r="K392"/>
  <c r="I392"/>
  <c r="K391"/>
  <c r="I391"/>
  <c r="K390"/>
  <c r="I390"/>
  <c r="K389"/>
  <c r="I389"/>
  <c r="K388"/>
  <c r="I388"/>
  <c r="K387"/>
  <c r="I387"/>
  <c r="K386"/>
  <c r="I386"/>
  <c r="K385"/>
  <c r="I385"/>
  <c r="K384"/>
  <c r="I384"/>
  <c r="K383"/>
  <c r="I383"/>
  <c r="I382"/>
  <c r="K381"/>
  <c r="I381"/>
  <c r="K380"/>
  <c r="I380"/>
  <c r="K379"/>
  <c r="I379"/>
  <c r="K378"/>
  <c r="I378"/>
  <c r="K377"/>
  <c r="I377"/>
  <c r="K376"/>
  <c r="I376"/>
  <c r="K375"/>
  <c r="I375"/>
  <c r="K374"/>
  <c r="I374"/>
  <c r="K373"/>
  <c r="I373"/>
  <c r="K372"/>
  <c r="I372"/>
  <c r="K371"/>
  <c r="I371"/>
  <c r="K370"/>
  <c r="I370"/>
  <c r="K369"/>
  <c r="I369"/>
  <c r="I368"/>
  <c r="I367"/>
  <c r="K366"/>
  <c r="I366"/>
  <c r="K365"/>
  <c r="I365"/>
  <c r="K364"/>
  <c r="I364"/>
  <c r="K363"/>
  <c r="I363"/>
  <c r="K362"/>
  <c r="I362"/>
  <c r="K361"/>
  <c r="I361"/>
  <c r="K360"/>
  <c r="I360"/>
  <c r="K359"/>
  <c r="I359"/>
  <c r="K358"/>
  <c r="I358"/>
  <c r="K357"/>
  <c r="I357"/>
  <c r="K356"/>
  <c r="I356"/>
  <c r="K355"/>
  <c r="I355"/>
  <c r="K354"/>
  <c r="I354"/>
  <c r="K353"/>
  <c r="I353"/>
  <c r="K352"/>
  <c r="I352"/>
  <c r="K351"/>
  <c r="I351"/>
  <c r="K350"/>
  <c r="K349"/>
  <c r="I349"/>
  <c r="K348"/>
  <c r="K347"/>
  <c r="K346"/>
  <c r="K345"/>
  <c r="K344"/>
  <c r="K343"/>
  <c r="I343"/>
  <c r="K342"/>
  <c r="I342"/>
  <c r="K341"/>
  <c r="I341"/>
  <c r="K340"/>
  <c r="I340"/>
  <c r="K339"/>
  <c r="I339"/>
  <c r="K338"/>
  <c r="I338"/>
  <c r="K337"/>
  <c r="I337"/>
  <c r="K336"/>
  <c r="I336"/>
  <c r="K335"/>
  <c r="I335"/>
  <c r="K334"/>
  <c r="I334"/>
  <c r="K333"/>
  <c r="I333"/>
  <c r="K332"/>
  <c r="I332"/>
  <c r="K331"/>
  <c r="I331"/>
  <c r="K330"/>
  <c r="I330"/>
  <c r="K329"/>
  <c r="I329"/>
  <c r="I328"/>
  <c r="I327"/>
  <c r="I326"/>
  <c r="K325"/>
  <c r="I325"/>
  <c r="K324"/>
  <c r="I324"/>
  <c r="K323"/>
  <c r="I323"/>
  <c r="I322"/>
  <c r="K321"/>
  <c r="I321"/>
  <c r="K320"/>
  <c r="I320"/>
  <c r="K319"/>
  <c r="I319"/>
  <c r="K318"/>
  <c r="I318"/>
  <c r="K317"/>
  <c r="I317"/>
  <c r="K316"/>
  <c r="I316"/>
  <c r="K315"/>
  <c r="I315"/>
  <c r="K314"/>
  <c r="I314"/>
  <c r="K313"/>
  <c r="I313"/>
  <c r="K312"/>
  <c r="I312"/>
  <c r="K311"/>
  <c r="I311"/>
  <c r="K310"/>
  <c r="I310"/>
  <c r="K309"/>
  <c r="I309"/>
  <c r="K308"/>
  <c r="I308"/>
  <c r="K307"/>
  <c r="I307"/>
  <c r="K306"/>
  <c r="I306"/>
  <c r="K305"/>
  <c r="I305"/>
  <c r="K304"/>
  <c r="I304"/>
  <c r="K303"/>
  <c r="I303"/>
  <c r="K302"/>
  <c r="I302"/>
  <c r="K301"/>
  <c r="I301"/>
  <c r="K300"/>
  <c r="I300"/>
  <c r="K299"/>
  <c r="I299"/>
  <c r="K298"/>
  <c r="I298"/>
  <c r="K297"/>
  <c r="I297"/>
  <c r="K296"/>
  <c r="I296"/>
  <c r="K295"/>
  <c r="I295"/>
  <c r="K294"/>
  <c r="I294"/>
  <c r="I293"/>
  <c r="I292"/>
  <c r="K291"/>
  <c r="I291"/>
  <c r="K290"/>
  <c r="I290"/>
  <c r="K289"/>
  <c r="I289"/>
  <c r="K288"/>
  <c r="I288"/>
  <c r="K287"/>
  <c r="I287"/>
  <c r="K286"/>
  <c r="I286"/>
  <c r="I285"/>
  <c r="K284"/>
  <c r="I284"/>
  <c r="K283"/>
  <c r="I283"/>
  <c r="K282"/>
  <c r="I282"/>
  <c r="K281"/>
  <c r="I281"/>
  <c r="K280"/>
  <c r="I280"/>
  <c r="K279"/>
  <c r="I279"/>
  <c r="K278"/>
  <c r="K276"/>
  <c r="K275"/>
  <c r="K274"/>
  <c r="K272"/>
  <c r="K271"/>
  <c r="I271"/>
  <c r="K270"/>
  <c r="I270"/>
  <c r="K269"/>
  <c r="I269"/>
  <c r="K268"/>
  <c r="I268"/>
  <c r="K267"/>
  <c r="I267"/>
  <c r="K266"/>
  <c r="I266"/>
  <c r="K265"/>
  <c r="I265"/>
  <c r="K264"/>
  <c r="I264"/>
  <c r="K263"/>
  <c r="I263"/>
  <c r="K262"/>
  <c r="I262"/>
  <c r="K261"/>
  <c r="I261"/>
  <c r="K260"/>
  <c r="I260"/>
  <c r="K259"/>
  <c r="I259"/>
  <c r="K258"/>
  <c r="I258"/>
  <c r="K257"/>
  <c r="I257"/>
  <c r="K256"/>
  <c r="I256"/>
  <c r="K255"/>
  <c r="I255"/>
  <c r="K254"/>
  <c r="I254"/>
  <c r="K253"/>
  <c r="I253"/>
  <c r="K252"/>
  <c r="I252"/>
  <c r="K251"/>
  <c r="I251"/>
  <c r="K250"/>
  <c r="I250"/>
  <c r="K249"/>
  <c r="I249"/>
  <c r="K248"/>
  <c r="I248"/>
  <c r="I247"/>
  <c r="K246"/>
  <c r="I246"/>
  <c r="K245"/>
  <c r="I245"/>
  <c r="K244"/>
  <c r="I244"/>
  <c r="K243"/>
  <c r="I243"/>
  <c r="K242"/>
  <c r="I242"/>
  <c r="K241"/>
  <c r="I241"/>
  <c r="K240"/>
  <c r="I240"/>
  <c r="K239"/>
  <c r="I239"/>
  <c r="K238"/>
  <c r="I238"/>
  <c r="K237"/>
  <c r="I237"/>
  <c r="K236"/>
  <c r="I236"/>
  <c r="K235"/>
  <c r="I235"/>
  <c r="K234"/>
  <c r="I234"/>
  <c r="K233"/>
  <c r="I233"/>
  <c r="K232"/>
  <c r="I232"/>
  <c r="K231"/>
  <c r="I231"/>
  <c r="I230"/>
  <c r="K229"/>
  <c r="I229"/>
  <c r="K228"/>
  <c r="I228"/>
  <c r="K227"/>
  <c r="I227"/>
  <c r="K226"/>
  <c r="I226"/>
  <c r="I225"/>
  <c r="I224"/>
  <c r="K223"/>
  <c r="I223"/>
  <c r="K222"/>
  <c r="I222"/>
  <c r="K221"/>
  <c r="I221"/>
  <c r="K220"/>
  <c r="I220"/>
  <c r="K219"/>
  <c r="I219"/>
  <c r="K218"/>
  <c r="I218"/>
  <c r="K217"/>
  <c r="I217"/>
  <c r="K216"/>
  <c r="I216"/>
  <c r="K215"/>
  <c r="I215"/>
  <c r="K214"/>
  <c r="I214"/>
  <c r="K213"/>
  <c r="I213"/>
  <c r="K212"/>
  <c r="I212"/>
  <c r="K211"/>
  <c r="I211"/>
  <c r="K210"/>
  <c r="I210"/>
  <c r="K209"/>
  <c r="I209"/>
  <c r="I208"/>
  <c r="K207"/>
  <c r="I207"/>
  <c r="K206"/>
  <c r="I206"/>
  <c r="I205"/>
  <c r="K204"/>
  <c r="I204"/>
  <c r="K203"/>
  <c r="I203"/>
  <c r="K202"/>
  <c r="I202"/>
  <c r="K201"/>
  <c r="I201"/>
  <c r="K200"/>
  <c r="I200"/>
  <c r="I199"/>
  <c r="K198"/>
  <c r="I198"/>
  <c r="K197"/>
  <c r="I197"/>
  <c r="I196"/>
  <c r="K195"/>
  <c r="I195"/>
  <c r="K194"/>
  <c r="I194"/>
  <c r="K193"/>
  <c r="I193"/>
  <c r="I192"/>
  <c r="K191"/>
  <c r="I191"/>
  <c r="K190"/>
  <c r="I190"/>
  <c r="K189"/>
  <c r="I189"/>
  <c r="K188"/>
  <c r="I188"/>
  <c r="K187"/>
  <c r="I187"/>
  <c r="K186"/>
  <c r="I186"/>
  <c r="K185"/>
  <c r="I185"/>
  <c r="K184"/>
  <c r="I184"/>
  <c r="K183"/>
  <c r="I183"/>
  <c r="K182"/>
  <c r="I182"/>
  <c r="K181"/>
  <c r="I181"/>
  <c r="K180"/>
  <c r="I180"/>
  <c r="K179"/>
  <c r="I179"/>
  <c r="K178"/>
  <c r="I178"/>
  <c r="K177"/>
  <c r="I177"/>
  <c r="I176"/>
  <c r="K175"/>
  <c r="I175"/>
  <c r="K174"/>
  <c r="I174"/>
  <c r="K173"/>
  <c r="I173"/>
  <c r="K172"/>
  <c r="I172"/>
  <c r="K171"/>
  <c r="I171"/>
  <c r="K170"/>
  <c r="I170"/>
  <c r="K169"/>
  <c r="I169"/>
  <c r="K168"/>
  <c r="I168"/>
  <c r="I167"/>
  <c r="K166"/>
  <c r="I166"/>
  <c r="K165"/>
  <c r="I165"/>
  <c r="I164"/>
  <c r="K163"/>
  <c r="I163"/>
  <c r="K162"/>
  <c r="I162"/>
  <c r="K161"/>
  <c r="I161"/>
  <c r="K160"/>
  <c r="I160"/>
  <c r="I159"/>
  <c r="K158"/>
  <c r="I158"/>
  <c r="K157"/>
  <c r="I157"/>
  <c r="K156"/>
  <c r="I156"/>
  <c r="K155"/>
  <c r="I155"/>
  <c r="K154"/>
  <c r="I154"/>
  <c r="I153"/>
  <c r="K152"/>
  <c r="I152"/>
  <c r="K151"/>
  <c r="I151"/>
  <c r="K150"/>
  <c r="I150"/>
  <c r="K149"/>
  <c r="I149"/>
  <c r="I148"/>
  <c r="I147"/>
  <c r="K146"/>
  <c r="I146"/>
  <c r="K145"/>
  <c r="I145"/>
  <c r="K144"/>
  <c r="I144"/>
  <c r="I143"/>
  <c r="K142"/>
  <c r="I142"/>
  <c r="K141"/>
  <c r="I141"/>
  <c r="K140"/>
  <c r="I140"/>
  <c r="K139"/>
  <c r="I139"/>
  <c r="K138"/>
  <c r="I138"/>
  <c r="I137"/>
  <c r="I136"/>
  <c r="K135"/>
  <c r="I135"/>
  <c r="K134"/>
  <c r="I134"/>
  <c r="K133"/>
  <c r="I133"/>
  <c r="K132"/>
  <c r="I132"/>
  <c r="K131"/>
  <c r="I131"/>
  <c r="I130"/>
  <c r="K129"/>
  <c r="I129"/>
  <c r="K128"/>
  <c r="I128"/>
  <c r="K127"/>
  <c r="I127"/>
  <c r="K126"/>
  <c r="I126"/>
  <c r="K125"/>
  <c r="I125"/>
  <c r="K124"/>
  <c r="I124"/>
  <c r="I122"/>
  <c r="K121"/>
  <c r="I121"/>
  <c r="K120"/>
  <c r="I120"/>
  <c r="K119"/>
  <c r="I119"/>
  <c r="K118"/>
  <c r="I118"/>
  <c r="K117"/>
  <c r="I117"/>
  <c r="K116"/>
  <c r="I116"/>
  <c r="I115"/>
  <c r="K114"/>
  <c r="I114"/>
  <c r="K113"/>
  <c r="I113"/>
  <c r="I112"/>
  <c r="K111"/>
  <c r="I111"/>
  <c r="K110"/>
  <c r="I110"/>
  <c r="I109"/>
  <c r="I108"/>
  <c r="K107"/>
  <c r="I107"/>
  <c r="I106"/>
  <c r="I105"/>
  <c r="K104"/>
  <c r="I104"/>
  <c r="I103"/>
  <c r="I102"/>
  <c r="K101"/>
  <c r="I101"/>
  <c r="K100"/>
  <c r="I100"/>
  <c r="I99"/>
  <c r="K98"/>
  <c r="I98"/>
  <c r="I97"/>
  <c r="I96"/>
  <c r="K95"/>
  <c r="I95"/>
  <c r="K94"/>
  <c r="I94"/>
  <c r="K93"/>
  <c r="I93"/>
  <c r="I92"/>
  <c r="I91"/>
  <c r="I90"/>
  <c r="I89"/>
  <c r="I88"/>
  <c r="K87"/>
  <c r="I87"/>
  <c r="I86"/>
  <c r="K85"/>
  <c r="I85"/>
  <c r="K84"/>
  <c r="I84"/>
  <c r="K83"/>
  <c r="I83"/>
  <c r="K82"/>
  <c r="I82"/>
  <c r="K81"/>
  <c r="I81"/>
  <c r="K80"/>
  <c r="I80"/>
  <c r="I79"/>
  <c r="I78"/>
  <c r="I77"/>
  <c r="K76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K40"/>
  <c r="I40"/>
  <c r="I39"/>
  <c r="I38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N5" l="1"/>
  <c r="O5" s="1"/>
  <c r="N12"/>
  <c r="O12" s="1"/>
  <c r="N24"/>
  <c r="O24" s="1"/>
  <c r="N32"/>
  <c r="O32" s="1"/>
  <c r="N44"/>
  <c r="O44" s="1"/>
  <c r="N52"/>
  <c r="O52" s="1"/>
  <c r="N60"/>
  <c r="O60" s="1"/>
  <c r="N68"/>
  <c r="O68" s="1"/>
  <c r="N76"/>
  <c r="O76" s="1"/>
  <c r="N92"/>
  <c r="O92" s="1"/>
  <c r="N97"/>
  <c r="O97" s="1"/>
  <c r="N100"/>
  <c r="O100" s="1"/>
  <c r="N102"/>
  <c r="O102" s="1"/>
  <c r="N105"/>
  <c r="O105" s="1"/>
  <c r="N108"/>
  <c r="O108" s="1"/>
  <c r="N111"/>
  <c r="O111" s="1"/>
  <c r="N116"/>
  <c r="O116" s="1"/>
  <c r="N118"/>
  <c r="O118" s="1"/>
  <c r="N120"/>
  <c r="O120" s="1"/>
  <c r="N122"/>
  <c r="O122" s="1"/>
  <c r="N132"/>
  <c r="O132" s="1"/>
  <c r="N134"/>
  <c r="O134" s="1"/>
  <c r="N136"/>
  <c r="O136" s="1"/>
  <c r="N139"/>
  <c r="O139" s="1"/>
  <c r="N141"/>
  <c r="O141" s="1"/>
  <c r="N143"/>
  <c r="O143" s="1"/>
  <c r="N148"/>
  <c r="O148" s="1"/>
  <c r="N155"/>
  <c r="O155" s="1"/>
  <c r="N157"/>
  <c r="O157" s="1"/>
  <c r="N159"/>
  <c r="O159" s="1"/>
  <c r="N166"/>
  <c r="O166" s="1"/>
  <c r="N177"/>
  <c r="O177" s="1"/>
  <c r="N179"/>
  <c r="O179" s="1"/>
  <c r="N181"/>
  <c r="O181" s="1"/>
  <c r="N183"/>
  <c r="O183" s="1"/>
  <c r="N185"/>
  <c r="O185" s="1"/>
  <c r="N187"/>
  <c r="O187" s="1"/>
  <c r="N189"/>
  <c r="O189" s="1"/>
  <c r="N191"/>
  <c r="O191" s="1"/>
  <c r="N193"/>
  <c r="O193" s="1"/>
  <c r="N195"/>
  <c r="O195" s="1"/>
  <c r="N200"/>
  <c r="O200" s="1"/>
  <c r="N202"/>
  <c r="O202" s="1"/>
  <c r="N204"/>
  <c r="O204" s="1"/>
  <c r="N209"/>
  <c r="O209" s="1"/>
  <c r="N211"/>
  <c r="O211" s="1"/>
  <c r="N213"/>
  <c r="O213" s="1"/>
  <c r="N215"/>
  <c r="O215" s="1"/>
  <c r="N217"/>
  <c r="O217" s="1"/>
  <c r="N219"/>
  <c r="O219" s="1"/>
  <c r="N221"/>
  <c r="O221" s="1"/>
  <c r="N223"/>
  <c r="O223" s="1"/>
  <c r="N226"/>
  <c r="O226" s="1"/>
  <c r="N228"/>
  <c r="O228" s="1"/>
  <c r="N230"/>
  <c r="O230" s="1"/>
  <c r="N249"/>
  <c r="O249" s="1"/>
  <c r="N251"/>
  <c r="O251" s="1"/>
  <c r="N253"/>
  <c r="O253" s="1"/>
  <c r="N255"/>
  <c r="O255" s="1"/>
  <c r="N257"/>
  <c r="O257" s="1"/>
  <c r="N259"/>
  <c r="O259" s="1"/>
  <c r="N261"/>
  <c r="O261" s="1"/>
  <c r="N263"/>
  <c r="O263" s="1"/>
  <c r="N265"/>
  <c r="O265" s="1"/>
  <c r="N267"/>
  <c r="O267" s="1"/>
  <c r="N269"/>
  <c r="O269" s="1"/>
  <c r="N271"/>
  <c r="O271" s="1"/>
  <c r="N286"/>
  <c r="O286" s="1"/>
  <c r="N288"/>
  <c r="O288" s="1"/>
  <c r="N290"/>
  <c r="O290" s="1"/>
  <c r="N292"/>
  <c r="O292" s="1"/>
  <c r="N295"/>
  <c r="O295" s="1"/>
  <c r="N297"/>
  <c r="O297" s="1"/>
  <c r="N299"/>
  <c r="O299" s="1"/>
  <c r="N301"/>
  <c r="O301" s="1"/>
  <c r="N303"/>
  <c r="O303" s="1"/>
  <c r="N305"/>
  <c r="O305" s="1"/>
  <c r="N307"/>
  <c r="O307" s="1"/>
  <c r="N309"/>
  <c r="O309" s="1"/>
  <c r="N311"/>
  <c r="O311" s="1"/>
  <c r="N313"/>
  <c r="O313" s="1"/>
  <c r="N315"/>
  <c r="O315" s="1"/>
  <c r="N317"/>
  <c r="O317" s="1"/>
  <c r="N319"/>
  <c r="O319" s="1"/>
  <c r="N321"/>
  <c r="O321" s="1"/>
  <c r="N323"/>
  <c r="O323" s="1"/>
  <c r="N325"/>
  <c r="O325" s="1"/>
  <c r="N328"/>
  <c r="O328" s="1"/>
  <c r="N349"/>
  <c r="O349" s="1"/>
  <c r="N368"/>
  <c r="O368" s="1"/>
  <c r="N383"/>
  <c r="O383" s="1"/>
  <c r="N385"/>
  <c r="O385" s="1"/>
  <c r="N387"/>
  <c r="O387" s="1"/>
  <c r="N389"/>
  <c r="O389" s="1"/>
  <c r="N391"/>
  <c r="O391" s="1"/>
  <c r="N393"/>
  <c r="O393" s="1"/>
  <c r="N395"/>
  <c r="O395" s="1"/>
  <c r="N397"/>
  <c r="O397" s="1"/>
  <c r="N399"/>
  <c r="O399" s="1"/>
  <c r="N401"/>
  <c r="O401" s="1"/>
  <c r="N403"/>
  <c r="O403" s="1"/>
  <c r="N405"/>
  <c r="O405" s="1"/>
  <c r="N407"/>
  <c r="O407" s="1"/>
  <c r="N409"/>
  <c r="O409" s="1"/>
  <c r="N411"/>
  <c r="O411" s="1"/>
  <c r="N413"/>
  <c r="O413" s="1"/>
  <c r="N415"/>
  <c r="O415" s="1"/>
  <c r="N417"/>
  <c r="O417" s="1"/>
  <c r="N419"/>
  <c r="O419" s="1"/>
  <c r="N421"/>
  <c r="O421" s="1"/>
  <c r="N424"/>
  <c r="O424" s="1"/>
  <c r="N426"/>
  <c r="O426" s="1"/>
  <c r="N428"/>
  <c r="O428" s="1"/>
  <c r="N447"/>
  <c r="O447" s="1"/>
  <c r="N449"/>
  <c r="O449" s="1"/>
  <c r="N451"/>
  <c r="O451" s="1"/>
  <c r="N453"/>
  <c r="O453" s="1"/>
  <c r="N455"/>
  <c r="O455" s="1"/>
  <c r="N457"/>
  <c r="O457" s="1"/>
  <c r="N459"/>
  <c r="O459" s="1"/>
  <c r="N461"/>
  <c r="O461" s="1"/>
  <c r="N463"/>
  <c r="O463" s="1"/>
  <c r="N465"/>
  <c r="O465" s="1"/>
  <c r="N467"/>
  <c r="O467" s="1"/>
  <c r="N469"/>
  <c r="O469" s="1"/>
  <c r="N471"/>
  <c r="O471" s="1"/>
  <c r="N473"/>
  <c r="O473" s="1"/>
  <c r="N475"/>
  <c r="O475" s="1"/>
  <c r="N477"/>
  <c r="O477" s="1"/>
  <c r="N479"/>
  <c r="O479" s="1"/>
  <c r="N481"/>
  <c r="O481" s="1"/>
  <c r="N483"/>
  <c r="O483" s="1"/>
  <c r="N485"/>
  <c r="O485" s="1"/>
  <c r="N487"/>
  <c r="O487" s="1"/>
  <c r="N489"/>
  <c r="O489" s="1"/>
  <c r="N491"/>
  <c r="O491" s="1"/>
  <c r="N493"/>
  <c r="O493" s="1"/>
  <c r="N495"/>
  <c r="O495" s="1"/>
  <c r="N497"/>
  <c r="O497" s="1"/>
  <c r="N499"/>
  <c r="O499" s="1"/>
  <c r="N501"/>
  <c r="O501" s="1"/>
  <c r="N503"/>
  <c r="O503" s="1"/>
  <c r="N505"/>
  <c r="O505" s="1"/>
  <c r="N510"/>
  <c r="O510" s="1"/>
  <c r="N512"/>
  <c r="O512" s="1"/>
  <c r="N514"/>
  <c r="O514" s="1"/>
  <c r="N516"/>
  <c r="O516" s="1"/>
  <c r="N518"/>
  <c r="O518" s="1"/>
  <c r="N520"/>
  <c r="O520" s="1"/>
  <c r="N522"/>
  <c r="O522" s="1"/>
  <c r="N524"/>
  <c r="O524" s="1"/>
  <c r="N526"/>
  <c r="O526" s="1"/>
  <c r="N528"/>
  <c r="O528" s="1"/>
  <c r="N530"/>
  <c r="O530" s="1"/>
  <c r="N532"/>
  <c r="O532" s="1"/>
  <c r="N534"/>
  <c r="O534" s="1"/>
  <c r="N536"/>
  <c r="O536" s="1"/>
  <c r="N538"/>
  <c r="O538" s="1"/>
  <c r="N540"/>
  <c r="O540" s="1"/>
  <c r="N8"/>
  <c r="O8" s="1"/>
  <c r="N16"/>
  <c r="O16" s="1"/>
  <c r="N28"/>
  <c r="O28" s="1"/>
  <c r="N36"/>
  <c r="O36" s="1"/>
  <c r="N48"/>
  <c r="O48" s="1"/>
  <c r="N56"/>
  <c r="O56" s="1"/>
  <c r="N64"/>
  <c r="O64" s="1"/>
  <c r="N72"/>
  <c r="O72" s="1"/>
  <c r="N79"/>
  <c r="O79" s="1"/>
  <c r="N88"/>
  <c r="O88" s="1"/>
  <c r="N3"/>
  <c r="O3" s="1"/>
  <c r="N7"/>
  <c r="O7" s="1"/>
  <c r="N11"/>
  <c r="O11" s="1"/>
  <c r="N15"/>
  <c r="O15" s="1"/>
  <c r="N19"/>
  <c r="O19" s="1"/>
  <c r="N23"/>
  <c r="O23" s="1"/>
  <c r="N27"/>
  <c r="O27" s="1"/>
  <c r="N31"/>
  <c r="O31" s="1"/>
  <c r="N35"/>
  <c r="O35" s="1"/>
  <c r="N40"/>
  <c r="O40" s="1"/>
  <c r="N43"/>
  <c r="O43" s="1"/>
  <c r="N47"/>
  <c r="O47" s="1"/>
  <c r="N51"/>
  <c r="O51" s="1"/>
  <c r="N55"/>
  <c r="O55" s="1"/>
  <c r="N59"/>
  <c r="O59" s="1"/>
  <c r="N63"/>
  <c r="O63" s="1"/>
  <c r="N67"/>
  <c r="O67" s="1"/>
  <c r="N71"/>
  <c r="O71" s="1"/>
  <c r="N75"/>
  <c r="O75" s="1"/>
  <c r="N78"/>
  <c r="O78" s="1"/>
  <c r="N81"/>
  <c r="O81" s="1"/>
  <c r="N83"/>
  <c r="O83" s="1"/>
  <c r="N85"/>
  <c r="O85" s="1"/>
  <c r="N91"/>
  <c r="O91" s="1"/>
  <c r="N94"/>
  <c r="O94" s="1"/>
  <c r="N96"/>
  <c r="O96" s="1"/>
  <c r="N99"/>
  <c r="O99" s="1"/>
  <c r="N113"/>
  <c r="O113" s="1"/>
  <c r="N115"/>
  <c r="O115" s="1"/>
  <c r="N125"/>
  <c r="O125" s="1"/>
  <c r="N127"/>
  <c r="O127" s="1"/>
  <c r="N129"/>
  <c r="O129" s="1"/>
  <c r="N145"/>
  <c r="O145" s="1"/>
  <c r="N147"/>
  <c r="O147" s="1"/>
  <c r="N150"/>
  <c r="O150" s="1"/>
  <c r="N152"/>
  <c r="O152" s="1"/>
  <c r="N161"/>
  <c r="O161" s="1"/>
  <c r="N163"/>
  <c r="O163" s="1"/>
  <c r="N168"/>
  <c r="O168" s="1"/>
  <c r="N170"/>
  <c r="O170" s="1"/>
  <c r="N172"/>
  <c r="O172" s="1"/>
  <c r="N174"/>
  <c r="O174" s="1"/>
  <c r="N176"/>
  <c r="O176" s="1"/>
  <c r="N197"/>
  <c r="O197" s="1"/>
  <c r="N199"/>
  <c r="O199" s="1"/>
  <c r="N206"/>
  <c r="O206" s="1"/>
  <c r="N208"/>
  <c r="O208" s="1"/>
  <c r="N225"/>
  <c r="O225" s="1"/>
  <c r="N232"/>
  <c r="O232" s="1"/>
  <c r="N234"/>
  <c r="O234" s="1"/>
  <c r="N236"/>
  <c r="O236" s="1"/>
  <c r="N238"/>
  <c r="O238" s="1"/>
  <c r="N240"/>
  <c r="O240" s="1"/>
  <c r="N242"/>
  <c r="O242" s="1"/>
  <c r="N244"/>
  <c r="O244" s="1"/>
  <c r="N246"/>
  <c r="O246" s="1"/>
  <c r="N279"/>
  <c r="O279" s="1"/>
  <c r="N281"/>
  <c r="O281" s="1"/>
  <c r="N283"/>
  <c r="O283" s="1"/>
  <c r="N285"/>
  <c r="O285" s="1"/>
  <c r="N327"/>
  <c r="O327" s="1"/>
  <c r="N330"/>
  <c r="O330" s="1"/>
  <c r="N332"/>
  <c r="O332" s="1"/>
  <c r="N334"/>
  <c r="O334" s="1"/>
  <c r="N336"/>
  <c r="O336" s="1"/>
  <c r="N338"/>
  <c r="O338" s="1"/>
  <c r="N340"/>
  <c r="O340" s="1"/>
  <c r="N342"/>
  <c r="O342" s="1"/>
  <c r="N351"/>
  <c r="O351" s="1"/>
  <c r="N353"/>
  <c r="O353" s="1"/>
  <c r="N355"/>
  <c r="O355" s="1"/>
  <c r="N357"/>
  <c r="O357" s="1"/>
  <c r="N359"/>
  <c r="O359" s="1"/>
  <c r="N361"/>
  <c r="O361" s="1"/>
  <c r="N363"/>
  <c r="O363" s="1"/>
  <c r="N365"/>
  <c r="O365" s="1"/>
  <c r="N367"/>
  <c r="O367" s="1"/>
  <c r="N370"/>
  <c r="O370" s="1"/>
  <c r="N372"/>
  <c r="O372" s="1"/>
  <c r="N374"/>
  <c r="O374" s="1"/>
  <c r="N376"/>
  <c r="O376" s="1"/>
  <c r="N378"/>
  <c r="O378" s="1"/>
  <c r="N380"/>
  <c r="O380" s="1"/>
  <c r="N382"/>
  <c r="O382" s="1"/>
  <c r="N430"/>
  <c r="O430" s="1"/>
  <c r="N432"/>
  <c r="O432" s="1"/>
  <c r="N434"/>
  <c r="O434" s="1"/>
  <c r="N436"/>
  <c r="O436" s="1"/>
  <c r="N438"/>
  <c r="O438" s="1"/>
  <c r="N440"/>
  <c r="O440" s="1"/>
  <c r="N442"/>
  <c r="O442" s="1"/>
  <c r="N444"/>
  <c r="O444" s="1"/>
  <c r="N507"/>
  <c r="O507" s="1"/>
  <c r="N4"/>
  <c r="O4" s="1"/>
  <c r="N20"/>
  <c r="O20" s="1"/>
  <c r="N2"/>
  <c r="O2" s="1"/>
  <c r="N6"/>
  <c r="O6" s="1"/>
  <c r="N10"/>
  <c r="O10" s="1"/>
  <c r="N14"/>
  <c r="O14" s="1"/>
  <c r="N18"/>
  <c r="O18" s="1"/>
  <c r="N22"/>
  <c r="O22" s="1"/>
  <c r="N26"/>
  <c r="O26" s="1"/>
  <c r="N30"/>
  <c r="O30" s="1"/>
  <c r="N34"/>
  <c r="O34" s="1"/>
  <c r="N39"/>
  <c r="O39" s="1"/>
  <c r="N42"/>
  <c r="O42" s="1"/>
  <c r="N46"/>
  <c r="O46" s="1"/>
  <c r="N50"/>
  <c r="O50" s="1"/>
  <c r="N54"/>
  <c r="O54" s="1"/>
  <c r="N58"/>
  <c r="O58" s="1"/>
  <c r="N62"/>
  <c r="O62" s="1"/>
  <c r="N66"/>
  <c r="O66" s="1"/>
  <c r="N70"/>
  <c r="O70" s="1"/>
  <c r="N74"/>
  <c r="O74" s="1"/>
  <c r="N77"/>
  <c r="O77" s="1"/>
  <c r="N87"/>
  <c r="O87" s="1"/>
  <c r="N90"/>
  <c r="O90" s="1"/>
  <c r="N101"/>
  <c r="O101" s="1"/>
  <c r="N104"/>
  <c r="O104" s="1"/>
  <c r="N107"/>
  <c r="O107" s="1"/>
  <c r="N110"/>
  <c r="O110" s="1"/>
  <c r="N112"/>
  <c r="O112" s="1"/>
  <c r="N117"/>
  <c r="O117" s="1"/>
  <c r="N119"/>
  <c r="O119" s="1"/>
  <c r="N121"/>
  <c r="O121" s="1"/>
  <c r="N131"/>
  <c r="O131" s="1"/>
  <c r="N133"/>
  <c r="O133" s="1"/>
  <c r="N135"/>
  <c r="O135" s="1"/>
  <c r="N138"/>
  <c r="O138" s="1"/>
  <c r="N140"/>
  <c r="O140" s="1"/>
  <c r="N142"/>
  <c r="O142" s="1"/>
  <c r="N154"/>
  <c r="O154" s="1"/>
  <c r="N156"/>
  <c r="O156" s="1"/>
  <c r="N158"/>
  <c r="O158" s="1"/>
  <c r="N165"/>
  <c r="O165" s="1"/>
  <c r="N167"/>
  <c r="O167" s="1"/>
  <c r="N178"/>
  <c r="O178" s="1"/>
  <c r="N180"/>
  <c r="O180" s="1"/>
  <c r="N182"/>
  <c r="O182" s="1"/>
  <c r="N184"/>
  <c r="O184" s="1"/>
  <c r="N186"/>
  <c r="O186" s="1"/>
  <c r="N188"/>
  <c r="O188" s="1"/>
  <c r="N190"/>
  <c r="O190" s="1"/>
  <c r="N192"/>
  <c r="O192" s="1"/>
  <c r="N194"/>
  <c r="O194" s="1"/>
  <c r="N196"/>
  <c r="O196" s="1"/>
  <c r="N201"/>
  <c r="O201" s="1"/>
  <c r="N203"/>
  <c r="O203" s="1"/>
  <c r="N205"/>
  <c r="O205" s="1"/>
  <c r="N210"/>
  <c r="O210" s="1"/>
  <c r="N212"/>
  <c r="O212" s="1"/>
  <c r="N214"/>
  <c r="O214" s="1"/>
  <c r="N216"/>
  <c r="O216" s="1"/>
  <c r="N218"/>
  <c r="O218" s="1"/>
  <c r="N220"/>
  <c r="O220" s="1"/>
  <c r="N222"/>
  <c r="O222" s="1"/>
  <c r="N224"/>
  <c r="O224" s="1"/>
  <c r="N227"/>
  <c r="O227" s="1"/>
  <c r="N229"/>
  <c r="O229" s="1"/>
  <c r="N248"/>
  <c r="O248" s="1"/>
  <c r="N250"/>
  <c r="O250" s="1"/>
  <c r="N252"/>
  <c r="O252" s="1"/>
  <c r="N254"/>
  <c r="O254" s="1"/>
  <c r="N256"/>
  <c r="O256" s="1"/>
  <c r="N258"/>
  <c r="O258" s="1"/>
  <c r="N260"/>
  <c r="O260" s="1"/>
  <c r="N262"/>
  <c r="O262" s="1"/>
  <c r="N264"/>
  <c r="O264" s="1"/>
  <c r="N266"/>
  <c r="O266" s="1"/>
  <c r="N268"/>
  <c r="O268" s="1"/>
  <c r="N270"/>
  <c r="O270" s="1"/>
  <c r="N287"/>
  <c r="O287" s="1"/>
  <c r="N289"/>
  <c r="O289" s="1"/>
  <c r="N291"/>
  <c r="O291" s="1"/>
  <c r="N294"/>
  <c r="O294" s="1"/>
  <c r="N296"/>
  <c r="O296" s="1"/>
  <c r="N298"/>
  <c r="O298" s="1"/>
  <c r="N300"/>
  <c r="O300" s="1"/>
  <c r="N302"/>
  <c r="O302" s="1"/>
  <c r="N304"/>
  <c r="O304" s="1"/>
  <c r="N306"/>
  <c r="O306" s="1"/>
  <c r="N308"/>
  <c r="O308" s="1"/>
  <c r="N310"/>
  <c r="O310" s="1"/>
  <c r="N312"/>
  <c r="O312" s="1"/>
  <c r="N314"/>
  <c r="O314" s="1"/>
  <c r="N316"/>
  <c r="O316" s="1"/>
  <c r="N318"/>
  <c r="O318" s="1"/>
  <c r="N320"/>
  <c r="O320" s="1"/>
  <c r="N322"/>
  <c r="O322" s="1"/>
  <c r="N324"/>
  <c r="O324" s="1"/>
  <c r="N326"/>
  <c r="O326" s="1"/>
  <c r="N384"/>
  <c r="O384" s="1"/>
  <c r="N386"/>
  <c r="O386" s="1"/>
  <c r="N388"/>
  <c r="O388" s="1"/>
  <c r="N390"/>
  <c r="O390" s="1"/>
  <c r="N392"/>
  <c r="O392" s="1"/>
  <c r="N394"/>
  <c r="O394" s="1"/>
  <c r="N396"/>
  <c r="O396" s="1"/>
  <c r="N398"/>
  <c r="O398" s="1"/>
  <c r="N400"/>
  <c r="O400" s="1"/>
  <c r="N402"/>
  <c r="O402" s="1"/>
  <c r="N404"/>
  <c r="O404" s="1"/>
  <c r="N406"/>
  <c r="O406" s="1"/>
  <c r="N408"/>
  <c r="O408" s="1"/>
  <c r="N410"/>
  <c r="O410" s="1"/>
  <c r="N412"/>
  <c r="O412" s="1"/>
  <c r="N414"/>
  <c r="O414" s="1"/>
  <c r="N416"/>
  <c r="O416" s="1"/>
  <c r="N418"/>
  <c r="O418" s="1"/>
  <c r="N420"/>
  <c r="O420" s="1"/>
  <c r="N423"/>
  <c r="O423" s="1"/>
  <c r="N425"/>
  <c r="O425" s="1"/>
  <c r="N427"/>
  <c r="O427" s="1"/>
  <c r="N448"/>
  <c r="O448" s="1"/>
  <c r="N450"/>
  <c r="O450" s="1"/>
  <c r="N452"/>
  <c r="O452" s="1"/>
  <c r="N454"/>
  <c r="O454" s="1"/>
  <c r="N456"/>
  <c r="O456" s="1"/>
  <c r="N458"/>
  <c r="O458" s="1"/>
  <c r="N460"/>
  <c r="O460" s="1"/>
  <c r="N462"/>
  <c r="O462" s="1"/>
  <c r="N464"/>
  <c r="O464" s="1"/>
  <c r="N466"/>
  <c r="O466" s="1"/>
  <c r="N468"/>
  <c r="O468" s="1"/>
  <c r="N470"/>
  <c r="O470" s="1"/>
  <c r="N472"/>
  <c r="O472" s="1"/>
  <c r="N474"/>
  <c r="O474" s="1"/>
  <c r="N476"/>
  <c r="O476" s="1"/>
  <c r="N478"/>
  <c r="O478" s="1"/>
  <c r="N480"/>
  <c r="O480" s="1"/>
  <c r="N482"/>
  <c r="O482" s="1"/>
  <c r="N484"/>
  <c r="O484" s="1"/>
  <c r="N486"/>
  <c r="O486" s="1"/>
  <c r="N488"/>
  <c r="O488" s="1"/>
  <c r="N490"/>
  <c r="O490" s="1"/>
  <c r="N492"/>
  <c r="O492" s="1"/>
  <c r="N494"/>
  <c r="O494" s="1"/>
  <c r="N496"/>
  <c r="O496" s="1"/>
  <c r="N498"/>
  <c r="O498" s="1"/>
  <c r="N500"/>
  <c r="O500" s="1"/>
  <c r="N502"/>
  <c r="O502" s="1"/>
  <c r="N504"/>
  <c r="O504" s="1"/>
  <c r="N506"/>
  <c r="O506" s="1"/>
  <c r="N509"/>
  <c r="O509" s="1"/>
  <c r="N511"/>
  <c r="O511" s="1"/>
  <c r="N513"/>
  <c r="O513" s="1"/>
  <c r="N515"/>
  <c r="O515" s="1"/>
  <c r="N517"/>
  <c r="O517" s="1"/>
  <c r="N519"/>
  <c r="O519" s="1"/>
  <c r="N521"/>
  <c r="O521" s="1"/>
  <c r="N523"/>
  <c r="O523" s="1"/>
  <c r="N525"/>
  <c r="O525" s="1"/>
  <c r="N527"/>
  <c r="O527" s="1"/>
  <c r="N529"/>
  <c r="O529" s="1"/>
  <c r="N531"/>
  <c r="O531" s="1"/>
  <c r="N533"/>
  <c r="O533" s="1"/>
  <c r="N535"/>
  <c r="O535" s="1"/>
  <c r="N537"/>
  <c r="O537" s="1"/>
  <c r="N539"/>
  <c r="O539" s="1"/>
  <c r="N9"/>
  <c r="O9" s="1"/>
  <c r="N13"/>
  <c r="O13" s="1"/>
  <c r="N17"/>
  <c r="O17" s="1"/>
  <c r="N21"/>
  <c r="O21" s="1"/>
  <c r="N25"/>
  <c r="O25" s="1"/>
  <c r="N29"/>
  <c r="O29" s="1"/>
  <c r="N33"/>
  <c r="O33" s="1"/>
  <c r="N38"/>
  <c r="O38" s="1"/>
  <c r="N41"/>
  <c r="O41" s="1"/>
  <c r="N45"/>
  <c r="O45" s="1"/>
  <c r="N49"/>
  <c r="O49" s="1"/>
  <c r="N53"/>
  <c r="O53" s="1"/>
  <c r="N57"/>
  <c r="O57" s="1"/>
  <c r="N61"/>
  <c r="O61" s="1"/>
  <c r="N65"/>
  <c r="O65" s="1"/>
  <c r="N69"/>
  <c r="O69" s="1"/>
  <c r="N73"/>
  <c r="O73" s="1"/>
  <c r="N80"/>
  <c r="O80" s="1"/>
  <c r="N82"/>
  <c r="O82" s="1"/>
  <c r="N84"/>
  <c r="O84" s="1"/>
  <c r="N86"/>
  <c r="O86" s="1"/>
  <c r="N89"/>
  <c r="O89" s="1"/>
  <c r="N93"/>
  <c r="O93" s="1"/>
  <c r="N95"/>
  <c r="O95" s="1"/>
  <c r="N98"/>
  <c r="O98" s="1"/>
  <c r="N103"/>
  <c r="O103" s="1"/>
  <c r="N106"/>
  <c r="O106" s="1"/>
  <c r="N109"/>
  <c r="O109" s="1"/>
  <c r="N114"/>
  <c r="O114" s="1"/>
  <c r="N124"/>
  <c r="O124" s="1"/>
  <c r="N126"/>
  <c r="O126" s="1"/>
  <c r="N128"/>
  <c r="O128" s="1"/>
  <c r="N130"/>
  <c r="O130" s="1"/>
  <c r="N137"/>
  <c r="O137" s="1"/>
  <c r="N144"/>
  <c r="O144" s="1"/>
  <c r="N146"/>
  <c r="O146" s="1"/>
  <c r="N149"/>
  <c r="O149" s="1"/>
  <c r="N151"/>
  <c r="O151" s="1"/>
  <c r="N153"/>
  <c r="O153" s="1"/>
  <c r="N160"/>
  <c r="O160" s="1"/>
  <c r="N162"/>
  <c r="O162" s="1"/>
  <c r="N164"/>
  <c r="O164" s="1"/>
  <c r="N169"/>
  <c r="O169" s="1"/>
  <c r="N171"/>
  <c r="O171" s="1"/>
  <c r="N173"/>
  <c r="O173" s="1"/>
  <c r="N175"/>
  <c r="O175" s="1"/>
  <c r="N198"/>
  <c r="O198" s="1"/>
  <c r="N207"/>
  <c r="O207" s="1"/>
  <c r="N231"/>
  <c r="O231" s="1"/>
  <c r="N233"/>
  <c r="O233" s="1"/>
  <c r="N235"/>
  <c r="O235" s="1"/>
  <c r="N237"/>
  <c r="O237" s="1"/>
  <c r="N239"/>
  <c r="O239" s="1"/>
  <c r="N241"/>
  <c r="O241" s="1"/>
  <c r="N243"/>
  <c r="O243" s="1"/>
  <c r="N245"/>
  <c r="O245" s="1"/>
  <c r="N247"/>
  <c r="O247" s="1"/>
  <c r="N280"/>
  <c r="O280" s="1"/>
  <c r="N282"/>
  <c r="O282" s="1"/>
  <c r="N284"/>
  <c r="O284" s="1"/>
  <c r="N293"/>
  <c r="O293" s="1"/>
  <c r="N329"/>
  <c r="O329" s="1"/>
  <c r="N331"/>
  <c r="O331" s="1"/>
  <c r="N333"/>
  <c r="O333" s="1"/>
  <c r="N335"/>
  <c r="O335" s="1"/>
  <c r="N337"/>
  <c r="O337" s="1"/>
  <c r="N339"/>
  <c r="O339" s="1"/>
  <c r="N341"/>
  <c r="O341" s="1"/>
  <c r="N343"/>
  <c r="O343" s="1"/>
  <c r="N352"/>
  <c r="O352" s="1"/>
  <c r="N354"/>
  <c r="O354" s="1"/>
  <c r="N356"/>
  <c r="O356" s="1"/>
  <c r="N358"/>
  <c r="O358" s="1"/>
  <c r="N360"/>
  <c r="O360" s="1"/>
  <c r="N362"/>
  <c r="O362" s="1"/>
  <c r="N364"/>
  <c r="O364" s="1"/>
  <c r="N366"/>
  <c r="O366" s="1"/>
  <c r="N369"/>
  <c r="O369" s="1"/>
  <c r="N371"/>
  <c r="O371" s="1"/>
  <c r="N373"/>
  <c r="O373" s="1"/>
  <c r="N375"/>
  <c r="O375" s="1"/>
  <c r="N377"/>
  <c r="O377" s="1"/>
  <c r="N379"/>
  <c r="O379" s="1"/>
  <c r="N381"/>
  <c r="O381" s="1"/>
  <c r="N429"/>
  <c r="O429" s="1"/>
  <c r="N431"/>
  <c r="O431" s="1"/>
  <c r="N433"/>
  <c r="O433" s="1"/>
  <c r="N435"/>
  <c r="O435" s="1"/>
  <c r="N437"/>
  <c r="O437" s="1"/>
  <c r="N439"/>
  <c r="O439" s="1"/>
  <c r="N441"/>
  <c r="O441" s="1"/>
  <c r="N443"/>
  <c r="O443" s="1"/>
  <c r="N445"/>
  <c r="O445" s="1"/>
  <c r="N508"/>
  <c r="O508" s="1"/>
  <c r="I725" i="1"/>
  <c r="I724"/>
  <c r="I723"/>
  <c r="I722"/>
  <c r="I721"/>
  <c r="I720"/>
  <c r="I719"/>
  <c r="I718"/>
  <c r="I717"/>
  <c r="I716"/>
  <c r="I715"/>
  <c r="I714"/>
  <c r="I713"/>
  <c r="I712"/>
  <c r="I711"/>
  <c r="I710" l="1"/>
  <c r="I709"/>
  <c r="I708"/>
  <c r="I707"/>
  <c r="I706"/>
  <c r="I705"/>
  <c r="I704"/>
  <c r="I703" l="1"/>
  <c r="I702"/>
  <c r="I701"/>
  <c r="I700"/>
  <c r="I699"/>
  <c r="I698"/>
  <c r="I697"/>
  <c r="I696"/>
  <c r="I695"/>
  <c r="I694"/>
  <c r="I693"/>
  <c r="I692"/>
  <c r="I691"/>
  <c r="I690"/>
  <c r="I689" l="1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 l="1"/>
  <c r="I658"/>
  <c r="I657"/>
  <c r="I656"/>
  <c r="I655"/>
  <c r="I654"/>
  <c r="I653"/>
  <c r="I652"/>
  <c r="I651"/>
  <c r="I650"/>
  <c r="I649"/>
  <c r="I648" l="1"/>
  <c r="I647"/>
  <c r="I646"/>
  <c r="I645" l="1"/>
  <c r="I644"/>
  <c r="I643"/>
  <c r="I642"/>
  <c r="I641"/>
  <c r="I640"/>
  <c r="I639"/>
  <c r="I638"/>
  <c r="I637"/>
  <c r="I636"/>
  <c r="I635"/>
  <c r="I634"/>
  <c r="I633"/>
  <c r="I632"/>
  <c r="I631" l="1"/>
  <c r="I630"/>
  <c r="I629"/>
  <c r="I628"/>
  <c r="I627"/>
  <c r="I626" l="1"/>
  <c r="I625"/>
  <c r="I624"/>
  <c r="I623" l="1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 l="1"/>
  <c r="I604"/>
  <c r="I603"/>
  <c r="I602"/>
  <c r="I601"/>
  <c r="I600"/>
  <c r="I599"/>
  <c r="I598"/>
  <c r="I597" l="1"/>
  <c r="I596"/>
  <c r="I595"/>
  <c r="I594"/>
  <c r="I593"/>
  <c r="I592"/>
  <c r="I591" l="1"/>
  <c r="I590"/>
  <c r="I589"/>
  <c r="I588"/>
  <c r="I587"/>
  <c r="I586"/>
  <c r="I585"/>
  <c r="I584"/>
  <c r="I583"/>
  <c r="I582"/>
  <c r="I581"/>
  <c r="I580" l="1"/>
  <c r="I579" l="1"/>
  <c r="I578"/>
  <c r="I577" l="1"/>
  <c r="I575"/>
  <c r="I574"/>
  <c r="I573"/>
  <c r="I572"/>
  <c r="I571"/>
  <c r="I570" l="1"/>
  <c r="I569"/>
  <c r="I568"/>
  <c r="I567"/>
  <c r="I566"/>
  <c r="I565"/>
  <c r="I564"/>
  <c r="I563"/>
  <c r="I562"/>
  <c r="I561"/>
  <c r="I560"/>
  <c r="I559"/>
  <c r="I558"/>
  <c r="I557"/>
  <c r="I556" l="1"/>
  <c r="I555"/>
  <c r="I554"/>
  <c r="I553"/>
  <c r="I552"/>
  <c r="I551" l="1"/>
  <c r="I550"/>
  <c r="I549"/>
  <c r="I548"/>
  <c r="I547"/>
  <c r="I546"/>
  <c r="I545"/>
  <c r="I544"/>
  <c r="I543"/>
  <c r="I542"/>
  <c r="I541"/>
  <c r="I540"/>
  <c r="I539"/>
  <c r="I538"/>
  <c r="I537" l="1"/>
  <c r="I536"/>
  <c r="I535"/>
  <c r="I534"/>
  <c r="I533"/>
  <c r="I532"/>
  <c r="F531"/>
  <c r="I530"/>
  <c r="I529"/>
  <c r="I528" l="1"/>
  <c r="I527"/>
  <c r="I526"/>
  <c r="I525"/>
  <c r="I524"/>
  <c r="I523"/>
  <c r="I522"/>
  <c r="I521"/>
  <c r="I520"/>
  <c r="I519"/>
  <c r="I518"/>
  <c r="I517" l="1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 l="1"/>
  <c r="I487"/>
  <c r="I486" l="1"/>
  <c r="I485"/>
  <c r="I484"/>
  <c r="I483"/>
  <c r="I482"/>
  <c r="I481"/>
  <c r="I480"/>
  <c r="I479"/>
  <c r="I478"/>
  <c r="I477" l="1"/>
  <c r="I476"/>
  <c r="I475"/>
  <c r="I474"/>
  <c r="I473"/>
  <c r="I472"/>
  <c r="I471" l="1"/>
  <c r="I470"/>
  <c r="I469"/>
  <c r="I468"/>
  <c r="I467"/>
  <c r="I466"/>
  <c r="I465"/>
  <c r="I464"/>
  <c r="I463"/>
  <c r="I462"/>
  <c r="I461"/>
  <c r="I460"/>
  <c r="I459"/>
  <c r="I458"/>
  <c r="I457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 l="1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 l="1"/>
  <c r="I417"/>
  <c r="I416"/>
  <c r="I415"/>
  <c r="I414"/>
  <c r="I413"/>
  <c r="I412"/>
  <c r="I411"/>
  <c r="I410" l="1"/>
  <c r="I409" l="1"/>
  <c r="I408"/>
  <c r="I407"/>
  <c r="I406"/>
  <c r="I405"/>
  <c r="I404"/>
  <c r="I403"/>
  <c r="I402"/>
  <c r="I401"/>
  <c r="I400"/>
  <c r="I399"/>
  <c r="I398"/>
  <c r="I397"/>
  <c r="I396"/>
  <c r="I395" l="1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 l="1"/>
  <c r="I354"/>
  <c r="I353"/>
  <c r="I352"/>
  <c r="I351" l="1"/>
  <c r="I350"/>
  <c r="I349"/>
  <c r="I348"/>
  <c r="I347"/>
  <c r="I346"/>
  <c r="I345"/>
  <c r="I344" l="1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 l="1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comments1.xml><?xml version="1.0" encoding="utf-8"?>
<comments xmlns="http://schemas.openxmlformats.org/spreadsheetml/2006/main">
  <authors>
    <author>作者</author>
    <author>微软用户</author>
    <author>Administrator</author>
  </authors>
  <commentList>
    <comment ref="F1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I169" authorId="0">
      <text>
        <r>
          <rPr>
            <b/>
            <sz val="9"/>
            <color indexed="81"/>
            <rFont val="Tahoma"/>
            <family val="2"/>
          </rPr>
          <t>申通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快递费</t>
        </r>
        <r>
          <rPr>
            <b/>
            <sz val="9"/>
            <color indexed="81"/>
            <rFont val="Tahoma"/>
            <family val="2"/>
          </rPr>
          <t>84</t>
        </r>
        <r>
          <rPr>
            <b/>
            <sz val="9"/>
            <color indexed="81"/>
            <rFont val="Tahoma"/>
            <family val="2"/>
          </rPr>
          <t>（快递发票</t>
        </r>
        <r>
          <rPr>
            <b/>
            <sz val="9"/>
            <color indexed="81"/>
            <rFont val="Tahoma"/>
            <family val="2"/>
          </rPr>
          <t>28906632</t>
        </r>
        <r>
          <rPr>
            <b/>
            <sz val="9"/>
            <color indexed="81"/>
            <rFont val="Tahoma"/>
            <family val="2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>
      <text>
        <r>
          <rPr>
            <b/>
            <sz val="9"/>
            <color indexed="81"/>
            <rFont val="Tahoma"/>
            <family val="2"/>
          </rPr>
          <t>申通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9132</t>
        </r>
        <r>
          <rPr>
            <b/>
            <sz val="9"/>
            <color indexed="81"/>
            <rFont val="Tahoma"/>
            <family val="2"/>
          </rPr>
          <t>一起快递费共</t>
        </r>
        <r>
          <rPr>
            <b/>
            <sz val="9"/>
            <color indexed="81"/>
            <rFont val="Tahoma"/>
            <family val="2"/>
          </rPr>
          <t>84</t>
        </r>
        <r>
          <rPr>
            <b/>
            <sz val="9"/>
            <color indexed="81"/>
            <rFont val="Tahoma"/>
            <family val="2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单价</t>
        </r>
        <r>
          <rPr>
            <sz val="9"/>
            <color indexed="81"/>
            <rFont val="Tahoma"/>
            <family val="2"/>
          </rPr>
          <t>90,12</t>
        </r>
        <r>
          <rPr>
            <sz val="9"/>
            <color indexed="81"/>
            <rFont val="Tahoma"/>
            <family val="2"/>
          </rPr>
          <t xml:space="preserve">元的运费
</t>
        </r>
      </text>
    </comment>
    <comment ref="I181" authorId="0">
      <text>
        <r>
          <rPr>
            <b/>
            <sz val="9"/>
            <color indexed="81"/>
            <rFont val="Tahoma"/>
            <family val="2"/>
          </rPr>
          <t>圆通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3744K</t>
        </r>
        <r>
          <rPr>
            <b/>
            <sz val="9"/>
            <color indexed="81"/>
            <rFont val="Tahoma"/>
            <family val="2"/>
          </rPr>
          <t>一起快递费共</t>
        </r>
        <r>
          <rPr>
            <b/>
            <sz val="9"/>
            <color indexed="81"/>
            <rFont val="Tahoma"/>
            <family val="2"/>
          </rPr>
          <t>65</t>
        </r>
        <r>
          <rPr>
            <b/>
            <sz val="9"/>
            <color indexed="81"/>
            <rFont val="Tahoma"/>
            <family val="2"/>
          </rPr>
          <t>（快递费发票</t>
        </r>
        <r>
          <rPr>
            <b/>
            <sz val="9"/>
            <color indexed="81"/>
            <rFont val="Tahoma"/>
            <family val="2"/>
          </rPr>
          <t>28906633</t>
        </r>
        <r>
          <rPr>
            <b/>
            <sz val="9"/>
            <color indexed="81"/>
            <rFont val="Tahoma"/>
            <family val="2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>
      <text>
        <r>
          <rPr>
            <b/>
            <sz val="9"/>
            <color indexed="81"/>
            <rFont val="Tahoma"/>
            <family val="2"/>
          </rPr>
          <t>圆通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和</t>
        </r>
        <r>
          <rPr>
            <b/>
            <sz val="9"/>
            <color indexed="81"/>
            <rFont val="Tahoma"/>
            <family val="2"/>
          </rPr>
          <t>4680</t>
        </r>
        <r>
          <rPr>
            <b/>
            <sz val="9"/>
            <color indexed="81"/>
            <rFont val="Tahoma"/>
            <family val="2"/>
          </rPr>
          <t>一起快递费</t>
        </r>
        <r>
          <rPr>
            <b/>
            <sz val="9"/>
            <color indexed="81"/>
            <rFont val="Tahoma"/>
            <family val="2"/>
          </rPr>
          <t>65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单号</t>
        </r>
        <r>
          <rPr>
            <sz val="9"/>
            <color indexed="81"/>
            <rFont val="Tahoma"/>
            <family val="2"/>
          </rPr>
          <t>2635826681</t>
        </r>
      </text>
    </comment>
    <comment ref="R25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112081718808</t>
        </r>
      </text>
    </comment>
    <comment ref="R260" authorId="0">
      <text>
        <r>
          <rPr>
            <b/>
            <sz val="9"/>
            <color indexed="81"/>
            <rFont val="Tahoma"/>
            <family val="2"/>
          </rPr>
          <t>单号</t>
        </r>
        <r>
          <rPr>
            <b/>
            <sz val="9"/>
            <color indexed="81"/>
            <rFont val="Tahoma"/>
            <family val="2"/>
          </rPr>
          <t xml:space="preserve">:86831602         </t>
        </r>
        <r>
          <rPr>
            <b/>
            <sz val="9"/>
            <color indexed="81"/>
            <rFont val="Tahoma"/>
            <family val="2"/>
          </rPr>
          <t>运费</t>
        </r>
        <r>
          <rPr>
            <b/>
            <sz val="9"/>
            <color indexed="81"/>
            <rFont val="Tahoma"/>
            <family val="2"/>
          </rPr>
          <t>57</t>
        </r>
        <r>
          <rPr>
            <b/>
            <sz val="9"/>
            <color indexed="81"/>
            <rFont val="Tahoma"/>
            <family val="2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I264" authorId="0">
      <text>
        <r>
          <rPr>
            <b/>
            <sz val="9"/>
            <color indexed="81"/>
            <rFont val="Tahoma"/>
            <family val="2"/>
          </rPr>
          <t>中行对公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打款</t>
        </r>
        <r>
          <rPr>
            <sz val="9"/>
            <color indexed="81"/>
            <rFont val="Tahoma"/>
            <family val="2"/>
          </rPr>
          <t>1436.</t>
        </r>
        <r>
          <rPr>
            <sz val="9"/>
            <color indexed="81"/>
            <rFont val="Tahoma"/>
            <family val="2"/>
          </rPr>
          <t>多打款</t>
        </r>
        <r>
          <rPr>
            <sz val="9"/>
            <color indexed="81"/>
            <rFont val="Tahoma"/>
            <family val="2"/>
          </rPr>
          <t>287.2</t>
        </r>
        <r>
          <rPr>
            <sz val="9"/>
            <color indexed="81"/>
            <rFont val="Tahoma"/>
            <family val="2"/>
          </rPr>
          <t xml:space="preserve">元
</t>
        </r>
        <r>
          <rPr>
            <sz val="9"/>
            <color indexed="81"/>
            <rFont val="Tahoma"/>
            <family val="2"/>
          </rPr>
          <t>8.14</t>
        </r>
        <r>
          <rPr>
            <sz val="9"/>
            <color indexed="81"/>
            <rFont val="Tahoma"/>
            <family val="2"/>
          </rPr>
          <t>已将</t>
        </r>
        <r>
          <rPr>
            <sz val="9"/>
            <color indexed="81"/>
            <rFont val="Tahoma"/>
            <family val="2"/>
          </rPr>
          <t>287.2</t>
        </r>
        <r>
          <rPr>
            <sz val="9"/>
            <color indexed="81"/>
            <rFont val="Tahoma"/>
            <family val="2"/>
          </rPr>
          <t>退回农业银行</t>
        </r>
      </text>
    </comment>
    <comment ref="H421" authorId="1">
      <text>
        <r>
          <rPr>
            <b/>
            <sz val="9"/>
            <color indexed="81"/>
            <rFont val="宋体"/>
            <family val="3"/>
            <charset val="134"/>
          </rPr>
          <t>不开票，当时没有及时沟通</t>
        </r>
      </text>
    </comment>
    <comment ref="O52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含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元运费</t>
        </r>
      </text>
    </comment>
    <comment ref="L556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实际付款金额：</t>
        </r>
        <r>
          <rPr>
            <sz val="9"/>
            <color indexed="81"/>
            <rFont val="Tahoma"/>
            <family val="2"/>
          </rPr>
          <t>3400.00</t>
        </r>
      </text>
    </comment>
    <comment ref="I580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运费中抵扣</t>
        </r>
        <r>
          <rPr>
            <sz val="9"/>
            <color indexed="81"/>
            <rFont val="Tahoma"/>
            <family val="2"/>
          </rPr>
          <t>15.00</t>
        </r>
      </text>
    </comment>
    <comment ref="H61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条的平均价格</t>
        </r>
      </text>
    </comment>
    <comment ref="I61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实付金额：</t>
        </r>
        <r>
          <rPr>
            <sz val="9"/>
            <color indexed="81"/>
            <rFont val="Tahoma"/>
            <family val="2"/>
          </rPr>
          <t>33742.8</t>
        </r>
        <r>
          <rPr>
            <sz val="9"/>
            <color indexed="81"/>
            <rFont val="宋体"/>
            <family val="3"/>
            <charset val="134"/>
          </rPr>
          <t xml:space="preserve">
余下</t>
        </r>
        <r>
          <rPr>
            <sz val="9"/>
            <color indexed="81"/>
            <rFont val="Tahoma"/>
            <family val="2"/>
          </rPr>
          <t>5101.2</t>
        </r>
        <r>
          <rPr>
            <sz val="9"/>
            <color indexed="81"/>
            <rFont val="宋体"/>
            <family val="3"/>
            <charset val="134"/>
          </rPr>
          <t>抵扣应该补给我们的</t>
        </r>
        <r>
          <rPr>
            <sz val="9"/>
            <color indexed="81"/>
            <rFont val="Tahoma"/>
            <family val="2"/>
          </rPr>
          <t>3700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3200</t>
        </r>
        <r>
          <rPr>
            <sz val="9"/>
            <color indexed="81"/>
            <rFont val="宋体"/>
            <family val="3"/>
            <charset val="134"/>
          </rPr>
          <t>各</t>
        </r>
        <r>
          <rPr>
            <sz val="9"/>
            <color indexed="81"/>
            <rFont val="Tahoma"/>
            <family val="2"/>
          </rPr>
          <t>150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L627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实际付款金额：</t>
        </r>
        <r>
          <rPr>
            <sz val="9"/>
            <color indexed="81"/>
            <rFont val="Tahoma"/>
            <family val="2"/>
          </rPr>
          <t>1700.00</t>
        </r>
      </text>
    </comment>
    <comment ref="H64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实际为</t>
        </r>
        <r>
          <rPr>
            <sz val="9"/>
            <color indexed="81"/>
            <rFont val="Tahoma"/>
            <family val="2"/>
          </rPr>
          <t>0.52</t>
        </r>
        <r>
          <rPr>
            <sz val="9"/>
            <color indexed="81"/>
            <rFont val="宋体"/>
            <family val="3"/>
            <charset val="134"/>
          </rPr>
          <t>，有</t>
        </r>
        <r>
          <rPr>
            <sz val="9"/>
            <color indexed="81"/>
            <rFont val="Tahoma"/>
            <family val="2"/>
          </rPr>
          <t>0.02*2500=50</t>
        </r>
        <r>
          <rPr>
            <sz val="9"/>
            <color indexed="81"/>
            <rFont val="宋体"/>
            <family val="3"/>
            <charset val="134"/>
          </rPr>
          <t>元作为运费</t>
        </r>
      </text>
    </comment>
    <comment ref="E69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定下后记得修改价格</t>
        </r>
      </text>
    </comment>
    <comment ref="I71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1209</t>
        </r>
      </text>
    </comment>
    <comment ref="I73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2476</t>
        </r>
      </text>
    </comment>
    <comment ref="I73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付款时要付运费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99.6</t>
        </r>
      </text>
    </comment>
    <comment ref="I74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宋体"/>
            <family val="3"/>
            <charset val="134"/>
          </rPr>
          <t>，共计</t>
        </r>
        <r>
          <rPr>
            <sz val="9"/>
            <color indexed="81"/>
            <rFont val="Tahoma"/>
            <family val="2"/>
          </rPr>
          <t>3234</t>
        </r>
      </text>
    </comment>
    <comment ref="L75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当时多付</t>
        </r>
        <r>
          <rPr>
            <sz val="9"/>
            <color indexed="81"/>
            <rFont val="Tahoma"/>
            <family val="2"/>
          </rPr>
          <t>826.64</t>
        </r>
        <r>
          <rPr>
            <sz val="9"/>
            <color indexed="81"/>
            <rFont val="宋体"/>
            <family val="3"/>
            <charset val="134"/>
          </rPr>
          <t>，后消除</t>
        </r>
      </text>
    </comment>
    <comment ref="L76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日付款未成功</t>
        </r>
      </text>
    </comment>
    <comment ref="I77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>元运费，合计</t>
        </r>
        <r>
          <rPr>
            <sz val="9"/>
            <color indexed="81"/>
            <rFont val="Tahoma"/>
            <family val="2"/>
          </rPr>
          <t>7600</t>
        </r>
      </text>
    </comment>
    <comment ref="I77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13235</t>
        </r>
      </text>
    </comment>
    <comment ref="L77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扣除发票快递费：</t>
        </r>
        <r>
          <rPr>
            <sz val="9"/>
            <color indexed="81"/>
            <rFont val="Tahoma"/>
            <family val="2"/>
          </rPr>
          <t xml:space="preserve">14.00 </t>
        </r>
        <r>
          <rPr>
            <sz val="9"/>
            <color indexed="81"/>
            <rFont val="宋体"/>
            <family val="3"/>
            <charset val="134"/>
          </rPr>
          <t>扣除</t>
        </r>
        <r>
          <rPr>
            <sz val="9"/>
            <color indexed="81"/>
            <rFont val="Tahoma"/>
            <family val="2"/>
          </rPr>
          <t xml:space="preserve">2091:2256.8 </t>
        </r>
        <r>
          <rPr>
            <sz val="9"/>
            <color indexed="81"/>
            <rFont val="宋体"/>
            <family val="3"/>
            <charset val="134"/>
          </rPr>
          <t>上次上付金额</t>
        </r>
        <r>
          <rPr>
            <sz val="9"/>
            <color indexed="81"/>
            <rFont val="Tahoma"/>
            <family val="2"/>
          </rPr>
          <t>5.8</t>
        </r>
        <r>
          <rPr>
            <sz val="9"/>
            <color indexed="81"/>
            <rFont val="宋体"/>
            <family val="3"/>
            <charset val="134"/>
          </rPr>
          <t>，实付</t>
        </r>
        <r>
          <rPr>
            <sz val="9"/>
            <color indexed="81"/>
            <rFont val="Tahoma"/>
            <family val="2"/>
          </rPr>
          <t xml:space="preserve">13235
</t>
        </r>
      </text>
    </comment>
    <comment ref="L7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2013-3-8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7500</t>
        </r>
      </text>
    </comment>
    <comment ref="K77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发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I79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71</t>
        </r>
        <r>
          <rPr>
            <sz val="9"/>
            <color indexed="81"/>
            <rFont val="宋体"/>
            <family val="3"/>
            <charset val="134"/>
          </rPr>
          <t>，合计</t>
        </r>
        <r>
          <rPr>
            <sz val="9"/>
            <color indexed="81"/>
            <rFont val="Tahoma"/>
            <family val="2"/>
          </rPr>
          <t>3073</t>
        </r>
      </text>
    </comment>
    <comment ref="I80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另付运费</t>
        </r>
        <r>
          <rPr>
            <sz val="9"/>
            <color indexed="81"/>
            <rFont val="Tahoma"/>
            <family val="2"/>
          </rPr>
          <t>33</t>
        </r>
      </text>
    </comment>
    <comment ref="H84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赠送</t>
        </r>
      </text>
    </comment>
    <comment ref="L84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3-29</t>
        </r>
        <r>
          <rPr>
            <sz val="9"/>
            <color indexed="81"/>
            <rFont val="宋体"/>
            <family val="3"/>
            <charset val="134"/>
          </rPr>
          <t>已付</t>
        </r>
        <r>
          <rPr>
            <sz val="9"/>
            <color indexed="81"/>
            <rFont val="Tahoma"/>
            <family val="2"/>
          </rPr>
          <t>6773</t>
        </r>
      </text>
    </comment>
    <comment ref="I91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运费</t>
        </r>
        <r>
          <rPr>
            <sz val="9"/>
            <color indexed="81"/>
            <rFont val="Tahoma"/>
            <family val="2"/>
          </rPr>
          <t>70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作者</author>
    <author>Administrator</author>
  </authors>
  <commentList>
    <comment ref="Y11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Tahoma"/>
            <family val="2"/>
          </rPr>
          <t>申通</t>
        </r>
      </text>
    </comment>
    <comment ref="K18" authorId="1">
      <text>
        <r>
          <rPr>
            <sz val="9"/>
            <color indexed="81"/>
            <rFont val="Tahoma"/>
            <family val="2"/>
          </rPr>
          <t>作者:
赠品</t>
        </r>
      </text>
    </comment>
    <comment ref="E86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43.53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3301:18.89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385:0
7701</t>
        </r>
        <r>
          <rPr>
            <sz val="9"/>
            <color indexed="81"/>
            <rFont val="宋体"/>
            <family val="3"/>
            <charset val="134"/>
          </rPr>
          <t>：（赠品入库）</t>
        </r>
        <r>
          <rPr>
            <sz val="9"/>
            <color indexed="81"/>
            <rFont val="Tahoma"/>
            <family val="2"/>
          </rPr>
          <t xml:space="preserve">0
</t>
        </r>
      </text>
    </comment>
    <comment ref="I86" authorId="1">
      <text>
        <r>
          <rPr>
            <sz val="9"/>
            <color indexed="81"/>
            <rFont val="Tahoma"/>
            <family val="2"/>
          </rPr>
          <t xml:space="preserve">作者:
</t>
        </r>
      </text>
    </comment>
    <comment ref="K86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3200:11.96
3301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12.93
385:2
</t>
        </r>
      </text>
    </comment>
    <comment ref="N86" authorId="1">
      <text>
        <r>
          <rPr>
            <sz val="9"/>
            <color indexed="81"/>
            <rFont val="Tahoma"/>
            <family val="2"/>
          </rPr>
          <t xml:space="preserve">作者:
</t>
        </r>
      </text>
    </comment>
    <comment ref="E88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0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2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E94" authorId="1">
      <text>
        <r>
          <rPr>
            <sz val="9"/>
            <color indexed="81"/>
            <rFont val="Tahoma"/>
            <family val="2"/>
          </rPr>
          <t xml:space="preserve">作者:
3200：43.53，3301:18.89，
385:0
7701：（赠品入库）0
</t>
        </r>
      </text>
    </comment>
    <comment ref="K98" authorId="1">
      <text>
        <r>
          <rPr>
            <sz val="9"/>
            <color indexed="81"/>
            <rFont val="Tahoma"/>
            <family val="2"/>
          </rPr>
          <t>作者:
进：6200:50
6001:19.86
5N11:5.1
501:1.81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04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07" authorId="1">
      <text>
        <r>
          <rPr>
            <sz val="9"/>
            <color indexed="81"/>
            <rFont val="Tahoma"/>
            <family val="2"/>
          </rPr>
          <t xml:space="preserve">作者:
进：6200:50
6001:29.86
5N11:5.1
501:1.81
</t>
        </r>
      </text>
    </comment>
    <comment ref="K110" authorId="1">
      <text>
        <r>
          <rPr>
            <sz val="9"/>
            <color indexed="81"/>
            <rFont val="Tahoma"/>
            <family val="2"/>
          </rPr>
          <t xml:space="preserve">作者:
进：6200:50
6001:19.86
5N11:5.1
501:1.81
</t>
        </r>
      </text>
    </comment>
    <comment ref="E11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 xml:space="preserve">销售单品价格
</t>
        </r>
        <r>
          <rPr>
            <sz val="9"/>
            <color indexed="81"/>
            <rFont val="Tahoma"/>
            <family val="2"/>
          </rPr>
          <t>3200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43.5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3301:16.6</t>
        </r>
        <r>
          <rPr>
            <sz val="9"/>
            <color indexed="81"/>
            <rFont val="宋体"/>
            <family val="3"/>
            <charset val="134"/>
          </rPr>
          <t xml:space="preserve">，
</t>
        </r>
        <r>
          <rPr>
            <sz val="9"/>
            <color indexed="81"/>
            <rFont val="Tahoma"/>
            <family val="2"/>
          </rPr>
          <t>385:2.8
3N11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2.1
</t>
        </r>
      </text>
    </comment>
    <comment ref="K11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 xml:space="preserve">:
3200:11.96
385:2.0
3301:12.93
3N11:1.48
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作者:
3200:28.73
385:2.0
3301:12.93
3N11:1.48</t>
        </r>
      </text>
    </comment>
    <comment ref="B118" authorId="2">
      <text>
        <r>
          <rPr>
            <sz val="9"/>
            <color indexed="81"/>
            <rFont val="Tahoma"/>
            <family val="2"/>
          </rPr>
          <t>2012.6.4</t>
        </r>
        <r>
          <rPr>
            <sz val="9"/>
            <color indexed="81"/>
            <rFont val="宋体"/>
            <family val="3"/>
            <charset val="134"/>
          </rPr>
          <t>记录
多发</t>
        </r>
        <r>
          <rPr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宋体"/>
            <family val="3"/>
            <charset val="134"/>
          </rPr>
          <t>个未付款，下次补上</t>
        </r>
      </text>
    </comment>
    <comment ref="K121" authorId="1">
      <text>
        <r>
          <rPr>
            <sz val="9"/>
            <color indexed="81"/>
            <rFont val="Tahoma"/>
            <family val="2"/>
          </rPr>
          <t xml:space="preserve">作者:
进：6200:50
6001：19.56
5N11:5.1
501:1.81
</t>
        </r>
      </text>
    </comment>
    <comment ref="K125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3200:11.96
385:2.0
3301:13.33
3N11:1.48</t>
        </r>
      </text>
    </comment>
    <comment ref="K131" authorId="1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3200:28.73
385:0/2.12
3301:13.33
3N11:1.48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 xml:space="preserve">作者:
进：6200:50
6001:19.86
5N11:5.1
501:1.81
</t>
        </r>
      </text>
    </comment>
    <comment ref="H230" authorId="2">
      <text>
        <r>
          <rPr>
            <sz val="9"/>
            <color indexed="81"/>
            <rFont val="Tahoma"/>
            <family val="2"/>
          </rPr>
          <t>Administrator:
含运费10元</t>
        </r>
      </text>
    </comment>
    <comment ref="Q296" authorId="0">
      <text>
        <r>
          <rPr>
            <b/>
            <sz val="9"/>
            <color indexed="81"/>
            <rFont val="Tahoma"/>
            <family val="2"/>
          </rPr>
          <t xml:space="preserve">付款方收到货后要同货款一起支付给蒙吉
</t>
        </r>
        <r>
          <rPr>
            <b/>
            <sz val="9"/>
            <color indexed="81"/>
            <rFont val="Tahoma"/>
            <family val="2"/>
          </rPr>
          <t>7.18</t>
        </r>
        <r>
          <rPr>
            <b/>
            <sz val="9"/>
            <color indexed="81"/>
            <rFont val="Tahoma"/>
            <family val="2"/>
          </rPr>
          <t>拿货后付的货款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17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8.8</t>
        </r>
        <r>
          <rPr>
            <sz val="9"/>
            <color indexed="81"/>
            <rFont val="Tahoma"/>
            <family val="2"/>
          </rPr>
          <t>号申通</t>
        </r>
      </text>
    </comment>
    <comment ref="F423" authorId="0">
      <text>
        <r>
          <rPr>
            <b/>
            <sz val="8"/>
            <color indexed="81"/>
            <rFont val="宋体"/>
            <family val="3"/>
            <charset val="134"/>
          </rPr>
          <t>发票号</t>
        </r>
        <r>
          <rPr>
            <b/>
            <sz val="8"/>
            <color indexed="81"/>
            <rFont val="Tahoma"/>
            <family val="2"/>
          </rPr>
          <t>01418128</t>
        </r>
        <r>
          <rPr>
            <b/>
            <sz val="8"/>
            <color indexed="81"/>
            <rFont val="宋体"/>
            <family val="3"/>
            <charset val="134"/>
          </rPr>
          <t>已开出数量</t>
        </r>
        <r>
          <rPr>
            <b/>
            <sz val="8"/>
            <color indexed="81"/>
            <rFont val="Tahoma"/>
            <family val="2"/>
          </rPr>
          <t>90</t>
        </r>
        <r>
          <rPr>
            <b/>
            <sz val="8"/>
            <color indexed="81"/>
            <rFont val="宋体"/>
            <family val="3"/>
            <charset val="134"/>
          </rPr>
          <t>个</t>
        </r>
      </text>
    </comment>
    <comment ref="K428" authorId="0">
      <text>
        <r>
          <rPr>
            <b/>
            <sz val="9"/>
            <color indexed="81"/>
            <rFont val="Tahoma"/>
            <family val="2"/>
          </rPr>
          <t>7.23</t>
        </r>
        <r>
          <rPr>
            <b/>
            <sz val="9"/>
            <color indexed="81"/>
            <rFont val="Tahoma"/>
            <family val="2"/>
          </rPr>
          <t>号
重百</t>
        </r>
        <r>
          <rPr>
            <b/>
            <sz val="9"/>
            <color indexed="81"/>
            <rFont val="Tahoma"/>
            <family val="2"/>
          </rPr>
          <t xml:space="preserve">:40*8.05=322
</t>
        </r>
        <r>
          <rPr>
            <b/>
            <sz val="9"/>
            <color indexed="81"/>
            <rFont val="Tahoma"/>
            <family val="2"/>
          </rPr>
          <t>昊泽：</t>
        </r>
        <r>
          <rPr>
            <b/>
            <sz val="9"/>
            <color indexed="81"/>
            <rFont val="Tahoma"/>
            <family val="2"/>
          </rPr>
          <t>50*8.55=427.5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1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彭亮价格</t>
        </r>
      </text>
    </comment>
    <comment ref="K478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重百</t>
        </r>
        <r>
          <rPr>
            <sz val="9"/>
            <color indexed="81"/>
            <rFont val="Tahoma"/>
            <family val="2"/>
          </rPr>
          <t xml:space="preserve">29.5*200=5900  </t>
        </r>
        <r>
          <rPr>
            <sz val="9"/>
            <color indexed="81"/>
            <rFont val="Tahoma"/>
            <family val="2"/>
          </rPr>
          <t>高木</t>
        </r>
        <r>
          <rPr>
            <sz val="9"/>
            <color indexed="81"/>
            <rFont val="Tahoma"/>
            <family val="2"/>
          </rPr>
          <t>30*200=6000</t>
        </r>
      </text>
    </comment>
    <comment ref="K495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嘉烨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Tahoma"/>
            <family val="2"/>
          </rPr>
          <t>付</t>
        </r>
      </text>
    </comment>
    <comment ref="Y504" authorId="0">
      <text>
        <r>
          <rPr>
            <b/>
            <sz val="9"/>
            <color indexed="81"/>
            <rFont val="Tahoma"/>
            <family val="2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申通</t>
        </r>
      </text>
    </comment>
    <comment ref="Y557" authorId="0">
      <text>
        <r>
          <rPr>
            <b/>
            <sz val="9"/>
            <color indexed="81"/>
            <rFont val="Tahoma"/>
            <family val="2"/>
          </rPr>
          <t>顺丰快递</t>
        </r>
      </text>
    </comment>
    <comment ref="I74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快递垫付</t>
        </r>
        <r>
          <rPr>
            <sz val="9"/>
            <color indexed="81"/>
            <rFont val="Tahoma"/>
            <family val="2"/>
          </rPr>
          <t>20.00</t>
        </r>
      </text>
    </comment>
    <comment ref="N74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快递垫付</t>
        </r>
        <r>
          <rPr>
            <sz val="9"/>
            <color indexed="81"/>
            <rFont val="Tahoma"/>
            <family val="2"/>
          </rPr>
          <t>20.00</t>
        </r>
      </text>
    </comment>
    <comment ref="H76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76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3.7</t>
        </r>
      </text>
    </comment>
    <comment ref="H76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15.4</t>
        </r>
      </text>
    </comment>
    <comment ref="H77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13.5</t>
        </r>
      </text>
    </comment>
    <comment ref="H78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13.5</t>
        </r>
      </text>
    </comment>
    <comment ref="H78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28.5</t>
        </r>
      </text>
    </comment>
    <comment ref="H7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3.7</t>
        </r>
      </text>
    </comment>
    <comment ref="H79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1.95</t>
        </r>
      </text>
    </comment>
    <comment ref="H84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1720</t>
        </r>
      </text>
    </comment>
    <comment ref="H84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高开金额“</t>
        </r>
        <r>
          <rPr>
            <sz val="9"/>
            <color indexed="81"/>
            <rFont val="Tahoma"/>
            <family val="2"/>
          </rPr>
          <t>980</t>
        </r>
      </text>
    </comment>
    <comment ref="H8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实际发票金额：
</t>
        </r>
        <r>
          <rPr>
            <sz val="9"/>
            <color indexed="81"/>
            <rFont val="Tahoma"/>
            <family val="2"/>
          </rPr>
          <t>1.55</t>
        </r>
      </text>
    </comment>
    <comment ref="H92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46.00</t>
        </r>
      </text>
    </comment>
    <comment ref="H92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18.00</t>
        </r>
      </text>
    </comment>
    <comment ref="H92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42.8</t>
        </r>
      </text>
    </comment>
    <comment ref="H9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1.52</t>
        </r>
      </text>
    </comment>
    <comment ref="L93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这笔款还有</t>
        </r>
        <r>
          <rPr>
            <sz val="9"/>
            <color indexed="81"/>
            <rFont val="Tahoma"/>
            <family val="2"/>
          </rPr>
          <t>31889.4</t>
        </r>
        <r>
          <rPr>
            <sz val="9"/>
            <color indexed="81"/>
            <rFont val="宋体"/>
            <family val="3"/>
            <charset val="134"/>
          </rPr>
          <t>未付</t>
        </r>
      </text>
    </comment>
    <comment ref="K101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2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还余</t>
        </r>
        <r>
          <rPr>
            <sz val="9"/>
            <color indexed="81"/>
            <rFont val="Tahoma"/>
            <family val="2"/>
          </rPr>
          <t>152.8</t>
        </r>
        <r>
          <rPr>
            <sz val="9"/>
            <color indexed="81"/>
            <rFont val="宋体"/>
            <family val="3"/>
            <charset val="134"/>
          </rPr>
          <t>未付</t>
        </r>
      </text>
    </comment>
    <comment ref="B10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M103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永安付款</t>
        </r>
        <r>
          <rPr>
            <sz val="9"/>
            <color indexed="81"/>
            <rFont val="Tahoma"/>
            <family val="2"/>
          </rPr>
          <t xml:space="preserve">2774.00 </t>
        </r>
      </text>
    </comment>
    <comment ref="E105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H108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5.00</t>
        </r>
      </text>
    </comment>
    <comment ref="L108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27.00</t>
        </r>
      </text>
    </comment>
    <comment ref="L108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26.5</t>
        </r>
      </text>
    </comment>
    <comment ref="L108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高开金额：</t>
        </r>
        <r>
          <rPr>
            <sz val="9"/>
            <color indexed="81"/>
            <rFont val="Tahoma"/>
            <family val="2"/>
          </rPr>
          <t>30.00</t>
        </r>
      </text>
    </comment>
    <comment ref="L108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实际收款金额为</t>
        </r>
        <r>
          <rPr>
            <sz val="9"/>
            <color indexed="81"/>
            <rFont val="Tahoma"/>
            <family val="2"/>
          </rPr>
          <t>6168.00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5460-6540*0.2=6168.00</t>
        </r>
        <r>
          <rPr>
            <sz val="9"/>
            <color indexed="81"/>
            <rFont val="宋体"/>
            <family val="3"/>
            <charset val="134"/>
          </rPr>
          <t xml:space="preserve">）实际高开金额的税也一起给了的
</t>
        </r>
      </text>
    </comment>
    <comment ref="H108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实际发票金额：
</t>
        </r>
        <r>
          <rPr>
            <sz val="9"/>
            <color indexed="81"/>
            <rFont val="Tahoma"/>
            <family val="2"/>
          </rPr>
          <t>1.54</t>
        </r>
      </text>
    </comment>
    <comment ref="H108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09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3.7</t>
        </r>
      </text>
    </comment>
    <comment ref="B111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1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1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E112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实际开发票按合同要求开</t>
        </r>
      </text>
    </comment>
    <comment ref="E112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E114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实际开发票按合同要求开</t>
        </r>
      </text>
    </comment>
    <comment ref="E114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实际开票按照合同要求开</t>
        </r>
      </text>
    </comment>
    <comment ref="I115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46.00</t>
        </r>
      </text>
    </comment>
    <comment ref="N115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46.00</t>
        </r>
      </text>
    </comment>
    <comment ref="AA115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多开</t>
        </r>
        <r>
          <rPr>
            <sz val="9"/>
            <color indexed="81"/>
            <rFont val="Tahoma"/>
            <family val="2"/>
          </rPr>
          <t>1600</t>
        </r>
        <r>
          <rPr>
            <sz val="9"/>
            <color indexed="81"/>
            <rFont val="宋体"/>
            <family val="3"/>
            <charset val="134"/>
          </rPr>
          <t>已除去</t>
        </r>
      </text>
    </comment>
    <comment ref="B115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B115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H115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28.5</t>
        </r>
      </text>
    </comment>
    <comment ref="H116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3.7</t>
        </r>
      </text>
    </comment>
    <comment ref="H116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1.8</t>
        </r>
      </text>
    </comment>
    <comment ref="H116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440.00</t>
        </r>
      </text>
    </comment>
    <comment ref="H116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开票金额：
</t>
        </r>
        <r>
          <rPr>
            <sz val="9"/>
            <color indexed="81"/>
            <rFont val="Tahoma"/>
            <family val="2"/>
          </rPr>
          <t>8.00</t>
        </r>
      </text>
    </comment>
    <comment ref="H116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亏本卖出，以后销售单价为</t>
        </r>
        <r>
          <rPr>
            <sz val="9"/>
            <color indexed="81"/>
            <rFont val="Tahoma"/>
            <family val="2"/>
          </rPr>
          <t>393.75</t>
        </r>
      </text>
    </comment>
    <comment ref="H1170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开票金额：</t>
        </r>
        <r>
          <rPr>
            <sz val="9"/>
            <color indexed="81"/>
            <rFont val="Tahoma"/>
            <family val="2"/>
          </rPr>
          <t>30.00</t>
        </r>
      </text>
    </comment>
    <comment ref="H121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0.9</t>
        </r>
      </text>
    </comment>
    <comment ref="H1232" authorId="2">
      <text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2.5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4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样品</t>
        </r>
      </text>
    </comment>
    <comment ref="I125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59</t>
        </r>
        <r>
          <rPr>
            <sz val="9"/>
            <color indexed="81"/>
            <rFont val="宋体"/>
            <family val="3"/>
            <charset val="134"/>
          </rPr>
          <t>元，</t>
        </r>
      </text>
    </comment>
    <comment ref="N125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59</t>
        </r>
        <r>
          <rPr>
            <sz val="9"/>
            <color indexed="81"/>
            <rFont val="宋体"/>
            <family val="3"/>
            <charset val="134"/>
          </rPr>
          <t>元，</t>
        </r>
      </text>
    </comment>
    <comment ref="L125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日已付</t>
        </r>
        <r>
          <rPr>
            <sz val="9"/>
            <color indexed="81"/>
            <rFont val="Tahoma"/>
            <family val="2"/>
          </rPr>
          <t>20000</t>
        </r>
      </text>
    </comment>
    <comment ref="B12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开票单位：小丸科贸</t>
        </r>
      </text>
    </comment>
    <comment ref="H12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819</t>
        </r>
      </text>
    </comment>
    <comment ref="H127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20.36</t>
        </r>
      </text>
    </comment>
    <comment ref="H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I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</t>
        </r>
        <r>
          <rPr>
            <sz val="9"/>
            <color indexed="81"/>
            <rFont val="Tahoma"/>
            <family val="2"/>
          </rPr>
          <t>21.4</t>
        </r>
        <r>
          <rPr>
            <sz val="9"/>
            <color indexed="81"/>
            <rFont val="宋体"/>
            <family val="3"/>
            <charset val="134"/>
          </rPr>
          <t>元未登记，发票多开了</t>
        </r>
        <r>
          <rPr>
            <sz val="9"/>
            <color indexed="81"/>
            <rFont val="Tahoma"/>
            <family val="2"/>
          </rPr>
          <t>90</t>
        </r>
        <r>
          <rPr>
            <sz val="9"/>
            <color indexed="81"/>
            <rFont val="宋体"/>
            <family val="3"/>
            <charset val="134"/>
          </rPr>
          <t>元，下次需减去</t>
        </r>
      </text>
    </comment>
    <comment ref="N13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</t>
        </r>
        <r>
          <rPr>
            <sz val="9"/>
            <color indexed="81"/>
            <rFont val="Tahoma"/>
            <family val="2"/>
          </rPr>
          <t>21.4</t>
        </r>
        <r>
          <rPr>
            <sz val="9"/>
            <color indexed="81"/>
            <rFont val="宋体"/>
            <family val="3"/>
            <charset val="134"/>
          </rPr>
          <t>元未登记，发票多开了</t>
        </r>
        <r>
          <rPr>
            <sz val="9"/>
            <color indexed="81"/>
            <rFont val="Tahoma"/>
            <family val="2"/>
          </rPr>
          <t>90</t>
        </r>
        <r>
          <rPr>
            <sz val="9"/>
            <color indexed="81"/>
            <rFont val="宋体"/>
            <family val="3"/>
            <charset val="134"/>
          </rPr>
          <t>元，下次需减去</t>
        </r>
      </text>
    </comment>
    <comment ref="H1303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开票单价：</t>
        </r>
        <r>
          <rPr>
            <sz val="9"/>
            <color indexed="81"/>
            <rFont val="Tahoma"/>
            <family val="2"/>
          </rPr>
          <t>62.7</t>
        </r>
      </text>
    </comment>
    <comment ref="L1339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其中有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元预付款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>号中行对公</t>
        </r>
      </text>
    </comment>
    <comment ref="I14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144</t>
        </r>
      </text>
    </comment>
    <comment ref="N140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垫付运费</t>
        </r>
        <r>
          <rPr>
            <sz val="9"/>
            <color indexed="81"/>
            <rFont val="Tahoma"/>
            <family val="2"/>
          </rPr>
          <t>144</t>
        </r>
      </text>
    </comment>
    <comment ref="L142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付运费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，共计</t>
        </r>
        <r>
          <rPr>
            <sz val="9"/>
            <color indexed="81"/>
            <rFont val="Tahoma"/>
            <family val="2"/>
          </rPr>
          <t>278.8</t>
        </r>
      </text>
    </comment>
    <comment ref="H144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2.5</t>
        </r>
      </text>
    </comment>
    <comment ref="H144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3000</t>
        </r>
        <r>
          <rPr>
            <sz val="9"/>
            <color indexed="81"/>
            <rFont val="宋体"/>
            <family val="3"/>
            <charset val="134"/>
          </rPr>
          <t>防尘套装开票金额</t>
        </r>
        <r>
          <rPr>
            <sz val="9"/>
            <color indexed="81"/>
            <rFont val="Tahoma"/>
            <family val="2"/>
          </rPr>
          <t>45</t>
        </r>
      </text>
    </comment>
    <comment ref="H147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1.65</t>
        </r>
      </text>
    </comment>
    <comment ref="H147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开票单价</t>
        </r>
        <r>
          <rPr>
            <sz val="9"/>
            <color indexed="81"/>
            <rFont val="Tahoma"/>
            <family val="2"/>
          </rPr>
          <t>13.2</t>
        </r>
      </text>
    </comment>
    <comment ref="L147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少付</t>
        </r>
        <r>
          <rPr>
            <sz val="9"/>
            <color indexed="81"/>
            <rFont val="Tahoma"/>
            <family val="2"/>
          </rPr>
          <t>2.73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L148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4-12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1680,4-17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15000</t>
        </r>
      </text>
    </comment>
    <comment ref="L156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多付</t>
        </r>
        <r>
          <rPr>
            <sz val="9"/>
            <color indexed="81"/>
            <rFont val="Tahoma"/>
            <family val="2"/>
          </rPr>
          <t>1.9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H157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57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3000</t>
        </r>
        <r>
          <rPr>
            <sz val="9"/>
            <color indexed="81"/>
            <rFont val="宋体"/>
            <family val="3"/>
            <charset val="134"/>
          </rPr>
          <t>防尘套装开票金额</t>
        </r>
        <r>
          <rPr>
            <sz val="9"/>
            <color indexed="81"/>
            <rFont val="Tahoma"/>
            <family val="2"/>
          </rPr>
          <t>45</t>
        </r>
      </text>
    </comment>
    <comment ref="H1580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开票金额</t>
        </r>
        <r>
          <rPr>
            <sz val="9"/>
            <color indexed="81"/>
            <rFont val="Tahoma"/>
            <family val="2"/>
          </rPr>
          <t>2.5</t>
        </r>
      </text>
    </comment>
    <comment ref="I158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775.5</t>
        </r>
      </text>
    </comment>
    <comment ref="N158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实付</t>
        </r>
        <r>
          <rPr>
            <sz val="9"/>
            <color indexed="81"/>
            <rFont val="Tahoma"/>
            <family val="2"/>
          </rPr>
          <t>775.5</t>
        </r>
      </text>
    </comment>
    <comment ref="H158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发票单价：
</t>
        </r>
        <r>
          <rPr>
            <sz val="9"/>
            <color indexed="81"/>
            <rFont val="Tahoma"/>
            <family val="2"/>
          </rPr>
          <t>28.5</t>
        </r>
      </text>
    </comment>
    <comment ref="H1584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开票：</t>
        </r>
        <r>
          <rPr>
            <sz val="9"/>
            <color indexed="81"/>
            <rFont val="Tahoma"/>
            <family val="2"/>
          </rPr>
          <t>13.5</t>
        </r>
      </text>
    </comment>
    <comment ref="H1585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开票：</t>
        </r>
        <r>
          <rPr>
            <sz val="9"/>
            <color indexed="81"/>
            <rFont val="Tahoma"/>
            <family val="2"/>
          </rPr>
          <t>1.53</t>
        </r>
      </text>
    </comment>
    <comment ref="L159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少付</t>
        </r>
        <r>
          <rPr>
            <sz val="9"/>
            <color indexed="81"/>
            <rFont val="Tahoma"/>
            <family val="2"/>
          </rPr>
          <t>100</t>
        </r>
      </text>
    </comment>
    <comment ref="L1637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3-28</t>
        </r>
        <r>
          <rPr>
            <sz val="9"/>
            <color indexed="81"/>
            <rFont val="宋体"/>
            <family val="3"/>
            <charset val="134"/>
          </rPr>
          <t>付</t>
        </r>
        <r>
          <rPr>
            <sz val="9"/>
            <color indexed="81"/>
            <rFont val="Tahoma"/>
            <family val="2"/>
          </rPr>
          <t>15000</t>
        </r>
      </text>
    </comment>
    <comment ref="B165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开票单位：
重庆永安劳保用品有限公司销售分公司</t>
        </r>
      </text>
    </comment>
    <comment ref="N1722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4-10</t>
        </r>
        <r>
          <rPr>
            <sz val="9"/>
            <color indexed="81"/>
            <rFont val="宋体"/>
            <family val="3"/>
            <charset val="134"/>
          </rPr>
          <t>中行打了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4-12</t>
        </r>
        <r>
          <rPr>
            <sz val="9"/>
            <color indexed="81"/>
            <rFont val="宋体"/>
            <family val="3"/>
            <charset val="134"/>
          </rPr>
          <t>退回</t>
        </r>
      </text>
    </comment>
    <comment ref="N1756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多付</t>
        </r>
        <r>
          <rPr>
            <sz val="9"/>
            <color indexed="81"/>
            <rFont val="Tahoma"/>
            <family val="2"/>
          </rPr>
          <t>19.1</t>
        </r>
      </text>
    </comment>
  </commentList>
</comments>
</file>

<file path=xl/sharedStrings.xml><?xml version="1.0" encoding="utf-8"?>
<sst xmlns="http://schemas.openxmlformats.org/spreadsheetml/2006/main" count="33789" uniqueCount="6461">
  <si>
    <t>轻便型防护眼镜</t>
  </si>
  <si>
    <t>06239018</t>
    <phoneticPr fontId="22" type="noConversion"/>
  </si>
  <si>
    <t>23-700</t>
    <phoneticPr fontId="22" type="noConversion"/>
  </si>
  <si>
    <t>渝中区凯旋路96号16-1</t>
  </si>
  <si>
    <t>蒋松林</t>
  </si>
  <si>
    <t>13708322580</t>
  </si>
  <si>
    <t>品牌</t>
    <phoneticPr fontId="22" type="noConversion"/>
  </si>
  <si>
    <t>Ansell</t>
    <phoneticPr fontId="22" type="noConversion"/>
  </si>
  <si>
    <r>
      <t>SA20120</t>
    </r>
    <r>
      <rPr>
        <sz val="10"/>
        <color indexed="8"/>
        <rFont val="宋体"/>
        <family val="3"/>
        <charset val="134"/>
      </rPr>
      <t>8020146</t>
    </r>
    <phoneticPr fontId="22" type="noConversion"/>
  </si>
  <si>
    <t>酸性气体异味颗粒物滤棉</t>
  </si>
  <si>
    <t>SA201208070115</t>
    <phoneticPr fontId="22" type="noConversion"/>
  </si>
  <si>
    <t>SA201208020122</t>
    <phoneticPr fontId="22" type="noConversion"/>
  </si>
  <si>
    <t>璧山县璧城街道中国西部鞋都工业园内</t>
  </si>
  <si>
    <t>防护口罩 (带呼吸阀）</t>
  </si>
  <si>
    <r>
      <t>0</t>
    </r>
    <r>
      <rPr>
        <sz val="10"/>
        <color indexed="8"/>
        <rFont val="宋体"/>
        <family val="3"/>
        <charset val="134"/>
      </rPr>
      <t>0240306</t>
    </r>
    <phoneticPr fontId="22" type="noConversion"/>
  </si>
  <si>
    <t>重庆港腾科技公司</t>
    <phoneticPr fontId="22" type="noConversion"/>
  </si>
  <si>
    <t>340-4004</t>
    <phoneticPr fontId="22" type="noConversion"/>
  </si>
  <si>
    <t>318-1005</t>
    <phoneticPr fontId="22" type="noConversion"/>
  </si>
  <si>
    <t>高端墨镜（灰色镜片，防雾，附送眼镜绳，眼镜布，眼镜包）</t>
    <phoneticPr fontId="22" type="noConversion"/>
  </si>
  <si>
    <t>李总客户</t>
    <phoneticPr fontId="22" type="noConversion"/>
  </si>
  <si>
    <t>铝合金框架高端墨镜（灰色镜片，防雾，附送眼镜绳，眼镜布，
眼镜袋，眼镜包）</t>
    <phoneticPr fontId="22" type="noConversion"/>
  </si>
  <si>
    <t>13650569368</t>
  </si>
  <si>
    <t>3301CN</t>
    <phoneticPr fontId="22" type="noConversion"/>
  </si>
  <si>
    <t>SO201208070059</t>
    <phoneticPr fontId="22" type="noConversion"/>
  </si>
  <si>
    <t>赠品</t>
    <phoneticPr fontId="22" type="noConversion"/>
  </si>
  <si>
    <t>02426639</t>
    <phoneticPr fontId="22" type="noConversion"/>
  </si>
  <si>
    <t>重庆全好五金有限公司</t>
  </si>
  <si>
    <t>平方米</t>
    <phoneticPr fontId="22" type="noConversion"/>
  </si>
  <si>
    <t>全面型防护面罩（中号）</t>
  </si>
  <si>
    <t>定性适合性检验工具（苦味）</t>
  </si>
  <si>
    <t>FT-30</t>
  </si>
  <si>
    <t>0003247</t>
    <phoneticPr fontId="22" type="noConversion"/>
  </si>
  <si>
    <t>防护眼镜（舒适型，防雾）</t>
  </si>
  <si>
    <t>流线型防护眼镜</t>
  </si>
  <si>
    <t>防护眼镜（带侧翼通风口，防雾）</t>
  </si>
  <si>
    <t>023-62925693</t>
  </si>
  <si>
    <t>42码</t>
  </si>
  <si>
    <t>023155545856</t>
  </si>
  <si>
    <t>有机 / 无机 / 酸性气体滤毒盒</t>
  </si>
  <si>
    <t>经济型轻便防护眼镜（透明镜片）</t>
  </si>
  <si>
    <r>
      <t>1</t>
    </r>
    <r>
      <rPr>
        <sz val="10"/>
        <color indexed="8"/>
        <rFont val="宋体"/>
        <family val="3"/>
        <charset val="134"/>
      </rPr>
      <t>711AF</t>
    </r>
    <phoneticPr fontId="22" type="noConversion"/>
  </si>
  <si>
    <t>时尚型防护眼镜，</t>
  </si>
  <si>
    <t>0005650</t>
    <phoneticPr fontId="22" type="noConversion"/>
  </si>
  <si>
    <t>SO201208160045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</si>
  <si>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1430478</t>
    </r>
    <phoneticPr fontId="22" type="noConversion"/>
  </si>
  <si>
    <t>顺丰：112084019736</t>
    <phoneticPr fontId="22" type="noConversion"/>
  </si>
  <si>
    <t xml:space="preserve">320D </t>
  </si>
  <si>
    <t xml:space="preserve">320P </t>
  </si>
  <si>
    <t>尘毒呼吸防护套装(MRO)舒适型</t>
    <phoneticPr fontId="22" type="noConversion"/>
  </si>
  <si>
    <t xml:space="preserve">720P </t>
  </si>
  <si>
    <t xml:space="preserve">620P </t>
  </si>
  <si>
    <t>颗粒物防尘口罩-蓝色</t>
    <phoneticPr fontId="22" type="noConversion"/>
  </si>
  <si>
    <t>颗粒物防护口罩-蓝色</t>
    <phoneticPr fontId="22" type="noConversion"/>
  </si>
  <si>
    <t xml:space="preserve">318-1005 </t>
  </si>
  <si>
    <r>
      <t>M</t>
    </r>
    <r>
      <rPr>
        <sz val="10"/>
        <color indexed="8"/>
        <rFont val="宋体"/>
        <family val="3"/>
        <charset val="134"/>
      </rPr>
      <t>M-48951-384678</t>
    </r>
    <phoneticPr fontId="22" type="noConversion"/>
  </si>
  <si>
    <t>WG-33514-384678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</si>
  <si>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5036233</t>
    </r>
    <phoneticPr fontId="22" type="noConversion"/>
  </si>
  <si>
    <t>中铁快运：0202283</t>
    <phoneticPr fontId="22" type="noConversion"/>
  </si>
  <si>
    <t>中铁快运：0202284</t>
  </si>
  <si>
    <t>中铁快运：0202285</t>
  </si>
  <si>
    <t>中铁快运：0202286</t>
  </si>
  <si>
    <t>中铁快运：0202287</t>
  </si>
  <si>
    <t>中铁快运：0202288</t>
  </si>
  <si>
    <t>中铁快运：0202289</t>
  </si>
  <si>
    <t>ZB-8549-384678</t>
    <phoneticPr fontId="22" type="noConversion"/>
  </si>
  <si>
    <t>8210V</t>
  </si>
  <si>
    <t>带阀颗粒物防护口罩</t>
  </si>
  <si>
    <t>九龙坡区南华街629号达飞苑C栋</t>
  </si>
  <si>
    <t>许小姐</t>
  </si>
  <si>
    <t>甲醛 / 有机蒸气滤毒盒</t>
  </si>
  <si>
    <t>子弹型耳塞</t>
  </si>
  <si>
    <t>个人分销商（伍俊）</t>
    <phoneticPr fontId="22" type="noConversion"/>
  </si>
  <si>
    <t>3701cn</t>
    <phoneticPr fontId="22" type="noConversion"/>
  </si>
  <si>
    <t>贵阳市山林路116号</t>
  </si>
  <si>
    <t>XOUT141067</t>
    <phoneticPr fontId="22" type="noConversion"/>
  </si>
  <si>
    <t>贵州省复合改性聚合物材料工程技术研究中心</t>
  </si>
  <si>
    <t>向宇姝</t>
  </si>
  <si>
    <t>贵阳市白云区白云北路新材料产业园A2-6号</t>
  </si>
  <si>
    <t>德邦物流*86831814*</t>
    <phoneticPr fontId="22" type="noConversion"/>
  </si>
  <si>
    <t>型号</t>
    <phoneticPr fontId="22" type="noConversion"/>
  </si>
  <si>
    <t>赠品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</si>
  <si>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*5.1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</si>
  <si>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.3*1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</si>
  <si>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.206*70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</si>
  <si>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.66*80</t>
    </r>
    <phoneticPr fontId="44" type="noConversion"/>
  </si>
  <si>
    <r>
      <t>1</t>
    </r>
    <r>
      <rPr>
        <sz val="10"/>
        <color indexed="8"/>
        <rFont val="宋体"/>
        <family val="3"/>
        <charset val="134"/>
      </rPr>
      <t>.6*20+1.55*130</t>
    </r>
    <phoneticPr fontId="44" type="noConversion"/>
  </si>
  <si>
    <t>1.66*20+1.55*130</t>
    <phoneticPr fontId="44" type="noConversion"/>
  </si>
  <si>
    <t>颗粒物防护口罩-蓝色</t>
  </si>
  <si>
    <t>340-4004</t>
    <phoneticPr fontId="45" type="noConversion"/>
  </si>
  <si>
    <t>5N11</t>
    <phoneticPr fontId="45" type="noConversion"/>
  </si>
  <si>
    <t>9002A</t>
    <phoneticPr fontId="45" type="noConversion"/>
  </si>
  <si>
    <t>付</t>
    <phoneticPr fontId="45" type="noConversion"/>
  </si>
  <si>
    <t>02355559</t>
    <phoneticPr fontId="22" type="noConversion"/>
  </si>
  <si>
    <r>
      <t>XOUT134</t>
    </r>
    <r>
      <rPr>
        <sz val="10"/>
        <color indexed="8"/>
        <rFont val="宋体"/>
        <family val="3"/>
        <charset val="134"/>
      </rPr>
      <t>793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</si>
  <si>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005591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</si>
  <si>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005595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</si>
  <si>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007483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</si>
  <si>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</si>
  <si>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007486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</si>
  <si>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003858</t>
    </r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</si>
  <si>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135481</t>
    </r>
    <phoneticPr fontId="22" type="noConversion"/>
  </si>
  <si>
    <r>
      <t>SA201206260</t>
    </r>
    <r>
      <rPr>
        <sz val="10"/>
        <color indexed="8"/>
        <rFont val="宋体"/>
        <family val="3"/>
        <charset val="134"/>
      </rPr>
      <t>180</t>
    </r>
    <phoneticPr fontId="22" type="noConversion"/>
  </si>
  <si>
    <r>
      <t>SA20120627</t>
    </r>
    <r>
      <rPr>
        <sz val="10"/>
        <color indexed="8"/>
        <rFont val="宋体"/>
        <family val="3"/>
        <charset val="134"/>
      </rPr>
      <t>0141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</si>
  <si>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247</t>
    </r>
    <phoneticPr fontId="22" type="noConversion"/>
  </si>
  <si>
    <r>
      <t>S</t>
    </r>
    <r>
      <rPr>
        <sz val="10"/>
        <color indexed="8"/>
        <rFont val="宋体"/>
        <family val="3"/>
        <charset val="134"/>
      </rPr>
      <t>A</t>
    </r>
    <r>
      <rPr>
        <sz val="10"/>
        <color indexed="8"/>
        <rFont val="宋体"/>
        <family val="3"/>
        <charset val="134"/>
      </rPr>
      <t>201206260106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</si>
  <si>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007494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</si>
  <si>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007495</t>
    </r>
    <phoneticPr fontId="22" type="noConversion"/>
  </si>
  <si>
    <r>
      <t>C</t>
    </r>
    <r>
      <rPr>
        <sz val="10"/>
        <color indexed="8"/>
        <rFont val="宋体"/>
        <family val="3"/>
        <charset val="134"/>
      </rPr>
      <t>B-D-7.5-26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</si>
  <si>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2348102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</si>
  <si>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003894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</si>
  <si>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003909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</si>
  <si>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001A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</si>
  <si>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003919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</si>
  <si>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005558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</si>
  <si>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004461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</si>
  <si>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003K-100</t>
    </r>
    <phoneticPr fontId="22" type="noConversion"/>
  </si>
  <si>
    <r>
      <t>X</t>
    </r>
    <r>
      <rPr>
        <sz val="10"/>
        <color indexed="8"/>
        <rFont val="宋体"/>
        <family val="3"/>
        <charset val="134"/>
      </rPr>
      <t>OUT138236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</si>
  <si>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004471</t>
    </r>
    <phoneticPr fontId="22" type="noConversion"/>
  </si>
  <si>
    <t>02426647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</si>
  <si>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003948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</si>
  <si>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003955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</si>
  <si>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003954</t>
    </r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</si>
  <si>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139585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</si>
  <si>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003967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</si>
  <si>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005644</t>
    </r>
    <phoneticPr fontId="22" type="noConversion"/>
  </si>
  <si>
    <r>
      <t>XOUT1</t>
    </r>
    <r>
      <rPr>
        <sz val="10"/>
        <color indexed="8"/>
        <rFont val="宋体"/>
        <family val="3"/>
        <charset val="134"/>
      </rPr>
      <t>40406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</si>
  <si>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2426697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</si>
  <si>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</si>
  <si>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</si>
  <si>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2901303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</si>
  <si>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1903057</t>
    </r>
    <phoneticPr fontId="22" type="noConversion"/>
  </si>
  <si>
    <r>
      <t>XOUT14</t>
    </r>
    <r>
      <rPr>
        <sz val="10"/>
        <color indexed="8"/>
        <rFont val="宋体"/>
        <family val="3"/>
        <charset val="134"/>
      </rPr>
      <t>0663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</si>
  <si>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005658</t>
    </r>
    <phoneticPr fontId="22" type="noConversion"/>
  </si>
  <si>
    <r>
      <t>S</t>
    </r>
    <r>
      <rPr>
        <sz val="10"/>
        <color indexed="8"/>
        <rFont val="宋体"/>
        <family val="3"/>
        <charset val="134"/>
      </rPr>
      <t>A201208170101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</si>
  <si>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003254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</si>
  <si>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005683</t>
    </r>
    <phoneticPr fontId="22" type="noConversion"/>
  </si>
  <si>
    <t>0003222</t>
    <phoneticPr fontId="45" type="noConversion"/>
  </si>
  <si>
    <r>
      <t>0</t>
    </r>
    <r>
      <rPr>
        <sz val="10"/>
        <color indexed="8"/>
        <rFont val="宋体"/>
        <family val="3"/>
        <charset val="134"/>
      </rPr>
      <t>005690</t>
    </r>
    <phoneticPr fontId="45" type="noConversion"/>
  </si>
  <si>
    <r>
      <t>0</t>
    </r>
    <r>
      <rPr>
        <sz val="10"/>
        <color indexed="8"/>
        <rFont val="宋体"/>
        <family val="3"/>
        <charset val="134"/>
      </rPr>
      <t>2426759</t>
    </r>
    <phoneticPr fontId="22" type="noConversion"/>
  </si>
  <si>
    <t>03287094</t>
    <phoneticPr fontId="22" type="noConversion"/>
  </si>
  <si>
    <t>重庆市渝中区石灰市2号合景聚融1单元15-1室</t>
  </si>
  <si>
    <t>重庆西亚新型装饰材料有限公司</t>
  </si>
  <si>
    <r>
      <t>0</t>
    </r>
    <r>
      <rPr>
        <sz val="10"/>
        <color indexed="8"/>
        <rFont val="宋体"/>
        <family val="3"/>
        <charset val="134"/>
      </rPr>
      <t>3426476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</si>
  <si>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2426764</t>
    </r>
    <phoneticPr fontId="22" type="noConversion"/>
  </si>
  <si>
    <t>票号：02426764</t>
    <phoneticPr fontId="22" type="noConversion"/>
  </si>
  <si>
    <t>单位</t>
    <phoneticPr fontId="22" type="noConversion"/>
  </si>
  <si>
    <t>6001CN</t>
    <phoneticPr fontId="22" type="noConversion"/>
  </si>
  <si>
    <t>3003K-100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</si>
  <si>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680 XXL</t>
    </r>
    <phoneticPr fontId="22" type="noConversion"/>
  </si>
  <si>
    <r>
      <t>4690</t>
    </r>
    <r>
      <rPr>
        <sz val="10"/>
        <color indexed="8"/>
        <rFont val="宋体"/>
        <family val="3"/>
        <charset val="134"/>
      </rPr>
      <t xml:space="preserve"> XXL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</si>
  <si>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010 XXL</t>
    </r>
    <phoneticPr fontId="22" type="noConversion"/>
  </si>
  <si>
    <t>绿色带帽连体防护服</t>
    <phoneticPr fontId="22" type="noConversion"/>
  </si>
  <si>
    <t>橙色带帽连体防护服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</si>
  <si>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004006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</si>
  <si>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</si>
  <si>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</si>
  <si>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r>
      <t>6003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</si>
  <si>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6002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</si>
  <si>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C</t>
    </r>
    <r>
      <rPr>
        <sz val="10"/>
        <color indexed="8"/>
        <rFont val="宋体"/>
        <family val="3"/>
        <charset val="134"/>
      </rPr>
      <t>B-D-7.5-26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</si>
  <si>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2426783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</si>
  <si>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</si>
  <si>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r>
      <t>X</t>
    </r>
    <r>
      <rPr>
        <sz val="10"/>
        <color indexed="8"/>
        <rFont val="宋体"/>
        <family val="3"/>
        <charset val="134"/>
      </rPr>
      <t>OUT141867</t>
    </r>
    <phoneticPr fontId="22" type="noConversion"/>
  </si>
  <si>
    <r>
      <t>0</t>
    </r>
    <r>
      <rPr>
        <sz val="10"/>
        <color indexed="8"/>
        <rFont val="宋体"/>
        <family val="3"/>
        <charset val="134"/>
      </rPr>
      <t>1388120</t>
    </r>
    <phoneticPr fontId="22" type="noConversion"/>
  </si>
  <si>
    <t>3M</t>
    <phoneticPr fontId="22" type="noConversion"/>
  </si>
  <si>
    <t>3M</t>
    <phoneticPr fontId="22" type="noConversion"/>
  </si>
  <si>
    <t>3M</t>
    <phoneticPr fontId="22" type="noConversion"/>
  </si>
  <si>
    <t>农行对私</t>
    <phoneticPr fontId="22" type="noConversion"/>
  </si>
  <si>
    <t>中行对公</t>
    <phoneticPr fontId="22" type="noConversion"/>
  </si>
  <si>
    <t>/</t>
    <phoneticPr fontId="22" type="noConversion"/>
  </si>
  <si>
    <t>中行对公</t>
    <phoneticPr fontId="22" type="noConversion"/>
  </si>
  <si>
    <t>中行对公</t>
    <phoneticPr fontId="22" type="noConversion"/>
  </si>
  <si>
    <t>个</t>
    <phoneticPr fontId="22" type="noConversion"/>
  </si>
  <si>
    <t>片</t>
    <phoneticPr fontId="22" type="noConversion"/>
  </si>
  <si>
    <t>付</t>
    <phoneticPr fontId="22" type="noConversion"/>
  </si>
  <si>
    <t>1711AF</t>
    <phoneticPr fontId="22" type="noConversion"/>
  </si>
  <si>
    <t>件</t>
    <phoneticPr fontId="22" type="noConversion"/>
  </si>
  <si>
    <t>不开票</t>
    <phoneticPr fontId="22" type="noConversion"/>
  </si>
  <si>
    <t>片</t>
    <phoneticPr fontId="22" type="noConversion"/>
  </si>
  <si>
    <t>3N11CN</t>
    <phoneticPr fontId="22" type="noConversion"/>
  </si>
  <si>
    <t>1621AF</t>
    <phoneticPr fontId="22" type="noConversion"/>
  </si>
  <si>
    <t>9001A</t>
    <phoneticPr fontId="22" type="noConversion"/>
  </si>
  <si>
    <t>9002A</t>
    <phoneticPr fontId="22" type="noConversion"/>
  </si>
  <si>
    <t>9022A</t>
    <phoneticPr fontId="22" type="noConversion"/>
  </si>
  <si>
    <t>颗粒物滤棉</t>
    <phoneticPr fontId="22" type="noConversion"/>
  </si>
  <si>
    <t>中行对公</t>
    <phoneticPr fontId="22" type="noConversion"/>
  </si>
  <si>
    <t>嘉烨</t>
    <phoneticPr fontId="22" type="noConversion"/>
  </si>
  <si>
    <t>片</t>
    <phoneticPr fontId="22" type="noConversion"/>
  </si>
  <si>
    <t>3701CN</t>
    <phoneticPr fontId="22" type="noConversion"/>
  </si>
  <si>
    <t>3744K</t>
    <phoneticPr fontId="22" type="noConversion"/>
  </si>
  <si>
    <t>Ansell</t>
    <phoneticPr fontId="22" type="noConversion"/>
  </si>
  <si>
    <t>张秀英</t>
    <phoneticPr fontId="22" type="noConversion"/>
  </si>
  <si>
    <t>13452968271</t>
    <phoneticPr fontId="22" type="noConversion"/>
  </si>
  <si>
    <t>西彭工业园区</t>
    <phoneticPr fontId="22" type="noConversion"/>
  </si>
  <si>
    <t>套</t>
    <phoneticPr fontId="22" type="noConversion"/>
  </si>
  <si>
    <t>平方米</t>
    <phoneticPr fontId="22" type="noConversion"/>
  </si>
  <si>
    <t>5N11</t>
    <phoneticPr fontId="22" type="noConversion"/>
  </si>
  <si>
    <t>件</t>
    <phoneticPr fontId="22" type="noConversion"/>
  </si>
  <si>
    <t>子弹型耳塞</t>
    <phoneticPr fontId="22" type="noConversion"/>
  </si>
  <si>
    <t>385CN</t>
    <phoneticPr fontId="22" type="noConversion"/>
  </si>
  <si>
    <t>套</t>
    <phoneticPr fontId="53" type="noConversion"/>
  </si>
  <si>
    <t>片</t>
    <phoneticPr fontId="53" type="noConversion"/>
  </si>
  <si>
    <t>付</t>
    <phoneticPr fontId="53" type="noConversion"/>
  </si>
  <si>
    <t>320D</t>
    <phoneticPr fontId="53" type="noConversion"/>
  </si>
  <si>
    <t>个</t>
    <phoneticPr fontId="53" type="noConversion"/>
  </si>
  <si>
    <t>颗粒物呼吸防护套装经济</t>
    <phoneticPr fontId="53" type="noConversion"/>
  </si>
  <si>
    <t>1621AF</t>
    <phoneticPr fontId="53" type="noConversion"/>
  </si>
  <si>
    <t>颗粒物防护口罩-蓝色</t>
    <phoneticPr fontId="53" type="noConversion"/>
  </si>
  <si>
    <t>防雾护目镜</t>
    <phoneticPr fontId="53" type="noConversion"/>
  </si>
  <si>
    <t>开会当展用</t>
    <phoneticPr fontId="53" type="noConversion"/>
  </si>
  <si>
    <t>是否归还</t>
    <phoneticPr fontId="53" type="noConversion"/>
  </si>
  <si>
    <t>否</t>
    <phoneticPr fontId="53" type="noConversion"/>
  </si>
  <si>
    <t>金守德</t>
  </si>
  <si>
    <t>0004030</t>
    <phoneticPr fontId="22" type="noConversion"/>
  </si>
  <si>
    <r>
      <t>1</t>
    </r>
    <r>
      <rPr>
        <sz val="9"/>
        <color indexed="8"/>
        <rFont val="宋体"/>
        <family val="3"/>
        <charset val="134"/>
      </rPr>
      <t>621AF</t>
    </r>
    <phoneticPr fontId="53" type="noConversion"/>
  </si>
  <si>
    <r>
      <t>3</t>
    </r>
    <r>
      <rPr>
        <sz val="9"/>
        <color indexed="8"/>
        <rFont val="宋体"/>
        <family val="3"/>
        <charset val="134"/>
      </rPr>
      <t>000</t>
    </r>
    <r>
      <rPr>
        <sz val="9"/>
        <color indexed="8"/>
        <rFont val="宋体"/>
        <family val="3"/>
        <charset val="134"/>
      </rPr>
      <t>半面型防护面罩</t>
    </r>
    <phoneticPr fontId="53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</si>
  <si>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</si>
  <si>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t>日期</t>
  </si>
  <si>
    <t>进货单位</t>
  </si>
  <si>
    <t>品名</t>
  </si>
  <si>
    <t>数量</t>
  </si>
  <si>
    <t>单位</t>
  </si>
  <si>
    <t>单价</t>
  </si>
  <si>
    <t>金额</t>
  </si>
  <si>
    <t>收货时间</t>
  </si>
  <si>
    <t>付款时间</t>
  </si>
  <si>
    <t>付款方式</t>
  </si>
  <si>
    <t>税票号</t>
  </si>
  <si>
    <t>收票时间</t>
  </si>
  <si>
    <t>备注</t>
  </si>
  <si>
    <t>重庆市昊泽工贸有限公司</t>
  </si>
  <si>
    <t>个</t>
  </si>
  <si>
    <t>滤棉</t>
  </si>
  <si>
    <t>片</t>
  </si>
  <si>
    <t>颗粒物滤棉</t>
  </si>
  <si>
    <t>5N11</t>
  </si>
  <si>
    <t>9102C</t>
  </si>
  <si>
    <t>3701CN</t>
  </si>
  <si>
    <t>套</t>
  </si>
  <si>
    <t>防目镜</t>
  </si>
  <si>
    <t>1621AF</t>
  </si>
  <si>
    <t>付</t>
  </si>
  <si>
    <t>半面型防护面罩</t>
  </si>
  <si>
    <t>有机蒸汽滤毒盒</t>
  </si>
  <si>
    <t>6001CN</t>
  </si>
  <si>
    <t>件</t>
  </si>
  <si>
    <t>深圳市鹏亮工贸有限公司</t>
  </si>
  <si>
    <t>9002A</t>
  </si>
  <si>
    <t>白色带帽连体防护服</t>
  </si>
  <si>
    <t>防护眼镜</t>
  </si>
  <si>
    <t>1711AF</t>
  </si>
  <si>
    <t>耳罩</t>
  </si>
  <si>
    <t>双片包装</t>
  </si>
  <si>
    <t>折叠式防护口罩 (灰色，耳带式）</t>
  </si>
  <si>
    <t>9021A</t>
  </si>
  <si>
    <t>重庆亿捷通工业品股份有限公司</t>
  </si>
  <si>
    <t>不开票</t>
  </si>
  <si>
    <t>网上转账</t>
  </si>
  <si>
    <t>00804083</t>
  </si>
  <si>
    <t>总计857.80</t>
  </si>
  <si>
    <t>嘉烨购进</t>
  </si>
  <si>
    <t>3301CN</t>
  </si>
  <si>
    <t>出库单开给嘉烨</t>
  </si>
  <si>
    <t>开给嘉烨</t>
  </si>
  <si>
    <t>1623AF</t>
  </si>
  <si>
    <t>滤棉盖</t>
  </si>
  <si>
    <t>免揉搓泡棉带线耳塞</t>
  </si>
  <si>
    <t>318-1005</t>
  </si>
  <si>
    <t>中国款防护眼镜</t>
  </si>
  <si>
    <t>01560952</t>
  </si>
  <si>
    <t>预过滤棉</t>
  </si>
  <si>
    <t>3N11CN</t>
  </si>
  <si>
    <t>防毒口罩</t>
  </si>
  <si>
    <t>00253010</t>
  </si>
  <si>
    <t>顺丰：109681183973</t>
  </si>
  <si>
    <t>酸性气体滤毒盒</t>
  </si>
  <si>
    <t>6002CN</t>
  </si>
  <si>
    <t>0004245</t>
  </si>
  <si>
    <t>9102c</t>
  </si>
  <si>
    <t>昆明嘉毅科技有限公司</t>
  </si>
  <si>
    <t>医用口罩</t>
  </si>
  <si>
    <t>备用金付款</t>
  </si>
  <si>
    <t>到付+10邮费</t>
  </si>
  <si>
    <t>0004330</t>
  </si>
  <si>
    <t>385CN</t>
  </si>
  <si>
    <t>0004338</t>
  </si>
  <si>
    <t>氨气及甲胺气体滤毒盒</t>
  </si>
  <si>
    <t>2012050801</t>
  </si>
  <si>
    <t>0004343</t>
  </si>
  <si>
    <t>0004346</t>
  </si>
  <si>
    <t>中国款流线型防护眼镜</t>
  </si>
  <si>
    <t>圆柱型带线耳塞</t>
  </si>
  <si>
    <t>311-1101</t>
  </si>
  <si>
    <t>折叠式耳罩</t>
  </si>
  <si>
    <t>H7F</t>
  </si>
  <si>
    <t>0004347</t>
  </si>
  <si>
    <t>颗粒物过滤棉</t>
  </si>
  <si>
    <t>0004348</t>
  </si>
  <si>
    <t>滤棉承接盖</t>
  </si>
  <si>
    <t>0004351</t>
  </si>
  <si>
    <t>口罩（三片装）</t>
  </si>
  <si>
    <t>0004258</t>
  </si>
  <si>
    <t>0004371</t>
  </si>
  <si>
    <t>现金</t>
  </si>
  <si>
    <t>头戴式耳罩</t>
  </si>
  <si>
    <t>H7A</t>
  </si>
  <si>
    <t>0004384</t>
  </si>
  <si>
    <t>经济型耳罩</t>
  </si>
  <si>
    <t>圣诞树型带线耳塞</t>
  </si>
  <si>
    <t>0004385</t>
  </si>
  <si>
    <t>子弹型带线耳塞</t>
  </si>
  <si>
    <t>0006665</t>
  </si>
  <si>
    <t>0004399</t>
  </si>
  <si>
    <t>个体经营户</t>
  </si>
  <si>
    <t>/</t>
  </si>
  <si>
    <t>0006667</t>
  </si>
  <si>
    <t>2012052201</t>
  </si>
  <si>
    <t>01560955</t>
  </si>
  <si>
    <t>铁杆物流，到付。送货到铁杆物流150.00</t>
  </si>
  <si>
    <t>重庆百货大楼股份有限公司劳保用品分公司</t>
  </si>
  <si>
    <t>02496792</t>
  </si>
  <si>
    <t>硅胶半面型单滤盒防尘面罩</t>
  </si>
  <si>
    <t>0006676</t>
  </si>
  <si>
    <t>防护口罩</t>
  </si>
  <si>
    <t>0004436</t>
  </si>
  <si>
    <t>0004450</t>
  </si>
  <si>
    <t>0004451</t>
  </si>
  <si>
    <t>有机蒸汽异味及颗粒物滤棉</t>
  </si>
  <si>
    <t>3744K</t>
  </si>
  <si>
    <t>SA201205220131</t>
  </si>
  <si>
    <t>中行对私</t>
  </si>
  <si>
    <t>2012052802</t>
  </si>
  <si>
    <t>0005362</t>
  </si>
  <si>
    <t>中行对公</t>
  </si>
  <si>
    <t>折叠式带阀防护口罩</t>
  </si>
  <si>
    <t>9001V</t>
  </si>
  <si>
    <t>0005364</t>
  </si>
  <si>
    <t>0005368</t>
  </si>
  <si>
    <t>0005375</t>
  </si>
  <si>
    <t>重庆南洋劳保用品有限公司</t>
  </si>
  <si>
    <t>XOUT132915</t>
  </si>
  <si>
    <t>01614223</t>
  </si>
  <si>
    <t>0005384</t>
  </si>
  <si>
    <t>防雾护目镜</t>
  </si>
  <si>
    <t>0006799</t>
  </si>
  <si>
    <t>XOUT133304</t>
  </si>
  <si>
    <t>农行对私</t>
  </si>
  <si>
    <t>00811199</t>
  </si>
  <si>
    <t>0006817</t>
  </si>
  <si>
    <t>滤棉承接座</t>
  </si>
  <si>
    <t>折叠式防护口罩</t>
  </si>
  <si>
    <t>9022A</t>
  </si>
  <si>
    <t>0007427</t>
  </si>
  <si>
    <t>硅胶半面型防护面罩（中号）</t>
  </si>
  <si>
    <t>0007428</t>
  </si>
  <si>
    <t>0007429</t>
  </si>
  <si>
    <t>有机蒸气滤毒盒</t>
  </si>
  <si>
    <t>XOUT133687</t>
  </si>
  <si>
    <t>0005579</t>
  </si>
  <si>
    <t>防护眼镜（防雾），蓝色镜架</t>
  </si>
  <si>
    <t>防护眼镜（防刮擦涂层）</t>
  </si>
  <si>
    <t>0005130</t>
  </si>
  <si>
    <t>0007433</t>
  </si>
  <si>
    <t>XOUT134294</t>
  </si>
  <si>
    <t>XOUT134295</t>
  </si>
  <si>
    <t>XOUT134296</t>
  </si>
  <si>
    <t>XOUT134297</t>
  </si>
  <si>
    <t>0005581</t>
  </si>
  <si>
    <t>出货单位</t>
  </si>
  <si>
    <t>成本</t>
  </si>
  <si>
    <t>收款时间</t>
  </si>
  <si>
    <t>收款方式</t>
  </si>
  <si>
    <t>出库单号</t>
  </si>
  <si>
    <t>出货方式</t>
  </si>
  <si>
    <t>收货人</t>
  </si>
  <si>
    <t>收获人电话</t>
  </si>
  <si>
    <t>运单号</t>
  </si>
  <si>
    <t>出票时间</t>
  </si>
  <si>
    <t>类别</t>
  </si>
  <si>
    <t>昆明吉盛恒商贸有限公司</t>
  </si>
  <si>
    <t>渠道</t>
  </si>
  <si>
    <t>渝北区广源劳保用品经营部</t>
  </si>
  <si>
    <t>9042A</t>
  </si>
  <si>
    <t>防护服</t>
  </si>
  <si>
    <t>重庆市勘测院</t>
  </si>
  <si>
    <t>终端</t>
  </si>
  <si>
    <t>贵阳泰峰实业有限公司</t>
  </si>
  <si>
    <t>对私转账</t>
  </si>
  <si>
    <t>重庆远标机电有限公司</t>
  </si>
  <si>
    <t>重庆戴卡捷力轮毂制造有限公司</t>
  </si>
  <si>
    <t>1002384</t>
  </si>
  <si>
    <t>1002386</t>
  </si>
  <si>
    <t>重庆铭冠劳保防护用品有限公司</t>
  </si>
  <si>
    <t>1002388</t>
  </si>
  <si>
    <t>自提</t>
  </si>
  <si>
    <t>1002389</t>
  </si>
  <si>
    <t>1002390</t>
  </si>
  <si>
    <t>恒耀·杨四物流</t>
  </si>
  <si>
    <t>李光银</t>
  </si>
  <si>
    <t>18725666444、18883228838</t>
  </si>
  <si>
    <t>011327</t>
  </si>
  <si>
    <t>到付</t>
  </si>
  <si>
    <t>荣昌砖厂</t>
  </si>
  <si>
    <t>1002391</t>
  </si>
  <si>
    <t>1002392</t>
  </si>
  <si>
    <t>重庆健隆双庆运输</t>
  </si>
  <si>
    <t>刘军</t>
  </si>
  <si>
    <t>13452102967</t>
  </si>
  <si>
    <t>0172926</t>
  </si>
  <si>
    <t>1002393</t>
  </si>
  <si>
    <t>红河州飞瑞达科技有限公司</t>
  </si>
  <si>
    <t>对公转账</t>
  </si>
  <si>
    <t>深圳顺丰直发</t>
  </si>
  <si>
    <t>109681183973</t>
  </si>
  <si>
    <t>01634383-01634384</t>
  </si>
  <si>
    <t>11197.5-11602.5</t>
  </si>
  <si>
    <t>01634383</t>
  </si>
  <si>
    <t>周俊</t>
  </si>
  <si>
    <t>13399830699</t>
  </si>
  <si>
    <t>0165178</t>
  </si>
  <si>
    <t>退货</t>
  </si>
  <si>
    <t>德邦物流退货</t>
  </si>
  <si>
    <t>昆明诺凡商贸有限公司</t>
  </si>
  <si>
    <t>从嘉毅调货</t>
  </si>
  <si>
    <t>重庆嘉烨商贸有限公司</t>
  </si>
  <si>
    <t>1002395</t>
  </si>
  <si>
    <t>龙溪镇劳保</t>
  </si>
  <si>
    <t>1002396</t>
  </si>
  <si>
    <t>15023078788</t>
  </si>
  <si>
    <t>1002397</t>
  </si>
  <si>
    <t>送货上门</t>
  </si>
  <si>
    <t>蔡舒</t>
  </si>
  <si>
    <t>13350315169</t>
  </si>
  <si>
    <t>01634372</t>
  </si>
  <si>
    <t>1002398</t>
  </si>
  <si>
    <t>0164284</t>
  </si>
  <si>
    <t>1002399</t>
  </si>
  <si>
    <t>德邦物流</t>
  </si>
  <si>
    <t>王东</t>
  </si>
  <si>
    <t>15808899650</t>
  </si>
  <si>
    <t>73681606</t>
  </si>
  <si>
    <t>云南光电辅料有限公司</t>
  </si>
  <si>
    <t>1002400</t>
  </si>
  <si>
    <t>圆通快递</t>
  </si>
  <si>
    <t>康小民</t>
  </si>
  <si>
    <t>15087005619</t>
  </si>
  <si>
    <t>5008223936</t>
  </si>
  <si>
    <t>垫付32</t>
  </si>
  <si>
    <t>2002401</t>
  </si>
  <si>
    <t>2002402</t>
  </si>
  <si>
    <t>送货山门</t>
  </si>
  <si>
    <t>15215005836</t>
  </si>
  <si>
    <t>重庆远新商贸有限责任公司</t>
  </si>
  <si>
    <t>贵阳麦迪科商贸有限公司</t>
  </si>
  <si>
    <t>荣昌县吴家镇管道配件加工厂</t>
  </si>
  <si>
    <t>2002404</t>
  </si>
  <si>
    <t>0174134</t>
  </si>
  <si>
    <t>2002405</t>
  </si>
  <si>
    <t>0174135</t>
  </si>
  <si>
    <t>2002406</t>
  </si>
  <si>
    <t>2002407</t>
  </si>
  <si>
    <t>13765018313、08516516303</t>
  </si>
  <si>
    <t>73740049</t>
  </si>
  <si>
    <t>2002408</t>
  </si>
  <si>
    <t>陈晓兰</t>
  </si>
  <si>
    <t>2596881112</t>
  </si>
  <si>
    <t>2002409</t>
  </si>
  <si>
    <t>昆明海世定泰商贸有限公司</t>
  </si>
  <si>
    <t>2002410</t>
  </si>
  <si>
    <t>01634377-01634378-01634379-01634380-01634381-01634382</t>
  </si>
  <si>
    <t>11690-11680-11680-11680-11680-800</t>
  </si>
  <si>
    <t>铁杆快运</t>
  </si>
  <si>
    <t>龙柳昆</t>
  </si>
  <si>
    <t>15187175322</t>
  </si>
  <si>
    <t>00706500</t>
  </si>
  <si>
    <t>01634375-01634376-01634377</t>
  </si>
  <si>
    <t>11570-11500-11690</t>
  </si>
  <si>
    <t>01634374-01634375</t>
  </si>
  <si>
    <t>11600-11570</t>
  </si>
  <si>
    <t>01634373</t>
  </si>
  <si>
    <t>2002411</t>
  </si>
  <si>
    <t>璧山县江渝实木家具</t>
  </si>
  <si>
    <t>2002412</t>
  </si>
  <si>
    <t>璧山县胶合锄把厂</t>
  </si>
  <si>
    <t>2002413</t>
  </si>
  <si>
    <t>璧山舒适家具厂</t>
  </si>
  <si>
    <t>2002414</t>
  </si>
  <si>
    <t>璧山县富开家具厂</t>
  </si>
  <si>
    <t>2002415</t>
  </si>
  <si>
    <t>璧山县正兴鑫月石材</t>
  </si>
  <si>
    <t>2002416</t>
  </si>
  <si>
    <t>璧山凯达实木厂</t>
  </si>
  <si>
    <t>2002417</t>
  </si>
  <si>
    <t>防毒套装</t>
  </si>
  <si>
    <t>2002418</t>
  </si>
  <si>
    <t>2002419</t>
  </si>
  <si>
    <t>2002420</t>
  </si>
  <si>
    <t>2002421</t>
  </si>
  <si>
    <t>垫江县建国家具厂</t>
  </si>
  <si>
    <t>2002422</t>
  </si>
  <si>
    <t>垫江县江龙家具厂</t>
  </si>
  <si>
    <t>2002423</t>
  </si>
  <si>
    <t>赵中恒</t>
  </si>
  <si>
    <t>13996851192</t>
  </si>
  <si>
    <t>0197860</t>
  </si>
  <si>
    <t>垫江实木家具厂</t>
  </si>
  <si>
    <t>2002424</t>
  </si>
  <si>
    <t>垫江晓利家具厂</t>
  </si>
  <si>
    <t>2002425</t>
  </si>
  <si>
    <t>垫江县华创家具厂</t>
  </si>
  <si>
    <t>2002426</t>
  </si>
  <si>
    <t>垫江伟泰家具</t>
  </si>
  <si>
    <t>2002428</t>
  </si>
  <si>
    <t>钱安凤</t>
  </si>
  <si>
    <t>18696925198</t>
  </si>
  <si>
    <t>0197859</t>
  </si>
  <si>
    <t>2002429</t>
  </si>
  <si>
    <t>俊王中美瑞实木门厂</t>
  </si>
  <si>
    <t>2002430</t>
  </si>
  <si>
    <t>唐胜碧</t>
  </si>
  <si>
    <t>13708389778</t>
  </si>
  <si>
    <t>0185661</t>
  </si>
  <si>
    <t>重庆市豪安家具有限公司</t>
  </si>
  <si>
    <t>2002432</t>
  </si>
  <si>
    <t>重庆飞达货运</t>
  </si>
  <si>
    <t>张善元</t>
  </si>
  <si>
    <t>13212370503</t>
  </si>
  <si>
    <t>0007899</t>
  </si>
  <si>
    <t>重庆锦贤家具有限公司</t>
  </si>
  <si>
    <t>2002433</t>
  </si>
  <si>
    <t>黄小姐</t>
  </si>
  <si>
    <t>15178857087</t>
  </si>
  <si>
    <t>0185660</t>
  </si>
  <si>
    <t>开县庆林木业</t>
  </si>
  <si>
    <t>2002434</t>
  </si>
  <si>
    <t>唐武银</t>
  </si>
  <si>
    <t>18996580828</t>
  </si>
  <si>
    <t>0007894</t>
  </si>
  <si>
    <t>新生物质能开发有限公司</t>
  </si>
  <si>
    <t>2002435</t>
  </si>
  <si>
    <t>13896650366</t>
  </si>
  <si>
    <t>0185578</t>
  </si>
  <si>
    <t>2002437</t>
  </si>
  <si>
    <t>大渡口美格家具厂</t>
  </si>
  <si>
    <t>2002436</t>
  </si>
  <si>
    <t>账云富</t>
  </si>
  <si>
    <t>13032338995</t>
  </si>
  <si>
    <t>硅胶版面型防护面罩</t>
  </si>
  <si>
    <t>童国英（无名厂）</t>
  </si>
  <si>
    <t>2002438</t>
  </si>
  <si>
    <t>童国英</t>
  </si>
  <si>
    <t>13883500201</t>
  </si>
  <si>
    <t>发渝家具厂</t>
  </si>
  <si>
    <t>2002439</t>
  </si>
  <si>
    <t>曾祥富</t>
  </si>
  <si>
    <t>13708342301</t>
  </si>
  <si>
    <t>奉节县星马古典家具厂</t>
  </si>
  <si>
    <t>2002440</t>
  </si>
  <si>
    <t>刘中元</t>
  </si>
  <si>
    <t>18996512333</t>
  </si>
  <si>
    <t>重庆市金匠有限公司</t>
  </si>
  <si>
    <t>2002461</t>
  </si>
  <si>
    <t>唐老师</t>
  </si>
  <si>
    <t>13983680303</t>
  </si>
  <si>
    <t>小杨</t>
  </si>
  <si>
    <t>2002462</t>
  </si>
  <si>
    <t>杨老师</t>
  </si>
  <si>
    <t>15023775917</t>
  </si>
  <si>
    <t>希菲特家具厂</t>
  </si>
  <si>
    <t>2002463</t>
  </si>
  <si>
    <t>13452029319</t>
  </si>
  <si>
    <t>彭水任漆匠家具厂</t>
  </si>
  <si>
    <t>2002464</t>
  </si>
  <si>
    <t>任安华</t>
  </si>
  <si>
    <t>13996961388</t>
  </si>
  <si>
    <t>0019254</t>
  </si>
  <si>
    <t>顺江家具厂</t>
  </si>
  <si>
    <t>2002465</t>
  </si>
  <si>
    <t>黄永琼</t>
  </si>
  <si>
    <t>73740394</t>
  </si>
  <si>
    <t>2002466</t>
  </si>
  <si>
    <t>0186557</t>
  </si>
  <si>
    <t>0186558</t>
  </si>
  <si>
    <t>0186559</t>
  </si>
  <si>
    <t>巫山县松洋家私</t>
  </si>
  <si>
    <t>2002467</t>
  </si>
  <si>
    <t>陈德华</t>
  </si>
  <si>
    <t>13896213198</t>
  </si>
  <si>
    <t>0001292</t>
  </si>
  <si>
    <t>重庆跨越卓远机械制造有限公司</t>
  </si>
  <si>
    <t>2002468</t>
  </si>
  <si>
    <t>申爱华</t>
  </si>
  <si>
    <t>18696876523</t>
  </si>
  <si>
    <t>0003561</t>
  </si>
  <si>
    <t>月结</t>
  </si>
  <si>
    <t>酉阳县鹏程家具</t>
  </si>
  <si>
    <t>半面型防护面罩（中 / 大号）</t>
  </si>
  <si>
    <t>2002470</t>
  </si>
  <si>
    <t>何承前</t>
  </si>
  <si>
    <t>13996901646</t>
  </si>
  <si>
    <t>酉阳龙腾木业</t>
  </si>
  <si>
    <t>2002471</t>
  </si>
  <si>
    <t>龙再洲</t>
  </si>
  <si>
    <t>13648202519</t>
  </si>
  <si>
    <t>2002469</t>
  </si>
  <si>
    <t>13508353157</t>
  </si>
  <si>
    <t>月付</t>
  </si>
  <si>
    <t>重庆汉森木业有限公司</t>
  </si>
  <si>
    <t>2002473</t>
  </si>
  <si>
    <t>自贡市永顺化工建材有限公司</t>
  </si>
  <si>
    <t>2002474</t>
  </si>
  <si>
    <t>杨界红</t>
  </si>
  <si>
    <t>08132303168</t>
  </si>
  <si>
    <t>梁平县柚香家私有限公司</t>
  </si>
  <si>
    <t>2002475</t>
  </si>
  <si>
    <t>龚主管</t>
  </si>
  <si>
    <t>13996646425</t>
  </si>
  <si>
    <t>艺心门业</t>
  </si>
  <si>
    <t>2002476</t>
  </si>
  <si>
    <t>简德宽</t>
  </si>
  <si>
    <t>13983756859</t>
  </si>
  <si>
    <t>折叠式防尘口罩( 小号)</t>
  </si>
  <si>
    <t>9102CS</t>
  </si>
  <si>
    <t>2002477</t>
  </si>
  <si>
    <t>2002478</t>
  </si>
  <si>
    <t>谭中华</t>
  </si>
  <si>
    <t>13888800070</t>
  </si>
  <si>
    <t>D026730611</t>
  </si>
  <si>
    <t>医用防护口罩</t>
  </si>
  <si>
    <t>沙坪坝迪浪家具厂</t>
  </si>
  <si>
    <t>6102783</t>
  </si>
  <si>
    <t>13908399606</t>
  </si>
  <si>
    <t>个人</t>
  </si>
  <si>
    <t>2002479</t>
  </si>
  <si>
    <t>张克健</t>
  </si>
  <si>
    <t>13888190980</t>
  </si>
  <si>
    <t>7041950217</t>
  </si>
  <si>
    <t>2002481</t>
  </si>
  <si>
    <t>宋军</t>
  </si>
  <si>
    <t>13765018313</t>
  </si>
  <si>
    <t>83662390</t>
  </si>
  <si>
    <t>2002480</t>
  </si>
  <si>
    <t>林先生</t>
  </si>
  <si>
    <t>13512345636</t>
  </si>
  <si>
    <t>三色套装门有限公司</t>
  </si>
  <si>
    <t>2002482</t>
  </si>
  <si>
    <t>023-67529740</t>
  </si>
  <si>
    <t>01634386</t>
  </si>
  <si>
    <t>2002484</t>
  </si>
  <si>
    <t>型号</t>
  </si>
  <si>
    <t>出库</t>
  </si>
  <si>
    <t>样品</t>
  </si>
  <si>
    <t>入库</t>
  </si>
  <si>
    <t>报事贴</t>
  </si>
  <si>
    <t>包</t>
  </si>
  <si>
    <t>嘉烨</t>
  </si>
  <si>
    <t>擦拭布</t>
  </si>
  <si>
    <t>块</t>
  </si>
  <si>
    <t>创可贴</t>
  </si>
  <si>
    <t>盒</t>
  </si>
  <si>
    <t>毛巾</t>
  </si>
  <si>
    <t>对</t>
  </si>
  <si>
    <t>防护眼镜（防刮擦涂层），蓝色镜架</t>
  </si>
  <si>
    <t>挂安全帽式耳罩</t>
  </si>
  <si>
    <t>H7P3E</t>
  </si>
  <si>
    <t>H6B/V</t>
  </si>
  <si>
    <t>环保包装</t>
  </si>
  <si>
    <t>酸性气体防护口罩</t>
  </si>
  <si>
    <t>防护口罩 (中英文防伪包装）</t>
  </si>
  <si>
    <t>唐浩然（网络销售）</t>
  </si>
  <si>
    <t>颗粒物防护口罩</t>
  </si>
  <si>
    <t>9041A</t>
  </si>
  <si>
    <t>有机气体防护口罩( 中文包装）</t>
  </si>
  <si>
    <t>有机蒸气异味及颗粒物防护口罩</t>
  </si>
  <si>
    <t>9913A</t>
  </si>
  <si>
    <t>高降噪子弹型耳塞</t>
  </si>
  <si>
    <t>391-1004</t>
  </si>
  <si>
    <t>瓶</t>
  </si>
  <si>
    <t>赠品</t>
  </si>
  <si>
    <t>颗粒物呼吸防护套</t>
  </si>
  <si>
    <t>320P</t>
  </si>
  <si>
    <t>3M</t>
  </si>
  <si>
    <t>320D</t>
  </si>
  <si>
    <t>340-4004</t>
  </si>
  <si>
    <t>免搓揉泡棉带线耳塞</t>
  </si>
  <si>
    <t>白色带帽连体防护服 XL</t>
  </si>
  <si>
    <t>样品</t>
    <phoneticPr fontId="22" type="noConversion"/>
  </si>
  <si>
    <t>个</t>
    <phoneticPr fontId="22" type="noConversion"/>
  </si>
  <si>
    <t>璧山县终端</t>
  </si>
  <si>
    <t>3003K-100</t>
  </si>
  <si>
    <t>XOUT003040</t>
    <phoneticPr fontId="22" type="noConversion"/>
  </si>
  <si>
    <t>农行对私</t>
    <phoneticPr fontId="22" type="noConversion"/>
  </si>
  <si>
    <t>片</t>
    <phoneticPr fontId="22" type="noConversion"/>
  </si>
  <si>
    <t>付</t>
    <phoneticPr fontId="22" type="noConversion"/>
  </si>
  <si>
    <t>1711AF</t>
    <phoneticPr fontId="22" type="noConversion"/>
  </si>
  <si>
    <t>高降噪子弹型带线耳塞</t>
  </si>
  <si>
    <t>XOUT134838</t>
    <phoneticPr fontId="22" type="noConversion"/>
  </si>
  <si>
    <t>绿色带帽连体防护服 XL</t>
  </si>
  <si>
    <t>0005593</t>
    <phoneticPr fontId="22" type="noConversion"/>
  </si>
  <si>
    <t>件</t>
    <phoneticPr fontId="22" type="noConversion"/>
  </si>
  <si>
    <t>中行对公</t>
    <phoneticPr fontId="22" type="noConversion"/>
  </si>
  <si>
    <t>现金</t>
    <phoneticPr fontId="22" type="noConversion"/>
  </si>
  <si>
    <t>重庆嘉烨商贸有限公司</t>
    <phoneticPr fontId="22" type="noConversion"/>
  </si>
  <si>
    <t>有机蒸气异味及颗粒物防护口罩( 头带式)</t>
  </si>
  <si>
    <t>9002V</t>
  </si>
  <si>
    <t>折叠式带阀防护口罩( 头带式/ 标准号）</t>
  </si>
  <si>
    <t>入库</t>
    <phoneticPr fontId="22" type="noConversion"/>
  </si>
  <si>
    <t>眼镜</t>
    <phoneticPr fontId="22" type="noConversion"/>
  </si>
  <si>
    <t>/</t>
    <phoneticPr fontId="22" type="noConversion"/>
  </si>
  <si>
    <r>
      <t>XOUT134</t>
    </r>
    <r>
      <rPr>
        <sz val="10"/>
        <color indexed="8"/>
        <rFont val="宋体"/>
        <family val="3"/>
        <charset val="134"/>
      </rPr>
      <t>964</t>
    </r>
    <phoneticPr fontId="22" type="noConversion"/>
  </si>
  <si>
    <t>0005598</t>
    <phoneticPr fontId="22" type="noConversion"/>
  </si>
  <si>
    <t>XOUT135067</t>
    <phoneticPr fontId="22" type="noConversion"/>
  </si>
  <si>
    <t>02348050</t>
    <phoneticPr fontId="22" type="noConversion"/>
  </si>
  <si>
    <t>XOUT135166</t>
    <phoneticPr fontId="22" type="noConversion"/>
  </si>
  <si>
    <t>弥勒县鑫和工贸有限公司</t>
  </si>
  <si>
    <t>13529827766</t>
  </si>
  <si>
    <t>不开票</t>
    <phoneticPr fontId="22" type="noConversion"/>
  </si>
  <si>
    <t>绿色带帽连体防护服 L</t>
  </si>
  <si>
    <t>0003854</t>
    <phoneticPr fontId="22" type="noConversion"/>
  </si>
  <si>
    <t>18208753585</t>
  </si>
  <si>
    <t>XOUT135490</t>
    <phoneticPr fontId="22" type="noConversion"/>
  </si>
  <si>
    <t>02473854</t>
    <phoneticPr fontId="22" type="noConversion"/>
  </si>
  <si>
    <t>01880772</t>
  </si>
  <si>
    <t>01463690</t>
  </si>
  <si>
    <t>折叠式防尘口罩( 标准号)</t>
  </si>
  <si>
    <t>9002V</t>
    <phoneticPr fontId="22" type="noConversion"/>
  </si>
  <si>
    <t>重庆三恩科技发展有限公司</t>
  </si>
  <si>
    <t>0005510</t>
    <phoneticPr fontId="22" type="noConversion"/>
  </si>
  <si>
    <t>SA201206210103</t>
    <phoneticPr fontId="22" type="noConversion"/>
  </si>
  <si>
    <t>顺丰到付</t>
    <phoneticPr fontId="22" type="noConversion"/>
  </si>
  <si>
    <t>李宏</t>
  </si>
  <si>
    <t>13987686282</t>
  </si>
  <si>
    <t>陈成就</t>
  </si>
  <si>
    <t>经济型焊接用防尘口罩</t>
  </si>
  <si>
    <t>XOUT135848</t>
    <phoneticPr fontId="22" type="noConversion"/>
  </si>
  <si>
    <t>口罩</t>
    <phoneticPr fontId="22" type="noConversion"/>
  </si>
  <si>
    <t>15925191133</t>
  </si>
  <si>
    <t>云南省昆明市五华区学府路8号1栋2单元302</t>
  </si>
  <si>
    <t>个</t>
    <phoneticPr fontId="22" type="noConversion"/>
  </si>
  <si>
    <t>出库</t>
    <phoneticPr fontId="22" type="noConversion"/>
  </si>
  <si>
    <t>个</t>
    <phoneticPr fontId="22" type="noConversion"/>
  </si>
  <si>
    <t>样品</t>
    <phoneticPr fontId="22" type="noConversion"/>
  </si>
  <si>
    <t>耳罩</t>
    <phoneticPr fontId="22" type="noConversion"/>
  </si>
  <si>
    <t>件</t>
    <phoneticPr fontId="22" type="noConversion"/>
  </si>
  <si>
    <t>出库</t>
    <phoneticPr fontId="22" type="noConversion"/>
  </si>
  <si>
    <t>防护眼镜（防雾）</t>
    <phoneticPr fontId="22" type="noConversion"/>
  </si>
  <si>
    <t>个</t>
    <phoneticPr fontId="22" type="noConversion"/>
  </si>
  <si>
    <t>个</t>
    <phoneticPr fontId="22" type="noConversion"/>
  </si>
  <si>
    <t>防护眼镜（防雾）</t>
    <phoneticPr fontId="22" type="noConversion"/>
  </si>
  <si>
    <t>H6A/V</t>
    <phoneticPr fontId="22" type="noConversion"/>
  </si>
  <si>
    <t>耳罩</t>
    <phoneticPr fontId="22" type="noConversion"/>
  </si>
  <si>
    <t>双片包装</t>
    <phoneticPr fontId="22" type="noConversion"/>
  </si>
  <si>
    <t>入库</t>
    <phoneticPr fontId="22" type="noConversion"/>
  </si>
  <si>
    <t>环保包装</t>
    <phoneticPr fontId="22" type="noConversion"/>
  </si>
  <si>
    <t>个</t>
    <phoneticPr fontId="22" type="noConversion"/>
  </si>
  <si>
    <t>张</t>
    <phoneticPr fontId="22" type="noConversion"/>
  </si>
  <si>
    <t>张</t>
    <phoneticPr fontId="22" type="noConversion"/>
  </si>
  <si>
    <t>付</t>
    <phoneticPr fontId="22" type="noConversion"/>
  </si>
  <si>
    <t>套</t>
    <phoneticPr fontId="22" type="noConversion"/>
  </si>
  <si>
    <t>3M</t>
    <phoneticPr fontId="22" type="noConversion"/>
  </si>
  <si>
    <t>样品</t>
    <phoneticPr fontId="22" type="noConversion"/>
  </si>
  <si>
    <t>唐浩然（网络销售）</t>
    <phoneticPr fontId="22" type="noConversion"/>
  </si>
  <si>
    <t>唐浩然（网络销售）</t>
    <phoneticPr fontId="22" type="noConversion"/>
  </si>
  <si>
    <t>滤毒盒</t>
    <phoneticPr fontId="22" type="noConversion"/>
  </si>
  <si>
    <t>3001CN</t>
    <phoneticPr fontId="22" type="noConversion"/>
  </si>
  <si>
    <t>防护眼镜（防雾）</t>
    <phoneticPr fontId="22" type="noConversion"/>
  </si>
  <si>
    <t>入库</t>
    <phoneticPr fontId="22" type="noConversion"/>
  </si>
  <si>
    <t>9102C</t>
    <phoneticPr fontId="22" type="noConversion"/>
  </si>
  <si>
    <t>张</t>
    <phoneticPr fontId="22" type="noConversion"/>
  </si>
  <si>
    <t>折叠式带阀防护口罩( 头带式/ 标准号）</t>
    <phoneticPr fontId="22" type="noConversion"/>
  </si>
  <si>
    <t>入库</t>
    <phoneticPr fontId="22" type="noConversion"/>
  </si>
  <si>
    <t>样品</t>
    <phoneticPr fontId="22" type="noConversion"/>
  </si>
  <si>
    <t>311-1250</t>
    <phoneticPr fontId="22" type="noConversion"/>
  </si>
  <si>
    <t>嘉烨</t>
    <phoneticPr fontId="22" type="noConversion"/>
  </si>
  <si>
    <r>
      <t>XOUT</t>
    </r>
    <r>
      <rPr>
        <sz val="10"/>
        <color indexed="8"/>
        <rFont val="宋体"/>
        <family val="3"/>
        <charset val="134"/>
      </rPr>
      <t>003241</t>
    </r>
    <phoneticPr fontId="22" type="noConversion"/>
  </si>
  <si>
    <t>0003872</t>
    <phoneticPr fontId="22" type="noConversion"/>
  </si>
  <si>
    <t>重庆渝北回兴街道双湖路133号</t>
  </si>
  <si>
    <t>3N11CN</t>
    <phoneticPr fontId="22" type="noConversion"/>
  </si>
  <si>
    <t>铜梁凯歌家具厂</t>
    <phoneticPr fontId="22" type="noConversion"/>
  </si>
  <si>
    <t>1621AF</t>
    <phoneticPr fontId="22" type="noConversion"/>
  </si>
  <si>
    <t>0005536</t>
    <phoneticPr fontId="22" type="noConversion"/>
  </si>
  <si>
    <t>安全帽</t>
    <phoneticPr fontId="22" type="noConversion"/>
  </si>
  <si>
    <t>9042A</t>
    <phoneticPr fontId="22" type="noConversion"/>
  </si>
  <si>
    <t>9002A</t>
    <phoneticPr fontId="22" type="noConversion"/>
  </si>
  <si>
    <t>6002CN</t>
    <phoneticPr fontId="22" type="noConversion"/>
  </si>
  <si>
    <t>SA201207060091</t>
    <phoneticPr fontId="22" type="noConversion"/>
  </si>
  <si>
    <t>贵阳开会</t>
    <phoneticPr fontId="22" type="noConversion"/>
  </si>
  <si>
    <t>15025311880</t>
  </si>
  <si>
    <t>13500396330</t>
  </si>
  <si>
    <t>白市驿净龙村七社</t>
  </si>
  <si>
    <t>XOUT137200</t>
    <phoneticPr fontId="22" type="noConversion"/>
  </si>
  <si>
    <t>防毒套装</t>
    <phoneticPr fontId="22" type="noConversion"/>
  </si>
  <si>
    <t>百洁布</t>
    <phoneticPr fontId="22" type="noConversion"/>
  </si>
  <si>
    <t>白色带帽红色胶条连体防护服 M</t>
  </si>
  <si>
    <r>
      <t>XOUT137</t>
    </r>
    <r>
      <rPr>
        <sz val="10"/>
        <color indexed="8"/>
        <rFont val="宋体"/>
        <family val="3"/>
        <charset val="134"/>
      </rPr>
      <t>371</t>
    </r>
    <phoneticPr fontId="22" type="noConversion"/>
  </si>
  <si>
    <t>焊接防护眼罩（IR5.0，防刮擦涂层）</t>
  </si>
  <si>
    <t>0003917</t>
    <phoneticPr fontId="22" type="noConversion"/>
  </si>
  <si>
    <t>快递</t>
    <phoneticPr fontId="22" type="noConversion"/>
  </si>
  <si>
    <t>渝中区八一路13号16-9#</t>
  </si>
  <si>
    <t>昆明市吴井路304 号附15-17 号</t>
  </si>
  <si>
    <t>重庆万州王牌路924号国腾实业集团</t>
  </si>
  <si>
    <t>云南省红河州弥勒县红河卷烟厂404-112</t>
  </si>
  <si>
    <t>昆明市环城南路668号云纺国际商厦4F-65</t>
  </si>
  <si>
    <t>沙区石小路157号附1-3-2号</t>
  </si>
  <si>
    <t>重庆市大渡口区香港城1幢17-16号</t>
  </si>
  <si>
    <t>重庆市北碚区蔡家岗镇盈田.蔡家工谷6-2</t>
  </si>
  <si>
    <t>SA201206260105</t>
    <phoneticPr fontId="22" type="noConversion"/>
  </si>
  <si>
    <t>重庆市彭水县郁山镇龙井居委渝东矿业开发有限公司</t>
  </si>
  <si>
    <t>防护口罩 (灰色，头带式）</t>
  </si>
  <si>
    <t>0005554</t>
    <phoneticPr fontId="22" type="noConversion"/>
  </si>
  <si>
    <t>023149165777</t>
  </si>
  <si>
    <t>橙色带帽连体防护服 M</t>
  </si>
  <si>
    <t>橙色带帽连体防护服 L</t>
  </si>
  <si>
    <t>防护口罩 (带呼气阀）</t>
  </si>
  <si>
    <t>开会</t>
    <phoneticPr fontId="22" type="noConversion"/>
  </si>
  <si>
    <t>和宏家具厂</t>
  </si>
  <si>
    <t>02348173</t>
  </si>
  <si>
    <t>0004475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</si>
  <si>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006549</t>
    </r>
    <phoneticPr fontId="22" type="noConversion"/>
  </si>
  <si>
    <t>0004479</t>
    <phoneticPr fontId="22" type="noConversion"/>
  </si>
  <si>
    <t>CB-D-7.2-09</t>
    <phoneticPr fontId="22" type="noConversion"/>
  </si>
  <si>
    <t>焊接用防尘口罩</t>
  </si>
  <si>
    <t>0004488</t>
    <phoneticPr fontId="22" type="noConversion"/>
  </si>
  <si>
    <t>贵州久煜物资有限公司</t>
  </si>
  <si>
    <r>
      <t>XOUT138</t>
    </r>
    <r>
      <rPr>
        <sz val="10"/>
        <color indexed="8"/>
        <rFont val="宋体"/>
        <family val="3"/>
        <charset val="134"/>
      </rPr>
      <t>742</t>
    </r>
    <phoneticPr fontId="22" type="noConversion"/>
  </si>
  <si>
    <t>3701CN</t>
    <phoneticPr fontId="22" type="noConversion"/>
  </si>
  <si>
    <t>CB-D-7.5-26</t>
    <phoneticPr fontId="22" type="noConversion"/>
  </si>
  <si>
    <r>
      <t>0</t>
    </r>
    <r>
      <rPr>
        <sz val="10"/>
        <color indexed="8"/>
        <rFont val="宋体"/>
        <family val="3"/>
        <charset val="134"/>
      </rPr>
      <t>2426633</t>
    </r>
    <phoneticPr fontId="22" type="noConversion"/>
  </si>
  <si>
    <t>0000152859</t>
    <phoneticPr fontId="22" type="noConversion"/>
  </si>
  <si>
    <t>有机蒸气异味及颗粒物滤棉</t>
  </si>
  <si>
    <t>XOUT138824</t>
    <phoneticPr fontId="22" type="noConversion"/>
  </si>
  <si>
    <t>双</t>
    <phoneticPr fontId="22" type="noConversion"/>
  </si>
  <si>
    <t>四川川环科技股份有限公司</t>
  </si>
  <si>
    <t>ansell-48-125</t>
    <phoneticPr fontId="22" type="noConversion"/>
  </si>
  <si>
    <t>手套-白色</t>
    <phoneticPr fontId="22" type="noConversion"/>
  </si>
  <si>
    <t>手套-蓝色</t>
    <phoneticPr fontId="22" type="noConversion"/>
  </si>
  <si>
    <t>无品牌标示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</si>
  <si>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</si>
  <si>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套装耳塞</t>
    <phoneticPr fontId="22" type="noConversion"/>
  </si>
  <si>
    <t>大足县东柳工业园区</t>
  </si>
  <si>
    <r>
      <t>0</t>
    </r>
    <r>
      <rPr>
        <sz val="10"/>
        <color indexed="8"/>
        <rFont val="宋体"/>
        <family val="3"/>
        <charset val="134"/>
      </rPr>
      <t>2426639</t>
    </r>
    <phoneticPr fontId="22" type="noConversion"/>
  </si>
  <si>
    <t>02962122</t>
  </si>
  <si>
    <t>0005623</t>
    <phoneticPr fontId="22" type="noConversion"/>
  </si>
  <si>
    <t>XOUT139115</t>
    <phoneticPr fontId="22" type="noConversion"/>
  </si>
  <si>
    <t>焊接防护眼罩</t>
  </si>
  <si>
    <t>攀枝花市百川机电有限责任公司</t>
  </si>
  <si>
    <t>防尘护目镜</t>
  </si>
  <si>
    <t>6003CN</t>
  </si>
  <si>
    <t>有机及酸性气体滤毒盒</t>
  </si>
  <si>
    <t>0005638</t>
    <phoneticPr fontId="22" type="noConversion"/>
  </si>
  <si>
    <t>XOUT003843</t>
    <phoneticPr fontId="22" type="noConversion"/>
  </si>
  <si>
    <t>02355609</t>
  </si>
  <si>
    <t>0003947</t>
    <phoneticPr fontId="22" type="noConversion"/>
  </si>
  <si>
    <t>1791T</t>
    <phoneticPr fontId="22" type="noConversion"/>
  </si>
  <si>
    <t>时尚型防护眼镜</t>
  </si>
  <si>
    <t>0005717</t>
    <phoneticPr fontId="22" type="noConversion"/>
  </si>
  <si>
    <t>0003203</t>
    <phoneticPr fontId="22" type="noConversion"/>
  </si>
  <si>
    <t>重庆商祺商贸有限公司</t>
  </si>
  <si>
    <t>颗粒物防尘口罩-蓝色</t>
  </si>
  <si>
    <t>37-175</t>
    <phoneticPr fontId="22" type="noConversion"/>
  </si>
  <si>
    <t>0017146</t>
    <phoneticPr fontId="22" type="noConversion"/>
  </si>
  <si>
    <t>37-176</t>
    <phoneticPr fontId="22" type="noConversion"/>
  </si>
  <si>
    <t>0005734</t>
    <phoneticPr fontId="22" type="noConversion"/>
  </si>
  <si>
    <t>杜邦</t>
  </si>
  <si>
    <t>tychem-c</t>
    <phoneticPr fontId="22" type="noConversion"/>
  </si>
  <si>
    <t>杜邦</t>
    <phoneticPr fontId="22" type="noConversion"/>
  </si>
  <si>
    <t>0005736</t>
    <phoneticPr fontId="22" type="noConversion"/>
  </si>
  <si>
    <t>个</t>
    <phoneticPr fontId="22" type="noConversion"/>
  </si>
  <si>
    <t>XOUT143294</t>
    <phoneticPr fontId="22" type="noConversion"/>
  </si>
  <si>
    <t>15084321018</t>
  </si>
  <si>
    <t>个</t>
    <phoneticPr fontId="22" type="noConversion"/>
  </si>
  <si>
    <t>3744K</t>
    <phoneticPr fontId="22" type="noConversion"/>
  </si>
  <si>
    <t>/</t>
    <phoneticPr fontId="22" type="noConversion"/>
  </si>
  <si>
    <t>个</t>
    <phoneticPr fontId="22" type="noConversion"/>
  </si>
  <si>
    <t>/</t>
    <phoneticPr fontId="22" type="noConversion"/>
  </si>
  <si>
    <t>03472742</t>
    <phoneticPr fontId="22" type="noConversion"/>
  </si>
  <si>
    <t>37-176</t>
    <phoneticPr fontId="22" type="noConversion"/>
  </si>
  <si>
    <t>0004047</t>
    <phoneticPr fontId="22" type="noConversion"/>
  </si>
  <si>
    <t>中铁二院工程集团彭水渝东矿业开发有限公司</t>
  </si>
  <si>
    <t>不开票</t>
    <phoneticPr fontId="22" type="noConversion"/>
  </si>
  <si>
    <t>中行对公</t>
    <phoneticPr fontId="22" type="noConversion"/>
  </si>
  <si>
    <t>1621AF</t>
    <phoneticPr fontId="22" type="noConversion"/>
  </si>
  <si>
    <t>付</t>
    <phoneticPr fontId="22" type="noConversion"/>
  </si>
  <si>
    <t>0003212</t>
    <phoneticPr fontId="22" type="noConversion"/>
  </si>
  <si>
    <t>0027804</t>
    <phoneticPr fontId="22" type="noConversion"/>
  </si>
  <si>
    <t>个</t>
    <phoneticPr fontId="22" type="noConversion"/>
  </si>
  <si>
    <t>CB-D-7.5-26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</si>
  <si>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11-1250</t>
    </r>
    <phoneticPr fontId="53" type="noConversion"/>
  </si>
  <si>
    <r>
      <t>1</t>
    </r>
    <r>
      <rPr>
        <sz val="9"/>
        <color indexed="8"/>
        <rFont val="宋体"/>
        <family val="3"/>
        <charset val="134"/>
      </rPr>
      <t>623AF</t>
    </r>
    <phoneticPr fontId="53" type="noConversion"/>
  </si>
  <si>
    <r>
      <t>3</t>
    </r>
    <r>
      <rPr>
        <sz val="9"/>
        <color indexed="8"/>
        <rFont val="宋体"/>
        <family val="3"/>
        <charset val="134"/>
      </rPr>
      <t>20P</t>
    </r>
    <phoneticPr fontId="53" type="noConversion"/>
  </si>
  <si>
    <t>盒</t>
    <phoneticPr fontId="53" type="noConversion"/>
  </si>
  <si>
    <r>
      <t>3</t>
    </r>
    <r>
      <rPr>
        <sz val="9"/>
        <color indexed="8"/>
        <rFont val="宋体"/>
        <family val="3"/>
        <charset val="134"/>
      </rPr>
      <t>20D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</si>
  <si>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002A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</si>
  <si>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042A</t>
    </r>
    <phoneticPr fontId="53" type="noConversion"/>
  </si>
  <si>
    <r>
      <t>9</t>
    </r>
    <r>
      <rPr>
        <sz val="9"/>
        <color indexed="8"/>
        <rFont val="宋体"/>
        <family val="3"/>
        <charset val="134"/>
      </rPr>
      <t>002V</t>
    </r>
    <phoneticPr fontId="53" type="noConversion"/>
  </si>
  <si>
    <r>
      <t>4</t>
    </r>
    <r>
      <rPr>
        <sz val="9"/>
        <color indexed="8"/>
        <rFont val="宋体"/>
        <family val="3"/>
        <charset val="134"/>
      </rPr>
      <t>620 L</t>
    </r>
    <phoneticPr fontId="53" type="noConversion"/>
  </si>
  <si>
    <t>个</t>
    <phoneticPr fontId="22" type="noConversion"/>
  </si>
  <si>
    <t>/</t>
    <phoneticPr fontId="22" type="noConversion"/>
  </si>
  <si>
    <t>组</t>
    <phoneticPr fontId="22" type="noConversion"/>
  </si>
  <si>
    <t>成都万方机电有限公司</t>
  </si>
  <si>
    <t>52000183617</t>
    <phoneticPr fontId="22" type="noConversion"/>
  </si>
  <si>
    <t>03568333</t>
    <phoneticPr fontId="22" type="noConversion"/>
  </si>
  <si>
    <t>385CN</t>
    <phoneticPr fontId="22" type="noConversion"/>
  </si>
  <si>
    <t>03472764</t>
    <phoneticPr fontId="22" type="noConversion"/>
  </si>
  <si>
    <t>防护口罩舒适型</t>
    <phoneticPr fontId="53" type="noConversion"/>
  </si>
  <si>
    <t>样品</t>
    <phoneticPr fontId="53" type="noConversion"/>
  </si>
  <si>
    <t>尘毒呼吸防护套装经济型</t>
    <phoneticPr fontId="53" type="noConversion"/>
  </si>
  <si>
    <t>颗粒物呼吸防护套装经济型</t>
    <phoneticPr fontId="53" type="noConversion"/>
  </si>
  <si>
    <t>防护口罩舒适版</t>
    <phoneticPr fontId="53" type="noConversion"/>
  </si>
  <si>
    <t>白色带帽连体防护服</t>
    <phoneticPr fontId="53" type="noConversion"/>
  </si>
  <si>
    <t>防护眼镜（防刮擦涂层）</t>
    <phoneticPr fontId="53" type="noConversion"/>
  </si>
  <si>
    <t>件</t>
    <phoneticPr fontId="53" type="noConversion"/>
  </si>
  <si>
    <t>个</t>
    <phoneticPr fontId="22" type="noConversion"/>
  </si>
  <si>
    <t>付</t>
    <phoneticPr fontId="22" type="noConversion"/>
  </si>
  <si>
    <t>9042A</t>
    <phoneticPr fontId="22" type="noConversion"/>
  </si>
  <si>
    <t>1621AF</t>
    <phoneticPr fontId="22" type="noConversion"/>
  </si>
  <si>
    <t>0005620</t>
    <phoneticPr fontId="22" type="noConversion"/>
  </si>
  <si>
    <t>0005082</t>
    <phoneticPr fontId="22" type="noConversion"/>
  </si>
  <si>
    <t>00479850</t>
    <phoneticPr fontId="60" type="noConversion"/>
  </si>
  <si>
    <t>0005084</t>
    <phoneticPr fontId="22" type="noConversion"/>
  </si>
  <si>
    <t>经济型轻便防护眼镜</t>
  </si>
  <si>
    <t>个</t>
    <phoneticPr fontId="22" type="noConversion"/>
  </si>
  <si>
    <t>0027806</t>
    <phoneticPr fontId="22" type="noConversion"/>
  </si>
  <si>
    <t>个</t>
    <phoneticPr fontId="22" type="noConversion"/>
  </si>
  <si>
    <t>片</t>
    <phoneticPr fontId="22" type="noConversion"/>
  </si>
  <si>
    <t>3701CN</t>
    <phoneticPr fontId="22" type="noConversion"/>
  </si>
  <si>
    <t>0005088</t>
    <phoneticPr fontId="22" type="noConversion"/>
  </si>
  <si>
    <t>个</t>
    <phoneticPr fontId="22" type="noConversion"/>
  </si>
  <si>
    <t>6001CN</t>
    <phoneticPr fontId="22" type="noConversion"/>
  </si>
  <si>
    <t>0027810</t>
    <phoneticPr fontId="22" type="noConversion"/>
  </si>
  <si>
    <t>3301CN</t>
    <phoneticPr fontId="22" type="noConversion"/>
  </si>
  <si>
    <t>3N11CN</t>
    <phoneticPr fontId="22" type="noConversion"/>
  </si>
  <si>
    <t>3301CN</t>
    <phoneticPr fontId="22" type="noConversion"/>
  </si>
  <si>
    <t>个</t>
    <phoneticPr fontId="22" type="noConversion"/>
  </si>
  <si>
    <t>0005044</t>
    <phoneticPr fontId="22" type="noConversion"/>
  </si>
  <si>
    <t>delte plus</t>
    <phoneticPr fontId="22" type="noConversion"/>
  </si>
  <si>
    <t>0005051</t>
    <phoneticPr fontId="22" type="noConversion"/>
  </si>
  <si>
    <t>个</t>
    <phoneticPr fontId="22" type="noConversion"/>
  </si>
  <si>
    <t>XSD-2012-09-26-00199</t>
    <phoneticPr fontId="22" type="noConversion"/>
  </si>
  <si>
    <t>农行对私</t>
    <phoneticPr fontId="22" type="noConversion"/>
  </si>
  <si>
    <t>0005093</t>
    <phoneticPr fontId="22" type="noConversion"/>
  </si>
  <si>
    <t>CB-D-7.5-26</t>
    <phoneticPr fontId="22" type="noConversion"/>
  </si>
  <si>
    <t>03472812</t>
    <phoneticPr fontId="22" type="noConversion"/>
  </si>
  <si>
    <t>03472813</t>
    <phoneticPr fontId="22" type="noConversion"/>
  </si>
  <si>
    <t>中行对公</t>
    <phoneticPr fontId="22" type="noConversion"/>
  </si>
  <si>
    <t>0005059</t>
    <phoneticPr fontId="22" type="noConversion"/>
  </si>
  <si>
    <t>0003409</t>
    <phoneticPr fontId="22" type="noConversion"/>
  </si>
  <si>
    <t>中行对公</t>
    <phoneticPr fontId="22" type="noConversion"/>
  </si>
  <si>
    <t>01571703</t>
    <phoneticPr fontId="22" type="noConversion"/>
  </si>
  <si>
    <t>07633851</t>
    <phoneticPr fontId="22" type="noConversion"/>
  </si>
  <si>
    <t>0004069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</si>
  <si>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623AF</t>
    </r>
    <phoneticPr fontId="22" type="noConversion"/>
  </si>
  <si>
    <t>付</t>
    <phoneticPr fontId="22" type="noConversion"/>
  </si>
  <si>
    <t>出库</t>
    <phoneticPr fontId="22" type="noConversion"/>
  </si>
  <si>
    <t>样品</t>
    <phoneticPr fontId="22" type="noConversion"/>
  </si>
  <si>
    <t>亚洲款舒适型防化学护目镜（透明镜片，防雾涂层 )</t>
    <phoneticPr fontId="22" type="noConversion"/>
  </si>
  <si>
    <t>重庆北部新区消防支队消防装备器材采购</t>
  </si>
  <si>
    <t>0004073</t>
    <phoneticPr fontId="22" type="noConversion"/>
  </si>
  <si>
    <t>付</t>
    <phoneticPr fontId="22" type="noConversion"/>
  </si>
  <si>
    <t>重庆诚济医疗器械有限公司</t>
  </si>
  <si>
    <t>中行对公</t>
    <phoneticPr fontId="22" type="noConversion"/>
  </si>
  <si>
    <t>023-62837132</t>
  </si>
  <si>
    <t>重庆市南岸区金山支路21号附4号</t>
  </si>
  <si>
    <t>/</t>
    <phoneticPr fontId="22" type="noConversion"/>
  </si>
  <si>
    <t>不开票</t>
    <phoneticPr fontId="22" type="noConversion"/>
  </si>
  <si>
    <t>出库</t>
    <phoneticPr fontId="22" type="noConversion"/>
  </si>
  <si>
    <t>自贡市正信物资有限公司</t>
  </si>
  <si>
    <t>0004078</t>
    <phoneticPr fontId="22" type="noConversion"/>
  </si>
  <si>
    <t>03472836</t>
    <phoneticPr fontId="22" type="noConversion"/>
  </si>
  <si>
    <t>发票金额</t>
    <phoneticPr fontId="22" type="noConversion"/>
  </si>
  <si>
    <t>0004082</t>
    <phoneticPr fontId="22" type="noConversion"/>
  </si>
  <si>
    <t>农行对私</t>
    <phoneticPr fontId="22" type="noConversion"/>
  </si>
  <si>
    <t>永安</t>
    <phoneticPr fontId="22" type="noConversion"/>
  </si>
  <si>
    <t>0020344</t>
    <phoneticPr fontId="22" type="noConversion"/>
  </si>
  <si>
    <t>现金</t>
    <phoneticPr fontId="22" type="noConversion"/>
  </si>
  <si>
    <t>重庆宇立金属化工有限公司</t>
  </si>
  <si>
    <t>型号</t>
    <phoneticPr fontId="22" type="noConversion"/>
  </si>
  <si>
    <t>重庆宇立金属化工有限公司</t>
    <phoneticPr fontId="22" type="noConversion"/>
  </si>
  <si>
    <t>0004087</t>
    <phoneticPr fontId="22" type="noConversion"/>
  </si>
  <si>
    <t>S0201210100056</t>
    <phoneticPr fontId="22" type="noConversion"/>
  </si>
  <si>
    <t>重庆远东门窗有限公司</t>
  </si>
  <si>
    <t>中行对公</t>
    <phoneticPr fontId="22" type="noConversion"/>
  </si>
  <si>
    <t>0004098</t>
    <phoneticPr fontId="22" type="noConversion"/>
  </si>
  <si>
    <t>0004099</t>
  </si>
  <si>
    <t>0005426</t>
    <phoneticPr fontId="22" type="noConversion"/>
  </si>
  <si>
    <t>隔热焊工手套</t>
  </si>
  <si>
    <t>52000183617</t>
    <phoneticPr fontId="22" type="noConversion"/>
  </si>
  <si>
    <t>全面型防护面罩</t>
  </si>
  <si>
    <t>V型安全帽</t>
  </si>
  <si>
    <t>防护眼镜</t>
    <phoneticPr fontId="22" type="noConversion"/>
  </si>
  <si>
    <t>重庆川田门厂有限责任公司</t>
  </si>
  <si>
    <t>391-1000</t>
    <phoneticPr fontId="22" type="noConversion"/>
  </si>
  <si>
    <t>/</t>
    <phoneticPr fontId="22" type="noConversion"/>
  </si>
  <si>
    <t>S0201210100064</t>
    <phoneticPr fontId="22" type="noConversion"/>
  </si>
  <si>
    <t>中行对公</t>
    <phoneticPr fontId="22" type="noConversion"/>
  </si>
  <si>
    <t>付</t>
    <phoneticPr fontId="22" type="noConversion"/>
  </si>
  <si>
    <t>中行对公</t>
    <phoneticPr fontId="22" type="noConversion"/>
  </si>
  <si>
    <t>391-1001</t>
    <phoneticPr fontId="22" type="noConversion"/>
  </si>
  <si>
    <t>/</t>
    <phoneticPr fontId="22" type="noConversion"/>
  </si>
  <si>
    <t>个</t>
    <phoneticPr fontId="22" type="noConversion"/>
  </si>
  <si>
    <t>0005445</t>
    <phoneticPr fontId="22" type="noConversion"/>
  </si>
  <si>
    <t>5N11</t>
    <phoneticPr fontId="22" type="noConversion"/>
  </si>
  <si>
    <t>/</t>
    <phoneticPr fontId="22" type="noConversion"/>
  </si>
  <si>
    <t>0027820</t>
    <phoneticPr fontId="22" type="noConversion"/>
  </si>
  <si>
    <t>01427459</t>
    <phoneticPr fontId="22" type="noConversion"/>
  </si>
  <si>
    <t>6001CN</t>
    <phoneticPr fontId="22" type="noConversion"/>
  </si>
  <si>
    <t>5N11</t>
    <phoneticPr fontId="60" type="noConversion"/>
  </si>
  <si>
    <t>6001CN</t>
    <phoneticPr fontId="60" type="noConversion"/>
  </si>
  <si>
    <t>3M</t>
    <phoneticPr fontId="22" type="noConversion"/>
  </si>
  <si>
    <t>付</t>
    <phoneticPr fontId="22" type="noConversion"/>
  </si>
  <si>
    <t>0003283</t>
    <phoneticPr fontId="22" type="noConversion"/>
  </si>
  <si>
    <t>不开票</t>
    <phoneticPr fontId="22" type="noConversion"/>
  </si>
  <si>
    <t>385CN</t>
    <phoneticPr fontId="22" type="noConversion"/>
  </si>
  <si>
    <t>个</t>
    <phoneticPr fontId="22" type="noConversion"/>
  </si>
  <si>
    <t>0005435</t>
    <phoneticPr fontId="22" type="noConversion"/>
  </si>
  <si>
    <t>00203318</t>
    <phoneticPr fontId="22" type="noConversion"/>
  </si>
  <si>
    <t>重庆紫泉包装有限公司</t>
  </si>
  <si>
    <t>西斯贝尔</t>
    <phoneticPr fontId="22" type="noConversion"/>
  </si>
  <si>
    <t>WG6001</t>
    <phoneticPr fontId="22" type="noConversion"/>
  </si>
  <si>
    <t>台</t>
    <phoneticPr fontId="22" type="noConversion"/>
  </si>
  <si>
    <t>/</t>
    <phoneticPr fontId="22" type="noConversion"/>
  </si>
  <si>
    <t>中行对公</t>
    <phoneticPr fontId="22" type="noConversion"/>
  </si>
  <si>
    <t>3M</t>
    <phoneticPr fontId="22" type="noConversion"/>
  </si>
  <si>
    <t>XSD-2012-10-19-00106</t>
    <phoneticPr fontId="22" type="noConversion"/>
  </si>
  <si>
    <t>组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</si>
  <si>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18-1005</t>
    </r>
    <phoneticPr fontId="22" type="noConversion"/>
  </si>
  <si>
    <t>付</t>
    <phoneticPr fontId="22" type="noConversion"/>
  </si>
  <si>
    <t>出库</t>
    <phoneticPr fontId="22" type="noConversion"/>
  </si>
  <si>
    <t>样品</t>
    <phoneticPr fontId="22" type="noConversion"/>
  </si>
  <si>
    <t>云南省红河州开远市西北路18号</t>
  </si>
  <si>
    <t>付</t>
    <phoneticPr fontId="22" type="noConversion"/>
  </si>
  <si>
    <t>现金</t>
    <phoneticPr fontId="22" type="noConversion"/>
  </si>
  <si>
    <t>6001CN</t>
    <phoneticPr fontId="22" type="noConversion"/>
  </si>
  <si>
    <t>个</t>
    <phoneticPr fontId="22" type="noConversion"/>
  </si>
  <si>
    <t>2134121</t>
    <phoneticPr fontId="22" type="noConversion"/>
  </si>
  <si>
    <t>005473</t>
    <phoneticPr fontId="22" type="noConversion"/>
  </si>
  <si>
    <t>00614747</t>
    <phoneticPr fontId="22" type="noConversion"/>
  </si>
  <si>
    <t>MDSIN</t>
    <phoneticPr fontId="22" type="noConversion"/>
  </si>
  <si>
    <t>K-1001B</t>
    <phoneticPr fontId="22" type="noConversion"/>
  </si>
  <si>
    <t>mdsin-1350980916228</t>
    <phoneticPr fontId="22" type="noConversion"/>
  </si>
  <si>
    <t>不开票</t>
    <phoneticPr fontId="22" type="noConversion"/>
  </si>
  <si>
    <t>1711AF</t>
    <phoneticPr fontId="22" type="noConversion"/>
  </si>
  <si>
    <t>付</t>
    <phoneticPr fontId="22" type="noConversion"/>
  </si>
  <si>
    <t>100V自动变光焊接面罩</t>
  </si>
  <si>
    <t>3M</t>
    <phoneticPr fontId="22" type="noConversion"/>
  </si>
  <si>
    <t>XOUT147840</t>
    <phoneticPr fontId="22" type="noConversion"/>
  </si>
  <si>
    <t>农行对私</t>
    <phoneticPr fontId="22" type="noConversion"/>
  </si>
  <si>
    <t>防护服F级</t>
  </si>
  <si>
    <t>01616635-01616636</t>
    <phoneticPr fontId="22" type="noConversion"/>
  </si>
  <si>
    <t>6554-503</t>
    <phoneticPr fontId="22" type="noConversion"/>
  </si>
  <si>
    <t>运费230</t>
    <phoneticPr fontId="22" type="noConversion"/>
  </si>
  <si>
    <t>中行对公</t>
    <phoneticPr fontId="22" type="noConversion"/>
  </si>
  <si>
    <t>9001A</t>
    <phoneticPr fontId="22" type="noConversion"/>
  </si>
  <si>
    <t>片</t>
    <phoneticPr fontId="22" type="noConversion"/>
  </si>
  <si>
    <t>385CN</t>
    <phoneticPr fontId="22" type="noConversion"/>
  </si>
  <si>
    <t>XOUT147979</t>
    <phoneticPr fontId="22" type="noConversion"/>
  </si>
  <si>
    <t>个</t>
    <phoneticPr fontId="22" type="noConversion"/>
  </si>
  <si>
    <t>9042A</t>
    <phoneticPr fontId="22" type="noConversion"/>
  </si>
  <si>
    <t>0001604</t>
    <phoneticPr fontId="22" type="noConversion"/>
  </si>
  <si>
    <t>0001605</t>
    <phoneticPr fontId="22" type="noConversion"/>
  </si>
  <si>
    <t>不开票</t>
    <phoneticPr fontId="22" type="noConversion"/>
  </si>
  <si>
    <t>01571737</t>
    <phoneticPr fontId="22" type="noConversion"/>
  </si>
  <si>
    <t>sa201210240097</t>
    <phoneticPr fontId="22" type="noConversion"/>
  </si>
  <si>
    <t>/</t>
    <phoneticPr fontId="22" type="noConversion"/>
  </si>
  <si>
    <t>XSD-2012-10-24-00134</t>
    <phoneticPr fontId="22" type="noConversion"/>
  </si>
  <si>
    <t>片</t>
    <phoneticPr fontId="22" type="noConversion"/>
  </si>
  <si>
    <t>付</t>
    <phoneticPr fontId="22" type="noConversion"/>
  </si>
  <si>
    <t>0001617</t>
    <phoneticPr fontId="22" type="noConversion"/>
  </si>
  <si>
    <t>个</t>
    <phoneticPr fontId="22" type="noConversion"/>
  </si>
  <si>
    <t>0001613</t>
    <phoneticPr fontId="22" type="noConversion"/>
  </si>
  <si>
    <t>不开票</t>
    <phoneticPr fontId="22" type="noConversion"/>
  </si>
  <si>
    <t>tychem-F</t>
    <phoneticPr fontId="22" type="noConversion"/>
  </si>
  <si>
    <t>sa201210240096</t>
    <phoneticPr fontId="22" type="noConversion"/>
  </si>
  <si>
    <t>3701CN</t>
    <phoneticPr fontId="22" type="noConversion"/>
  </si>
  <si>
    <t>0001618</t>
    <phoneticPr fontId="22" type="noConversion"/>
  </si>
  <si>
    <t>条</t>
    <phoneticPr fontId="22" type="noConversion"/>
  </si>
  <si>
    <t>XOUT148325</t>
    <phoneticPr fontId="22" type="noConversion"/>
  </si>
  <si>
    <t>个</t>
    <phoneticPr fontId="22" type="noConversion"/>
  </si>
  <si>
    <t>0001864</t>
    <phoneticPr fontId="22" type="noConversion"/>
  </si>
  <si>
    <t>片</t>
    <phoneticPr fontId="22" type="noConversion"/>
  </si>
  <si>
    <t>/</t>
    <phoneticPr fontId="22" type="noConversion"/>
  </si>
  <si>
    <t>C-FL550DD</t>
    <phoneticPr fontId="22" type="noConversion"/>
  </si>
  <si>
    <t>盒</t>
    <phoneticPr fontId="22" type="noConversion"/>
  </si>
  <si>
    <t>00788691</t>
    <phoneticPr fontId="22" type="noConversion"/>
  </si>
  <si>
    <t>0000099</t>
    <phoneticPr fontId="22" type="noConversion"/>
  </si>
  <si>
    <t>0001871</t>
    <phoneticPr fontId="22" type="noConversion"/>
  </si>
  <si>
    <t>2134134</t>
    <phoneticPr fontId="22" type="noConversion"/>
  </si>
  <si>
    <t>9041A</t>
    <phoneticPr fontId="22" type="noConversion"/>
  </si>
  <si>
    <t>XOUT148741</t>
    <phoneticPr fontId="22" type="noConversion"/>
  </si>
  <si>
    <t>301508 44</t>
    <phoneticPr fontId="22" type="noConversion"/>
  </si>
  <si>
    <t>301508 37</t>
    <phoneticPr fontId="22" type="noConversion"/>
  </si>
  <si>
    <t>301508 38</t>
    <phoneticPr fontId="22" type="noConversion"/>
  </si>
  <si>
    <t>301508 39</t>
    <phoneticPr fontId="22" type="noConversion"/>
  </si>
  <si>
    <t>301508 40</t>
    <phoneticPr fontId="22" type="noConversion"/>
  </si>
  <si>
    <t>301508 41</t>
    <phoneticPr fontId="22" type="noConversion"/>
  </si>
  <si>
    <t>301508 42</t>
    <phoneticPr fontId="22" type="noConversion"/>
  </si>
  <si>
    <t>CDZX20121031</t>
    <phoneticPr fontId="22" type="noConversion"/>
  </si>
  <si>
    <t>301508 36</t>
    <phoneticPr fontId="22" type="noConversion"/>
  </si>
  <si>
    <t>S0201210300040</t>
    <phoneticPr fontId="22" type="noConversion"/>
  </si>
  <si>
    <t>中行对公</t>
    <phoneticPr fontId="22" type="noConversion"/>
  </si>
  <si>
    <t>件</t>
    <phoneticPr fontId="22" type="noConversion"/>
  </si>
  <si>
    <t>付</t>
    <phoneticPr fontId="22" type="noConversion"/>
  </si>
  <si>
    <t>0001875</t>
    <phoneticPr fontId="22" type="noConversion"/>
  </si>
  <si>
    <t>B290</t>
    <phoneticPr fontId="22" type="noConversion"/>
  </si>
  <si>
    <t>G104</t>
    <phoneticPr fontId="22" type="noConversion"/>
  </si>
  <si>
    <t>S0201211020016</t>
    <phoneticPr fontId="22" type="noConversion"/>
  </si>
  <si>
    <t>GM1211-1-02</t>
    <phoneticPr fontId="22" type="noConversion"/>
  </si>
  <si>
    <t>K-014B</t>
    <phoneticPr fontId="22" type="noConversion"/>
  </si>
  <si>
    <t>mdsin-1351752769600</t>
    <phoneticPr fontId="22" type="noConversion"/>
  </si>
  <si>
    <t>GM1211-2-04</t>
    <phoneticPr fontId="22" type="noConversion"/>
  </si>
  <si>
    <t>S0201211020079</t>
    <phoneticPr fontId="22" type="noConversion"/>
  </si>
  <si>
    <t>0006562</t>
    <phoneticPr fontId="22" type="noConversion"/>
  </si>
  <si>
    <t>品名</t>
    <phoneticPr fontId="22" type="noConversion"/>
  </si>
  <si>
    <t>0006564</t>
    <phoneticPr fontId="22" type="noConversion"/>
  </si>
  <si>
    <t>XSD-2012-11-01-00001</t>
    <phoneticPr fontId="22" type="noConversion"/>
  </si>
  <si>
    <t>名称</t>
    <phoneticPr fontId="60" type="noConversion"/>
  </si>
  <si>
    <t>型号</t>
    <phoneticPr fontId="60" type="noConversion"/>
  </si>
  <si>
    <t>库存数</t>
    <phoneticPr fontId="60" type="noConversion"/>
  </si>
  <si>
    <t>成本</t>
    <phoneticPr fontId="60" type="noConversion"/>
  </si>
  <si>
    <t>总成本</t>
    <phoneticPr fontId="60" type="noConversion"/>
  </si>
  <si>
    <t>颗粒物滤棉</t>
    <phoneticPr fontId="60" type="noConversion"/>
  </si>
  <si>
    <t>3701CN</t>
    <phoneticPr fontId="60" type="noConversion"/>
  </si>
  <si>
    <t>有机蒸气滤毒盒</t>
    <phoneticPr fontId="60" type="noConversion"/>
  </si>
  <si>
    <t>3301CN</t>
    <phoneticPr fontId="60" type="noConversion"/>
  </si>
  <si>
    <t>预过滤棉</t>
    <phoneticPr fontId="60" type="noConversion"/>
  </si>
  <si>
    <t>3N11CN</t>
    <phoneticPr fontId="60" type="noConversion"/>
  </si>
  <si>
    <t>滤棉盖（新）</t>
    <phoneticPr fontId="60" type="noConversion"/>
  </si>
  <si>
    <t>385CN</t>
    <phoneticPr fontId="60" type="noConversion"/>
  </si>
  <si>
    <t>半面型防护面罩（中号）</t>
    <phoneticPr fontId="60" type="noConversion"/>
  </si>
  <si>
    <t>半面型防护面罩（小号）</t>
    <phoneticPr fontId="60" type="noConversion"/>
  </si>
  <si>
    <t>酸性气体滤毒盒</t>
    <phoneticPr fontId="60" type="noConversion"/>
  </si>
  <si>
    <t>6002CN</t>
    <phoneticPr fontId="60" type="noConversion"/>
  </si>
  <si>
    <t>多用气体虑毒盒</t>
    <phoneticPr fontId="60" type="noConversion"/>
  </si>
  <si>
    <t>有机蒸汽滤毒盒</t>
    <phoneticPr fontId="60" type="noConversion"/>
  </si>
  <si>
    <t>滤毒盒</t>
    <phoneticPr fontId="60" type="noConversion"/>
  </si>
  <si>
    <t>半面型防护面罩</t>
    <phoneticPr fontId="60" type="noConversion"/>
  </si>
  <si>
    <t>滤棉盖</t>
    <phoneticPr fontId="60" type="noConversion"/>
  </si>
  <si>
    <t>3000系列组合喷漆型</t>
    <phoneticPr fontId="60" type="noConversion"/>
  </si>
  <si>
    <t>6000系列组合半面喷漆型</t>
    <phoneticPr fontId="60" type="noConversion"/>
  </si>
  <si>
    <t>防护口罩 (带呼气阀）</t>
    <phoneticPr fontId="60" type="noConversion"/>
  </si>
  <si>
    <t>7008CN</t>
    <phoneticPr fontId="60" type="noConversion"/>
  </si>
  <si>
    <t>滤棉</t>
    <phoneticPr fontId="60" type="noConversion"/>
  </si>
  <si>
    <t>有机及酸性气体异味颗粒物滤棉</t>
    <phoneticPr fontId="60" type="noConversion"/>
  </si>
  <si>
    <t>异味颗粒物滤棉</t>
    <phoneticPr fontId="60" type="noConversion"/>
  </si>
  <si>
    <t>2076HF</t>
    <phoneticPr fontId="60" type="noConversion"/>
  </si>
  <si>
    <t>7001CN</t>
    <phoneticPr fontId="60" type="noConversion"/>
  </si>
  <si>
    <t>3001CN</t>
    <phoneticPr fontId="60" type="noConversion"/>
  </si>
  <si>
    <t>有机蒸气异味及颗粒物过滤棉</t>
    <phoneticPr fontId="60" type="noConversion"/>
  </si>
  <si>
    <t>7744CC</t>
    <phoneticPr fontId="60" type="noConversion"/>
  </si>
  <si>
    <t>颗粒物过滤棉</t>
    <phoneticPr fontId="60" type="noConversion"/>
  </si>
  <si>
    <t>3744K</t>
    <phoneticPr fontId="60" type="noConversion"/>
  </si>
  <si>
    <t>折叠式防尘口罩( 小号)</t>
    <phoneticPr fontId="60" type="noConversion"/>
  </si>
  <si>
    <t>9102CS</t>
    <phoneticPr fontId="60" type="noConversion"/>
  </si>
  <si>
    <t>折叠式防护口罩(环保包装）</t>
    <phoneticPr fontId="60" type="noConversion"/>
  </si>
  <si>
    <t>9002A</t>
    <phoneticPr fontId="60" type="noConversion"/>
  </si>
  <si>
    <t>防雾护目镜</t>
    <phoneticPr fontId="60" type="noConversion"/>
  </si>
  <si>
    <t>1623AF</t>
    <phoneticPr fontId="60" type="noConversion"/>
  </si>
  <si>
    <t>颈带式防护口罩( 颈带式/ 标准号）</t>
    <phoneticPr fontId="60" type="noConversion"/>
  </si>
  <si>
    <t>折叠式带阀防护口罩( 耳带式/ 标准号）</t>
    <phoneticPr fontId="60" type="noConversion"/>
  </si>
  <si>
    <t>9001V</t>
    <phoneticPr fontId="60" type="noConversion"/>
  </si>
  <si>
    <t>折叠式带阀防护口罩( 头带式/ 标准号）</t>
    <phoneticPr fontId="60" type="noConversion"/>
  </si>
  <si>
    <t>9002V</t>
    <phoneticPr fontId="60" type="noConversion"/>
  </si>
  <si>
    <t>防护服 L</t>
    <phoneticPr fontId="60" type="noConversion"/>
  </si>
  <si>
    <t>4680L</t>
    <phoneticPr fontId="60" type="noConversion"/>
  </si>
  <si>
    <t>防护服</t>
    <phoneticPr fontId="60" type="noConversion"/>
  </si>
  <si>
    <t>防护服XXL</t>
    <phoneticPr fontId="60" type="noConversion"/>
  </si>
  <si>
    <t>4690XXL</t>
    <phoneticPr fontId="60" type="noConversion"/>
  </si>
  <si>
    <t>4650套装</t>
    <phoneticPr fontId="60" type="noConversion"/>
  </si>
  <si>
    <t>防护服XL</t>
    <phoneticPr fontId="60" type="noConversion"/>
  </si>
  <si>
    <t>4650M</t>
    <phoneticPr fontId="60" type="noConversion"/>
  </si>
  <si>
    <t>4650XL</t>
    <phoneticPr fontId="60" type="noConversion"/>
  </si>
  <si>
    <t>4545XL</t>
    <phoneticPr fontId="60" type="noConversion"/>
  </si>
  <si>
    <t>滤棉适配器</t>
    <phoneticPr fontId="60" type="noConversion"/>
  </si>
  <si>
    <t>挂安全帽式耳罩</t>
    <phoneticPr fontId="60" type="noConversion"/>
  </si>
  <si>
    <t>H10A</t>
    <phoneticPr fontId="60" type="noConversion"/>
  </si>
  <si>
    <t>311-1101</t>
    <phoneticPr fontId="60" type="noConversion"/>
  </si>
  <si>
    <t>318-1005</t>
    <phoneticPr fontId="60" type="noConversion"/>
  </si>
  <si>
    <t>311-1250</t>
    <phoneticPr fontId="60" type="noConversion"/>
  </si>
  <si>
    <t>圣诞树型带线耳塞</t>
    <phoneticPr fontId="60" type="noConversion"/>
  </si>
  <si>
    <t>眼镜</t>
    <phoneticPr fontId="60" type="noConversion"/>
  </si>
  <si>
    <t>防护眼镜（舒适型，防雾）</t>
    <phoneticPr fontId="60" type="noConversion"/>
  </si>
  <si>
    <t>折叠式耳罩 - 中文包装</t>
    <phoneticPr fontId="60" type="noConversion"/>
  </si>
  <si>
    <t>37-176</t>
    <phoneticPr fontId="60" type="noConversion"/>
  </si>
  <si>
    <t>头戴式耳罩</t>
    <phoneticPr fontId="60" type="noConversion"/>
  </si>
  <si>
    <t>H6A/V</t>
    <phoneticPr fontId="60" type="noConversion"/>
  </si>
  <si>
    <t>套装耳塞</t>
    <phoneticPr fontId="60" type="noConversion"/>
  </si>
  <si>
    <t>双片包装</t>
    <phoneticPr fontId="60" type="noConversion"/>
  </si>
  <si>
    <t>9022A</t>
    <phoneticPr fontId="60" type="noConversion"/>
  </si>
  <si>
    <t>防护口罩</t>
    <phoneticPr fontId="60" type="noConversion"/>
  </si>
  <si>
    <t>9913A</t>
    <phoneticPr fontId="60" type="noConversion"/>
  </si>
  <si>
    <t>防护口罩 (双片）</t>
    <phoneticPr fontId="60" type="noConversion"/>
  </si>
  <si>
    <t>9021A</t>
    <phoneticPr fontId="60" type="noConversion"/>
  </si>
  <si>
    <t>焊接用防尘口罩</t>
    <phoneticPr fontId="60" type="noConversion"/>
  </si>
  <si>
    <t>有机气体防护口罩( 中文包装）</t>
    <phoneticPr fontId="60" type="noConversion"/>
  </si>
  <si>
    <t>酸性气体防护口罩</t>
    <phoneticPr fontId="60" type="noConversion"/>
  </si>
  <si>
    <t>经济型焊接用防尘口罩</t>
    <phoneticPr fontId="60" type="noConversion"/>
  </si>
  <si>
    <t>折叠式防护口罩 (灰色，耳带式）</t>
    <phoneticPr fontId="60" type="noConversion"/>
  </si>
  <si>
    <t>流线型防护眼镜</t>
    <phoneticPr fontId="60" type="noConversion"/>
  </si>
  <si>
    <t>中国款防护眼镜</t>
    <phoneticPr fontId="60" type="noConversion"/>
  </si>
  <si>
    <t>中国款流线型防护眼镜</t>
    <phoneticPr fontId="60" type="noConversion"/>
  </si>
  <si>
    <t>轻便型防护眼镜</t>
    <phoneticPr fontId="60" type="noConversion"/>
  </si>
  <si>
    <t>防护眼镜</t>
    <phoneticPr fontId="60" type="noConversion"/>
  </si>
  <si>
    <t>1711AF</t>
    <phoneticPr fontId="60" type="noConversion"/>
  </si>
  <si>
    <t>防化学护目镜（防雾）</t>
    <phoneticPr fontId="60" type="noConversion"/>
  </si>
  <si>
    <t>时尚型防护眼镜</t>
    <phoneticPr fontId="60" type="noConversion"/>
  </si>
  <si>
    <t>11782 1790G</t>
    <phoneticPr fontId="60" type="noConversion"/>
  </si>
  <si>
    <t>12283 时尚舒适型防护眼镜</t>
    <phoneticPr fontId="60" type="noConversion"/>
  </si>
  <si>
    <t>防护眼镜（带侧翼通风口，防雾）</t>
    <phoneticPr fontId="60" type="noConversion"/>
  </si>
  <si>
    <t>防尘护目镜</t>
    <phoneticPr fontId="60" type="noConversion"/>
  </si>
  <si>
    <t>超轻舒适型防护眼镜 (防雾防刮擦涂层）</t>
    <phoneticPr fontId="60" type="noConversion"/>
  </si>
  <si>
    <t>访客用防护眼镜（防刮擦涂层）</t>
    <phoneticPr fontId="60" type="noConversion"/>
  </si>
  <si>
    <t>防护眼镜（带双射灯，防雾）</t>
    <phoneticPr fontId="60" type="noConversion"/>
  </si>
  <si>
    <t>GM1211-5-07</t>
    <phoneticPr fontId="22" type="noConversion"/>
  </si>
  <si>
    <t>01616681</t>
    <phoneticPr fontId="22" type="noConversion"/>
  </si>
  <si>
    <t>换货</t>
    <phoneticPr fontId="22" type="noConversion"/>
  </si>
  <si>
    <t>XOUT149296</t>
    <phoneticPr fontId="22" type="noConversion"/>
  </si>
  <si>
    <t>0006566</t>
    <phoneticPr fontId="22" type="noConversion"/>
  </si>
  <si>
    <t>半面型防护面罩（中/大号）</t>
  </si>
  <si>
    <t>折叠式防尘口罩(小号)</t>
  </si>
  <si>
    <t>绿色带帽连体防护服XL</t>
  </si>
  <si>
    <t>防雾护目镜（防化学物飞溅，防雾）</t>
  </si>
  <si>
    <t>橙色带帽连体防护服M</t>
  </si>
  <si>
    <t>橙色带帽连体防护服L</t>
  </si>
  <si>
    <t>PolarGrip-手套</t>
  </si>
  <si>
    <t>防护口罩(带呼吸阀）</t>
  </si>
  <si>
    <t>氨气/甲胺滤毒盒</t>
  </si>
  <si>
    <t>有机蒸气异味及颗粒物防护口罩(头带式)</t>
  </si>
  <si>
    <t>甲醛/有机蒸气滤毒盒</t>
  </si>
  <si>
    <t>有机/酸性气体滤毒盒</t>
  </si>
  <si>
    <t>有机/无机/酸性气体滤毒盒</t>
  </si>
  <si>
    <t>汞蒸气/氯气滤毒盒</t>
  </si>
  <si>
    <t>GM1211-6-07</t>
    <phoneticPr fontId="22" type="noConversion"/>
  </si>
  <si>
    <t>0000062</t>
    <phoneticPr fontId="22" type="noConversion"/>
  </si>
  <si>
    <t>XOUT149587</t>
    <phoneticPr fontId="22" type="noConversion"/>
  </si>
  <si>
    <t>0006571</t>
    <phoneticPr fontId="22" type="noConversion"/>
  </si>
  <si>
    <t>320P</t>
    <phoneticPr fontId="60" type="noConversion"/>
  </si>
  <si>
    <t>斯博瑞安</t>
    <phoneticPr fontId="22" type="noConversion"/>
  </si>
  <si>
    <t>BC6240470</t>
    <phoneticPr fontId="22" type="noConversion"/>
  </si>
  <si>
    <t>双</t>
  </si>
  <si>
    <t>35*2 37*2 38*2 39*4 40*4 41*4 42*4</t>
    <phoneticPr fontId="22" type="noConversion"/>
  </si>
  <si>
    <t>9250P</t>
    <phoneticPr fontId="22" type="noConversion"/>
  </si>
  <si>
    <t>瓶</t>
    <phoneticPr fontId="22" type="noConversion"/>
  </si>
  <si>
    <t>XS20121108000384</t>
    <phoneticPr fontId="22" type="noConversion"/>
  </si>
  <si>
    <t>0000064</t>
    <phoneticPr fontId="22" type="noConversion"/>
  </si>
  <si>
    <t>S0201211080069</t>
    <phoneticPr fontId="22" type="noConversion"/>
  </si>
  <si>
    <t>0006574</t>
    <phoneticPr fontId="22" type="noConversion"/>
  </si>
  <si>
    <t>02216427</t>
    <phoneticPr fontId="22" type="noConversion"/>
  </si>
  <si>
    <t>100V自动变光焊接面罩</t>
    <phoneticPr fontId="60" type="noConversion"/>
  </si>
  <si>
    <t>有机/ 酸性气体滤毒盒</t>
    <phoneticPr fontId="60" type="noConversion"/>
  </si>
  <si>
    <t>手提挂墙急救箱</t>
    <phoneticPr fontId="60" type="noConversion"/>
  </si>
  <si>
    <t>有机气体及颗粒物防护口罩</t>
    <phoneticPr fontId="60" type="noConversion"/>
  </si>
  <si>
    <t>折叠式吸收棉</t>
    <phoneticPr fontId="60" type="noConversion"/>
  </si>
  <si>
    <t>代尔塔安全鞋</t>
    <phoneticPr fontId="60" type="noConversion"/>
  </si>
  <si>
    <t>防毒口罩</t>
    <phoneticPr fontId="60" type="noConversion"/>
  </si>
  <si>
    <t>01706651</t>
    <phoneticPr fontId="22" type="noConversion"/>
  </si>
  <si>
    <t>重庆綦江区四方建材有限公司</t>
  </si>
  <si>
    <t>2012-11-1/2012-11-9</t>
    <phoneticPr fontId="22" type="noConversion"/>
  </si>
  <si>
    <t>重庆武隆顺达运输到付</t>
  </si>
  <si>
    <t>德邦物流到付</t>
  </si>
  <si>
    <t>重庆笛洋物流到付</t>
  </si>
  <si>
    <t>重庆万事达快运到付</t>
  </si>
  <si>
    <t>重庆飞毛腿货运到付</t>
  </si>
  <si>
    <t>重庆恒耀杨四物流到付</t>
  </si>
  <si>
    <t>世纪兴货运到付</t>
  </si>
  <si>
    <t>顺丰到付</t>
  </si>
  <si>
    <t>重庆力宏物流到付</t>
  </si>
  <si>
    <t>铁轩快运到付</t>
  </si>
  <si>
    <t>重庆高新物流到付</t>
  </si>
  <si>
    <t>重庆飞达货运到付</t>
  </si>
  <si>
    <t>重庆秋实货运到付、圆通快递</t>
  </si>
  <si>
    <t>雷达货运到付</t>
  </si>
  <si>
    <t>重庆顺昌建辉运输到付</t>
  </si>
  <si>
    <t>铁轩物流到付</t>
  </si>
  <si>
    <t>01634385CN</t>
  </si>
  <si>
    <t>重庆市黔江区正阳街道办事处桐坪居委3组</t>
  </si>
  <si>
    <t>重庆市黔江区正阳街道办事处桐坪居委4组</t>
  </si>
  <si>
    <t>重庆市黔江区正阳街道办事处桐坪居委5组</t>
  </si>
  <si>
    <t>340-4004</t>
    <phoneticPr fontId="60" type="noConversion"/>
  </si>
  <si>
    <t>中行对公</t>
    <phoneticPr fontId="22" type="noConversion"/>
  </si>
  <si>
    <t>件</t>
    <phoneticPr fontId="22" type="noConversion"/>
  </si>
  <si>
    <t>0001632</t>
    <phoneticPr fontId="22" type="noConversion"/>
  </si>
  <si>
    <t>3744K</t>
    <phoneticPr fontId="22" type="noConversion"/>
  </si>
  <si>
    <t>颗粒物滤尘盒</t>
  </si>
  <si>
    <t>代尔塔</t>
  </si>
  <si>
    <t>代尔塔</t>
    <phoneticPr fontId="22" type="noConversion"/>
  </si>
  <si>
    <t>付</t>
    <phoneticPr fontId="22" type="noConversion"/>
  </si>
  <si>
    <t>0001636</t>
    <phoneticPr fontId="22" type="noConversion"/>
  </si>
  <si>
    <t>9022A</t>
    <phoneticPr fontId="22" type="noConversion"/>
  </si>
  <si>
    <t>S0201211210029</t>
    <phoneticPr fontId="22" type="noConversion"/>
  </si>
  <si>
    <t>13400538</t>
    <phoneticPr fontId="22" type="noConversion"/>
  </si>
  <si>
    <t>00269116</t>
  </si>
  <si>
    <t>CDZX20121121</t>
    <phoneticPr fontId="22" type="noConversion"/>
  </si>
  <si>
    <t>2嘉烨</t>
    <phoneticPr fontId="60" type="noConversion"/>
  </si>
  <si>
    <t>1嘉烨</t>
    <phoneticPr fontId="60" type="noConversion"/>
  </si>
  <si>
    <t>8嘉烨</t>
    <phoneticPr fontId="60" type="noConversion"/>
  </si>
  <si>
    <t>嘉烨</t>
    <phoneticPr fontId="60" type="noConversion"/>
  </si>
  <si>
    <t>颗粒物防护口罩-蓝色</t>
    <phoneticPr fontId="60" type="noConversion"/>
  </si>
  <si>
    <t>云阳荣明页岩砖有限公司</t>
  </si>
  <si>
    <r>
      <t>3</t>
    </r>
    <r>
      <rPr>
        <sz val="9"/>
        <color indexed="8"/>
        <rFont val="宋体"/>
        <family val="3"/>
        <charset val="134"/>
      </rPr>
      <t>7-176</t>
    </r>
    <phoneticPr fontId="53" type="noConversion"/>
  </si>
  <si>
    <t>耳塞</t>
    <phoneticPr fontId="53" type="noConversion"/>
  </si>
  <si>
    <t>子弹型带线耳塞</t>
    <phoneticPr fontId="53" type="noConversion"/>
  </si>
  <si>
    <t>手套</t>
    <phoneticPr fontId="53" type="noConversion"/>
  </si>
  <si>
    <t>套装耳塞</t>
    <phoneticPr fontId="53" type="noConversion"/>
  </si>
  <si>
    <t>双</t>
    <phoneticPr fontId="53" type="noConversion"/>
  </si>
  <si>
    <t>是</t>
    <phoneticPr fontId="53" type="noConversion"/>
  </si>
  <si>
    <t>有机蒸气异味及颗粒物防护口罩( 头带式)</t>
    <phoneticPr fontId="60" type="noConversion"/>
  </si>
  <si>
    <t>9042A</t>
    <phoneticPr fontId="60" type="noConversion"/>
  </si>
  <si>
    <t>样品</t>
    <phoneticPr fontId="60" type="noConversion"/>
  </si>
  <si>
    <t>4680XXL</t>
    <phoneticPr fontId="60" type="noConversion"/>
  </si>
  <si>
    <t>焊接防护眼罩</t>
    <phoneticPr fontId="60" type="noConversion"/>
  </si>
  <si>
    <t>防护服L</t>
    <phoneticPr fontId="60" type="noConversion"/>
  </si>
  <si>
    <t>4640L</t>
    <phoneticPr fontId="60" type="noConversion"/>
  </si>
  <si>
    <t>4620XL</t>
    <phoneticPr fontId="60" type="noConversion"/>
  </si>
  <si>
    <t>4650A L</t>
    <phoneticPr fontId="60" type="noConversion"/>
  </si>
  <si>
    <t>防护服M</t>
    <phoneticPr fontId="60" type="noConversion"/>
  </si>
  <si>
    <t>4650L</t>
    <phoneticPr fontId="60" type="noConversion"/>
  </si>
  <si>
    <t>H7P3E</t>
    <phoneticPr fontId="60" type="noConversion"/>
  </si>
  <si>
    <t>耳罩</t>
    <phoneticPr fontId="60" type="noConversion"/>
  </si>
  <si>
    <t>经济型耳罩</t>
    <phoneticPr fontId="60" type="noConversion"/>
  </si>
  <si>
    <t>00881040</t>
    <phoneticPr fontId="22" type="noConversion"/>
  </si>
  <si>
    <t>头带式耳罩</t>
    <phoneticPr fontId="60" type="noConversion"/>
  </si>
  <si>
    <t>圆柱型带线耳塞</t>
    <phoneticPr fontId="60" type="noConversion"/>
  </si>
  <si>
    <t>高降噪子弹型带线耳塞</t>
    <phoneticPr fontId="60" type="noConversion"/>
  </si>
  <si>
    <t>XOUT151393</t>
    <phoneticPr fontId="22" type="noConversion"/>
  </si>
  <si>
    <t>01299191</t>
  </si>
  <si>
    <t>中行对公</t>
    <phoneticPr fontId="22" type="noConversion"/>
  </si>
  <si>
    <t xml:space="preserve">320D </t>
    <phoneticPr fontId="22" type="noConversion"/>
  </si>
  <si>
    <t xml:space="preserve">320P </t>
    <phoneticPr fontId="22" type="noConversion"/>
  </si>
  <si>
    <t xml:space="preserve">620P </t>
    <phoneticPr fontId="22" type="noConversion"/>
  </si>
  <si>
    <t>01740437-01740438-01740439-0174040-0174041-0174042-0174043</t>
    <phoneticPr fontId="22" type="noConversion"/>
  </si>
  <si>
    <t>11664-11664-11664-11664-11664-11664-11016</t>
    <phoneticPr fontId="22" type="noConversion"/>
  </si>
  <si>
    <t>9002V</t>
    <phoneticPr fontId="22" type="noConversion"/>
  </si>
  <si>
    <t>片</t>
    <phoneticPr fontId="22" type="noConversion"/>
  </si>
  <si>
    <t>0000101</t>
    <phoneticPr fontId="22" type="noConversion"/>
  </si>
  <si>
    <t>XOUT151701</t>
    <phoneticPr fontId="22" type="noConversion"/>
  </si>
  <si>
    <t>19192535</t>
    <phoneticPr fontId="22" type="noConversion"/>
  </si>
  <si>
    <t>Ansell</t>
  </si>
  <si>
    <t>00645940</t>
    <phoneticPr fontId="22" type="noConversion"/>
  </si>
  <si>
    <t>酸性气体及颗粒物防护口罩</t>
    <phoneticPr fontId="22" type="noConversion"/>
  </si>
  <si>
    <t>301508 43</t>
    <phoneticPr fontId="22" type="noConversion"/>
  </si>
  <si>
    <t>S0201211010023</t>
    <phoneticPr fontId="22" type="noConversion"/>
  </si>
  <si>
    <t>3N11CN</t>
    <phoneticPr fontId="22" type="noConversion"/>
  </si>
  <si>
    <t>片</t>
    <phoneticPr fontId="22" type="noConversion"/>
  </si>
  <si>
    <t>0006574</t>
    <phoneticPr fontId="22" type="noConversion"/>
  </si>
  <si>
    <t>中行对公</t>
    <phoneticPr fontId="22" type="noConversion"/>
  </si>
  <si>
    <t>3M</t>
    <phoneticPr fontId="22" type="noConversion"/>
  </si>
  <si>
    <t>个</t>
    <phoneticPr fontId="22" type="noConversion"/>
  </si>
  <si>
    <t>3701CN</t>
    <phoneticPr fontId="22" type="noConversion"/>
  </si>
  <si>
    <t>付</t>
    <phoneticPr fontId="22" type="noConversion"/>
  </si>
  <si>
    <t>0016230</t>
    <phoneticPr fontId="22" type="noConversion"/>
  </si>
  <si>
    <t>9002A</t>
    <phoneticPr fontId="22" type="noConversion"/>
  </si>
  <si>
    <t>GM1211-12-03</t>
    <phoneticPr fontId="22" type="noConversion"/>
  </si>
  <si>
    <t>00645940</t>
    <phoneticPr fontId="22" type="noConversion"/>
  </si>
  <si>
    <t>GM1211-13-07</t>
    <phoneticPr fontId="22" type="noConversion"/>
  </si>
  <si>
    <t>2134140</t>
    <phoneticPr fontId="22" type="noConversion"/>
  </si>
  <si>
    <t>00788696</t>
    <phoneticPr fontId="22" type="noConversion"/>
  </si>
  <si>
    <t>9022A</t>
    <phoneticPr fontId="22" type="noConversion"/>
  </si>
  <si>
    <t>0001781</t>
    <phoneticPr fontId="22" type="noConversion"/>
  </si>
  <si>
    <t>2134151</t>
    <phoneticPr fontId="22" type="noConversion"/>
  </si>
  <si>
    <t>0001790</t>
    <phoneticPr fontId="22" type="noConversion"/>
  </si>
  <si>
    <t>340-4004</t>
    <phoneticPr fontId="22" type="noConversion"/>
  </si>
  <si>
    <t>1790G</t>
    <phoneticPr fontId="22" type="noConversion"/>
  </si>
  <si>
    <t>0700020</t>
    <phoneticPr fontId="22" type="noConversion"/>
  </si>
  <si>
    <t>1621AF</t>
    <phoneticPr fontId="22" type="noConversion"/>
  </si>
  <si>
    <t>0001630</t>
    <phoneticPr fontId="22" type="noConversion"/>
  </si>
  <si>
    <t>0001795</t>
    <phoneticPr fontId="22" type="noConversion"/>
  </si>
  <si>
    <t>/</t>
    <phoneticPr fontId="22" type="noConversion"/>
  </si>
  <si>
    <t>农行对私</t>
    <phoneticPr fontId="22" type="noConversion"/>
  </si>
  <si>
    <t>不开票</t>
    <phoneticPr fontId="22" type="noConversion"/>
  </si>
  <si>
    <t>XOUT150977</t>
    <phoneticPr fontId="22" type="noConversion"/>
  </si>
  <si>
    <t>2134158</t>
    <phoneticPr fontId="22" type="noConversion"/>
  </si>
  <si>
    <t>3003K-100</t>
    <phoneticPr fontId="22" type="noConversion"/>
  </si>
  <si>
    <t>中行对公</t>
    <phoneticPr fontId="22" type="noConversion"/>
  </si>
  <si>
    <t>1.4929</t>
    <phoneticPr fontId="60" type="noConversion"/>
  </si>
  <si>
    <t>3251CNS</t>
    <phoneticPr fontId="22" type="noConversion"/>
  </si>
  <si>
    <t>颗粒物呼吸防护组合</t>
    <phoneticPr fontId="22" type="noConversion"/>
  </si>
  <si>
    <t>套</t>
    <phoneticPr fontId="22" type="noConversion"/>
  </si>
  <si>
    <t>个</t>
    <phoneticPr fontId="22" type="noConversion"/>
  </si>
  <si>
    <t>1.17</t>
    <phoneticPr fontId="60" type="noConversion"/>
  </si>
  <si>
    <t>6001CN</t>
    <phoneticPr fontId="22" type="noConversion"/>
  </si>
  <si>
    <t>GM1211-27-02</t>
    <phoneticPr fontId="22" type="noConversion"/>
  </si>
  <si>
    <t>鸿宝</t>
    <phoneticPr fontId="22" type="noConversion"/>
  </si>
  <si>
    <t>1.24</t>
    <phoneticPr fontId="60" type="noConversion"/>
  </si>
  <si>
    <t>中行对公</t>
    <phoneticPr fontId="22" type="noConversion"/>
  </si>
  <si>
    <t>01248862</t>
    <phoneticPr fontId="22" type="noConversion"/>
  </si>
  <si>
    <t>07454659</t>
    <phoneticPr fontId="22" type="noConversion"/>
  </si>
  <si>
    <t>00885023</t>
    <phoneticPr fontId="22" type="noConversion"/>
  </si>
  <si>
    <t>3301CN</t>
    <phoneticPr fontId="22" type="noConversion"/>
  </si>
  <si>
    <t>3N11CN</t>
    <phoneticPr fontId="22" type="noConversion"/>
  </si>
  <si>
    <t>385CN</t>
    <phoneticPr fontId="22" type="noConversion"/>
  </si>
  <si>
    <t>个</t>
    <phoneticPr fontId="22" type="noConversion"/>
  </si>
  <si>
    <t>片</t>
    <phoneticPr fontId="22" type="noConversion"/>
  </si>
  <si>
    <t>0000289</t>
    <phoneticPr fontId="22" type="noConversion"/>
  </si>
  <si>
    <t>01299202</t>
  </si>
  <si>
    <t>00646492-00646493-00646494</t>
    <phoneticPr fontId="22" type="noConversion"/>
  </si>
  <si>
    <t>10905.18-10905-18-2420.82</t>
    <phoneticPr fontId="22" type="noConversion"/>
  </si>
  <si>
    <t>谭利华</t>
  </si>
  <si>
    <t>5KV</t>
    <phoneticPr fontId="22" type="noConversion"/>
  </si>
  <si>
    <t>合计</t>
    <phoneticPr fontId="60" type="noConversion"/>
  </si>
  <si>
    <t>朕尔科技</t>
    <phoneticPr fontId="22" type="noConversion"/>
  </si>
  <si>
    <t>片</t>
    <phoneticPr fontId="22" type="noConversion"/>
  </si>
  <si>
    <t>发给客户</t>
    <phoneticPr fontId="22" type="noConversion"/>
  </si>
  <si>
    <t>出库</t>
    <phoneticPr fontId="22" type="noConversion"/>
  </si>
  <si>
    <t>样品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</si>
  <si>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301CN</t>
    </r>
    <phoneticPr fontId="53" type="noConversion"/>
  </si>
  <si>
    <t>3501CN</t>
    <phoneticPr fontId="60" type="noConversion"/>
  </si>
  <si>
    <t>16嘉烨</t>
    <phoneticPr fontId="60" type="noConversion"/>
  </si>
  <si>
    <t>绿色带帽连体防护服 XXL</t>
    <phoneticPr fontId="60" type="noConversion"/>
  </si>
  <si>
    <t>1嘉烨 5样品</t>
    <phoneticPr fontId="60" type="noConversion"/>
  </si>
  <si>
    <t>子弹型耳塞（10付装）</t>
    <phoneticPr fontId="60" type="noConversion"/>
  </si>
  <si>
    <t>29.66</t>
    <phoneticPr fontId="60" type="noConversion"/>
  </si>
  <si>
    <r>
      <t xml:space="preserve">白色带帽连体防护服 </t>
    </r>
    <r>
      <rPr>
        <sz val="10"/>
        <color rgb="FFFF0000"/>
        <rFont val="宋体"/>
        <family val="3"/>
        <charset val="134"/>
      </rPr>
      <t>无型号</t>
    </r>
    <phoneticPr fontId="60" type="noConversion"/>
  </si>
  <si>
    <t>4540+</t>
    <phoneticPr fontId="22" type="noConversion"/>
  </si>
  <si>
    <t>4540+</t>
    <phoneticPr fontId="60" type="noConversion"/>
  </si>
  <si>
    <t>3003K-100</t>
    <phoneticPr fontId="60" type="noConversion"/>
  </si>
  <si>
    <t>C-FL550DD</t>
    <phoneticPr fontId="60" type="noConversion"/>
  </si>
  <si>
    <t>酸性气体及颗粒物防护口罩</t>
    <phoneticPr fontId="60" type="noConversion"/>
  </si>
  <si>
    <t>1621AF</t>
    <phoneticPr fontId="60" type="noConversion"/>
  </si>
  <si>
    <t>子弹型带线耳塞</t>
    <phoneticPr fontId="60" type="noConversion"/>
  </si>
  <si>
    <t>爱护佳免洗手消毒液</t>
    <phoneticPr fontId="60" type="noConversion"/>
  </si>
  <si>
    <t>9250P</t>
    <phoneticPr fontId="60" type="noConversion"/>
  </si>
  <si>
    <t>320D</t>
    <phoneticPr fontId="60" type="noConversion"/>
  </si>
  <si>
    <t>620P</t>
    <phoneticPr fontId="60" type="noConversion"/>
  </si>
  <si>
    <t>S0201212040038</t>
    <phoneticPr fontId="22" type="noConversion"/>
  </si>
  <si>
    <t>0000132</t>
    <phoneticPr fontId="22" type="noConversion"/>
  </si>
  <si>
    <t>巫溪县凤凰工业园区</t>
  </si>
  <si>
    <t>曾益明</t>
  </si>
  <si>
    <t>9042A</t>
    <phoneticPr fontId="22" type="noConversion"/>
  </si>
  <si>
    <t>片</t>
    <phoneticPr fontId="22" type="noConversion"/>
  </si>
  <si>
    <t>0000137</t>
    <phoneticPr fontId="22" type="noConversion"/>
  </si>
  <si>
    <t>不开票</t>
    <phoneticPr fontId="22" type="noConversion"/>
  </si>
  <si>
    <t>S0201212050030</t>
    <phoneticPr fontId="22" type="noConversion"/>
  </si>
  <si>
    <t>08320007</t>
    <phoneticPr fontId="22" type="noConversion"/>
  </si>
  <si>
    <t>全面罩鼻罩组</t>
  </si>
  <si>
    <t>面罩吸气口垫圈</t>
  </si>
  <si>
    <t>不开票</t>
    <phoneticPr fontId="22" type="noConversion"/>
  </si>
  <si>
    <t>片</t>
    <phoneticPr fontId="22" type="noConversion"/>
  </si>
  <si>
    <t>个</t>
    <phoneticPr fontId="22" type="noConversion"/>
  </si>
  <si>
    <t>0000299</t>
    <phoneticPr fontId="22" type="noConversion"/>
  </si>
  <si>
    <t>圆柱型耳塞</t>
  </si>
  <si>
    <t>00881141</t>
    <phoneticPr fontId="22" type="noConversion"/>
  </si>
  <si>
    <t>391-1001</t>
    <phoneticPr fontId="22" type="noConversion"/>
  </si>
  <si>
    <t>面罩吸气阀</t>
  </si>
  <si>
    <t>片</t>
    <phoneticPr fontId="22" type="noConversion"/>
  </si>
  <si>
    <t>付</t>
    <phoneticPr fontId="22" type="noConversion"/>
  </si>
  <si>
    <t>中行对公</t>
    <phoneticPr fontId="22" type="noConversion"/>
  </si>
  <si>
    <t>9002A</t>
    <phoneticPr fontId="22" type="noConversion"/>
  </si>
  <si>
    <t>9042A</t>
    <phoneticPr fontId="22" type="noConversion"/>
  </si>
  <si>
    <t>3701CN</t>
    <phoneticPr fontId="22" type="noConversion"/>
  </si>
  <si>
    <t>个</t>
    <phoneticPr fontId="22" type="noConversion"/>
  </si>
  <si>
    <t>0000151</t>
    <phoneticPr fontId="22" type="noConversion"/>
  </si>
  <si>
    <t>XOUT153071</t>
    <phoneticPr fontId="22" type="noConversion"/>
  </si>
  <si>
    <t>XOUT153095</t>
    <phoneticPr fontId="22" type="noConversion"/>
  </si>
  <si>
    <t>GM1212-06-02</t>
    <phoneticPr fontId="22" type="noConversion"/>
  </si>
  <si>
    <t xml:space="preserve">720P </t>
    <phoneticPr fontId="22" type="noConversion"/>
  </si>
  <si>
    <t>套</t>
    <phoneticPr fontId="22" type="noConversion"/>
  </si>
  <si>
    <t>37-175</t>
    <phoneticPr fontId="22" type="noConversion"/>
  </si>
  <si>
    <t>S0201212070072</t>
    <phoneticPr fontId="22" type="noConversion"/>
  </si>
  <si>
    <t>19193221</t>
  </si>
  <si>
    <t>16681110</t>
  </si>
  <si>
    <t>0000261</t>
    <phoneticPr fontId="22" type="noConversion"/>
  </si>
  <si>
    <t>XSD-2012-12-07</t>
    <phoneticPr fontId="22" type="noConversion"/>
  </si>
  <si>
    <t>19195091</t>
    <phoneticPr fontId="22" type="noConversion"/>
  </si>
  <si>
    <t>09538483</t>
    <phoneticPr fontId="22" type="noConversion"/>
  </si>
  <si>
    <t>09538484</t>
    <phoneticPr fontId="22" type="noConversion"/>
  </si>
  <si>
    <t>01312815</t>
    <phoneticPr fontId="22" type="noConversion"/>
  </si>
  <si>
    <t>重庆海兰服装劳保有限公司</t>
  </si>
  <si>
    <t>套</t>
    <phoneticPr fontId="22" type="noConversion"/>
  </si>
  <si>
    <t>重庆松藻矿山机械厂</t>
    <phoneticPr fontId="22" type="noConversion"/>
  </si>
  <si>
    <t>片</t>
    <phoneticPr fontId="22" type="noConversion"/>
  </si>
  <si>
    <t>48-125</t>
    <phoneticPr fontId="22" type="noConversion"/>
  </si>
  <si>
    <t>76-200</t>
    <phoneticPr fontId="22" type="noConversion"/>
  </si>
  <si>
    <t>手套</t>
    <phoneticPr fontId="22" type="noConversion"/>
  </si>
  <si>
    <t>重庆慧能标普科技有限公司</t>
    <phoneticPr fontId="22" type="noConversion"/>
  </si>
  <si>
    <t>00941201</t>
    <phoneticPr fontId="22" type="noConversion"/>
  </si>
  <si>
    <t>大竹县竹阳镇欣宏副食门市</t>
  </si>
  <si>
    <t>3501CN</t>
  </si>
  <si>
    <t xml:space="preserve">3N11CN </t>
  </si>
  <si>
    <t>自贡市汇东路西段春天花园A栋一层7号</t>
  </si>
  <si>
    <t>自贡市汇东路西段春天花园A栋一层8号</t>
  </si>
  <si>
    <t>自贡市汇东路西段春天花园A栋一层9号</t>
  </si>
  <si>
    <t>07046758</t>
    <phoneticPr fontId="22" type="noConversion"/>
  </si>
  <si>
    <t>颗粒物滤棉</t>
    <phoneticPr fontId="60" type="noConversion"/>
  </si>
  <si>
    <t>件</t>
    <phoneticPr fontId="22" type="noConversion"/>
  </si>
  <si>
    <t>XOUT153742</t>
    <phoneticPr fontId="22" type="noConversion"/>
  </si>
  <si>
    <t>易燃液体安全储存柜</t>
  </si>
  <si>
    <t>2012-12-6/2012-12-12</t>
    <phoneticPr fontId="22" type="noConversion"/>
  </si>
  <si>
    <t>WA810450</t>
  </si>
  <si>
    <t>青岛市威海路284号</t>
  </si>
  <si>
    <t>1*52  9样品</t>
    <phoneticPr fontId="60" type="noConversion"/>
  </si>
  <si>
    <t>00269135</t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</si>
  <si>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</si>
  <si>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焊接用防尘口罩</t>
    <phoneticPr fontId="22" type="noConversion"/>
  </si>
  <si>
    <t>颗粒物呼吸防护套</t>
    <phoneticPr fontId="22" type="noConversion"/>
  </si>
  <si>
    <t>经济型耳罩</t>
    <phoneticPr fontId="22" type="noConversion"/>
  </si>
  <si>
    <t>展架</t>
    <phoneticPr fontId="22" type="noConversion"/>
  </si>
  <si>
    <t>00084736</t>
    <phoneticPr fontId="22" type="noConversion"/>
  </si>
  <si>
    <t>自贡市双安劳动防护用品有限公司</t>
  </si>
  <si>
    <t>中行对公</t>
    <phoneticPr fontId="22" type="noConversion"/>
  </si>
  <si>
    <t>片</t>
    <phoneticPr fontId="22" type="noConversion"/>
  </si>
  <si>
    <t>出库</t>
    <phoneticPr fontId="22" type="noConversion"/>
  </si>
  <si>
    <t>样品</t>
    <phoneticPr fontId="22" type="noConversion"/>
  </si>
  <si>
    <t>罗丽取走</t>
    <phoneticPr fontId="22" type="noConversion"/>
  </si>
  <si>
    <t>76-501</t>
    <phoneticPr fontId="22" type="noConversion"/>
  </si>
  <si>
    <t>个</t>
    <phoneticPr fontId="22" type="noConversion"/>
  </si>
  <si>
    <t>片</t>
    <phoneticPr fontId="22" type="noConversion"/>
  </si>
  <si>
    <t>双</t>
    <phoneticPr fontId="22" type="noConversion"/>
  </si>
  <si>
    <t>3701CN</t>
    <phoneticPr fontId="22" type="noConversion"/>
  </si>
  <si>
    <t>0000182</t>
    <phoneticPr fontId="22" type="noConversion"/>
  </si>
  <si>
    <t>00941253</t>
    <phoneticPr fontId="22" type="noConversion"/>
  </si>
  <si>
    <t>01616716</t>
    <phoneticPr fontId="22" type="noConversion"/>
  </si>
  <si>
    <t>展架</t>
    <phoneticPr fontId="22" type="noConversion"/>
  </si>
  <si>
    <t>1621AF</t>
    <phoneticPr fontId="22" type="noConversion"/>
  </si>
  <si>
    <t>KY</t>
    <phoneticPr fontId="22" type="noConversion"/>
  </si>
  <si>
    <t>XHZLC30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</si>
  <si>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</si>
  <si>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6-200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</si>
  <si>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8-700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</si>
  <si>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8-126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</si>
  <si>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1-800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</si>
  <si>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0-225</t>
    </r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</si>
  <si>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</si>
  <si>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</si>
  <si>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</si>
  <si>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501CN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</si>
  <si>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002V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</si>
  <si>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</si>
  <si>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0-340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</si>
  <si>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</si>
  <si>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r>
      <t>7</t>
    </r>
    <r>
      <rPr>
        <sz val="10"/>
        <color indexed="8"/>
        <rFont val="宋体"/>
        <family val="3"/>
        <charset val="134"/>
      </rPr>
      <t>6-204</t>
    </r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</si>
  <si>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623AF</t>
    </r>
    <phoneticPr fontId="22" type="noConversion"/>
  </si>
  <si>
    <t xml:space="preserve"> 1611HC </t>
  </si>
  <si>
    <t>防化学透明丙酸酯面屏</t>
  </si>
  <si>
    <t>市场价</t>
    <phoneticPr fontId="22" type="noConversion"/>
  </si>
  <si>
    <t>铝制面屏支架</t>
  </si>
  <si>
    <t>免保养逃生呼吸器-氨气/甲胺气体</t>
    <phoneticPr fontId="22" type="noConversion"/>
  </si>
  <si>
    <t>可更换式逃生呼吸酸性气体</t>
    <phoneticPr fontId="22" type="noConversion"/>
  </si>
  <si>
    <t>7001CN</t>
    <phoneticPr fontId="22" type="noConversion"/>
  </si>
  <si>
    <t>340-8002</t>
    <phoneticPr fontId="22" type="noConversion"/>
  </si>
  <si>
    <t>7093C P100</t>
    <phoneticPr fontId="22" type="noConversion"/>
  </si>
  <si>
    <t>有机/无机/酸性气体滤盒</t>
    <phoneticPr fontId="22" type="noConversion"/>
  </si>
  <si>
    <t>ADFLO</t>
    <phoneticPr fontId="22" type="noConversion"/>
  </si>
  <si>
    <t>异味过滤棉</t>
    <phoneticPr fontId="22" type="noConversion"/>
  </si>
  <si>
    <t>3M_100</t>
    <phoneticPr fontId="22" type="noConversion"/>
  </si>
  <si>
    <t>全面罩</t>
    <phoneticPr fontId="22" type="noConversion"/>
  </si>
  <si>
    <t>H_110-10</t>
    <phoneticPr fontId="22" type="noConversion"/>
  </si>
  <si>
    <t>防护面屏</t>
  </si>
  <si>
    <t>防护头罩</t>
    <phoneticPr fontId="22" type="noConversion"/>
  </si>
  <si>
    <t>杜邦防护服</t>
    <phoneticPr fontId="22" type="noConversion"/>
  </si>
  <si>
    <t>macrobond5/6</t>
    <phoneticPr fontId="22" type="noConversion"/>
  </si>
  <si>
    <t>macrobond fr ultra</t>
    <phoneticPr fontId="22" type="noConversion"/>
  </si>
  <si>
    <t>candex</t>
    <phoneticPr fontId="22" type="noConversion"/>
  </si>
  <si>
    <t>头罩</t>
    <phoneticPr fontId="22" type="noConversion"/>
  </si>
  <si>
    <t>DSC3636</t>
    <phoneticPr fontId="22" type="noConversion"/>
  </si>
  <si>
    <t>L-132-10</t>
    <phoneticPr fontId="22" type="noConversion"/>
  </si>
  <si>
    <t>头盔镜片</t>
    <phoneticPr fontId="22" type="noConversion"/>
  </si>
  <si>
    <t>付</t>
    <phoneticPr fontId="22" type="noConversion"/>
  </si>
  <si>
    <t>0000191</t>
    <phoneticPr fontId="22" type="noConversion"/>
  </si>
  <si>
    <t>H_412</t>
    <phoneticPr fontId="22" type="noConversion"/>
  </si>
  <si>
    <t>BT_20S</t>
    <phoneticPr fontId="22" type="noConversion"/>
  </si>
  <si>
    <t>V_300</t>
    <phoneticPr fontId="22" type="noConversion"/>
  </si>
  <si>
    <t>5*0.8</t>
    <phoneticPr fontId="22" type="noConversion"/>
  </si>
  <si>
    <t>SOL-VEX-手套（9码）</t>
    <phoneticPr fontId="22" type="noConversion"/>
  </si>
  <si>
    <t>718102646483</t>
  </si>
  <si>
    <t>01432312</t>
    <phoneticPr fontId="22" type="noConversion"/>
  </si>
  <si>
    <t>718102646478</t>
  </si>
  <si>
    <t>718102646477</t>
  </si>
  <si>
    <t>戴奇林</t>
  </si>
  <si>
    <t>13984860222</t>
  </si>
  <si>
    <t>贵州省贵阳市中曹路97号</t>
  </si>
  <si>
    <t>320D</t>
    <phoneticPr fontId="22" type="noConversion"/>
  </si>
  <si>
    <t>渠道</t>
    <phoneticPr fontId="22" type="noConversion"/>
  </si>
  <si>
    <t>自提</t>
    <phoneticPr fontId="22" type="noConversion"/>
  </si>
  <si>
    <t>重庆海电风能集团有限公司</t>
    <phoneticPr fontId="22" type="noConversion"/>
  </si>
  <si>
    <t>退货</t>
    <phoneticPr fontId="22" type="noConversion"/>
  </si>
  <si>
    <t>9022A</t>
    <phoneticPr fontId="22" type="noConversion"/>
  </si>
  <si>
    <t>尘毒呼吸防护套装经济型</t>
    <phoneticPr fontId="22" type="noConversion"/>
  </si>
  <si>
    <t>320P</t>
    <phoneticPr fontId="22" type="noConversion"/>
  </si>
  <si>
    <t>9016255</t>
  </si>
  <si>
    <t>重庆国俊物资有限公司</t>
    <phoneticPr fontId="22" type="noConversion"/>
  </si>
  <si>
    <t>伍亮</t>
    <phoneticPr fontId="22" type="noConversion"/>
  </si>
  <si>
    <t xml:space="preserve">送货上门 </t>
    <phoneticPr fontId="22" type="noConversion"/>
  </si>
  <si>
    <t>品牌</t>
    <phoneticPr fontId="22" type="noConversion"/>
  </si>
  <si>
    <t>0000192</t>
    <phoneticPr fontId="22" type="noConversion"/>
  </si>
  <si>
    <t>01678482</t>
    <phoneticPr fontId="22" type="noConversion"/>
  </si>
  <si>
    <t>0000246</t>
    <phoneticPr fontId="22" type="noConversion"/>
  </si>
  <si>
    <t>0000168980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</si>
  <si>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</si>
  <si>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套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</si>
  <si>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M叶青</t>
    </r>
    <phoneticPr fontId="22" type="noConversion"/>
  </si>
  <si>
    <t>入库</t>
    <phoneticPr fontId="22" type="noConversion"/>
  </si>
  <si>
    <t>样品</t>
    <phoneticPr fontId="22" type="noConversion"/>
  </si>
  <si>
    <t>1*0.8</t>
    <phoneticPr fontId="22" type="noConversion"/>
  </si>
  <si>
    <t>4*0.8</t>
    <phoneticPr fontId="22" type="noConversion"/>
  </si>
  <si>
    <t>中行对公</t>
    <phoneticPr fontId="22" type="noConversion"/>
  </si>
  <si>
    <t>5006868</t>
    <phoneticPr fontId="22" type="noConversion"/>
  </si>
  <si>
    <t>00788706</t>
    <phoneticPr fontId="22" type="noConversion"/>
  </si>
  <si>
    <t>付</t>
    <phoneticPr fontId="22" type="noConversion"/>
  </si>
  <si>
    <t>0000250</t>
    <phoneticPr fontId="22" type="noConversion"/>
  </si>
  <si>
    <t>0000254</t>
    <phoneticPr fontId="22" type="noConversion"/>
  </si>
  <si>
    <t>条</t>
    <phoneticPr fontId="22" type="noConversion"/>
  </si>
  <si>
    <t>XOUT155215</t>
    <phoneticPr fontId="22" type="noConversion"/>
  </si>
  <si>
    <t>不开票</t>
    <phoneticPr fontId="22" type="noConversion"/>
  </si>
  <si>
    <t>3200CN</t>
    <phoneticPr fontId="60" type="noConversion"/>
  </si>
  <si>
    <r>
      <t>3</t>
    </r>
    <r>
      <rPr>
        <sz val="10"/>
        <color indexed="8"/>
        <rFont val="宋体"/>
        <family val="3"/>
        <charset val="134"/>
      </rPr>
      <t>200CN</t>
    </r>
    <phoneticPr fontId="22" type="noConversion"/>
  </si>
  <si>
    <t>赠送于远新商贸</t>
    <phoneticPr fontId="22" type="noConversion"/>
  </si>
  <si>
    <t xml:space="preserve">嘉烨 </t>
    <phoneticPr fontId="60" type="noConversion"/>
  </si>
  <si>
    <t>03569295</t>
    <phoneticPr fontId="22" type="noConversion"/>
  </si>
  <si>
    <t>金佰利</t>
    <phoneticPr fontId="22" type="noConversion"/>
  </si>
  <si>
    <t>06179</t>
    <phoneticPr fontId="22" type="noConversion"/>
  </si>
  <si>
    <t>5006869</t>
    <phoneticPr fontId="22" type="noConversion"/>
  </si>
  <si>
    <t>00528776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</si>
  <si>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</si>
  <si>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</si>
  <si>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</si>
  <si>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</si>
  <si>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t>Ansell手套</t>
    <phoneticPr fontId="22" type="noConversion"/>
  </si>
  <si>
    <t>双</t>
    <phoneticPr fontId="22" type="noConversion"/>
  </si>
  <si>
    <t>赠与黎安平</t>
    <phoneticPr fontId="22" type="noConversion"/>
  </si>
  <si>
    <t>不开票</t>
    <phoneticPr fontId="22" type="noConversion"/>
  </si>
  <si>
    <t>付</t>
    <phoneticPr fontId="22" type="noConversion"/>
  </si>
  <si>
    <t>亿捷通少给我们5付</t>
    <phoneticPr fontId="22" type="noConversion"/>
  </si>
  <si>
    <t>眼镜</t>
    <phoneticPr fontId="22" type="noConversion"/>
  </si>
  <si>
    <t>420D</t>
    <phoneticPr fontId="22" type="noConversion"/>
  </si>
  <si>
    <t>03569211</t>
    <phoneticPr fontId="22" type="noConversion"/>
  </si>
  <si>
    <t>0.43mm*1.0*1.0m</t>
    <phoneticPr fontId="22" type="noConversion"/>
  </si>
  <si>
    <t>00788710</t>
    <phoneticPr fontId="22" type="noConversion"/>
  </si>
  <si>
    <t>Ansell手套耐磨耐油手套 9号</t>
    <phoneticPr fontId="60" type="noConversion"/>
  </si>
  <si>
    <t>Ansell家用手套 7-8号</t>
    <phoneticPr fontId="60" type="noConversion"/>
  </si>
  <si>
    <t>业务员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</si>
  <si>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</si>
  <si>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</si>
  <si>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t>赠与宗申</t>
    <phoneticPr fontId="22" type="noConversion"/>
  </si>
  <si>
    <t>殷千兵</t>
    <phoneticPr fontId="22" type="noConversion"/>
  </si>
  <si>
    <t>KY</t>
    <phoneticPr fontId="22" type="noConversion"/>
  </si>
  <si>
    <t>农行对私</t>
    <phoneticPr fontId="22" type="noConversion"/>
  </si>
  <si>
    <t>只</t>
    <phoneticPr fontId="22" type="noConversion"/>
  </si>
  <si>
    <t>14093616</t>
    <phoneticPr fontId="22" type="noConversion"/>
  </si>
  <si>
    <t>7014149</t>
    <phoneticPr fontId="22" type="noConversion"/>
  </si>
  <si>
    <t>06658708</t>
    <phoneticPr fontId="22" type="noConversion"/>
  </si>
  <si>
    <t>/</t>
    <phoneticPr fontId="22" type="noConversion"/>
  </si>
  <si>
    <t>19335442</t>
    <phoneticPr fontId="22" type="noConversion"/>
  </si>
  <si>
    <t>3251CNL</t>
    <phoneticPr fontId="22" type="noConversion"/>
  </si>
  <si>
    <t>销售员</t>
    <phoneticPr fontId="53" type="noConversion"/>
  </si>
  <si>
    <t>品名</t>
    <phoneticPr fontId="53" type="noConversion"/>
  </si>
  <si>
    <t>型号</t>
    <phoneticPr fontId="53" type="noConversion"/>
  </si>
  <si>
    <t>单位</t>
    <phoneticPr fontId="53" type="noConversion"/>
  </si>
  <si>
    <t>备注</t>
    <phoneticPr fontId="53" type="noConversion"/>
  </si>
  <si>
    <t>高降噪子弹型带线耳塞</t>
    <phoneticPr fontId="53" type="noConversion"/>
  </si>
  <si>
    <t>半面型防护面罩（中号）</t>
    <phoneticPr fontId="53" type="noConversion"/>
  </si>
  <si>
    <t>硅胶半面型防护面罩</t>
    <phoneticPr fontId="53" type="noConversion"/>
  </si>
  <si>
    <t>颗粒物滤棉</t>
    <phoneticPr fontId="53" type="noConversion"/>
  </si>
  <si>
    <t>中国款防护眼镜</t>
    <phoneticPr fontId="53" type="noConversion"/>
  </si>
  <si>
    <t>亚洲款舒适型防化学护目镜</t>
    <phoneticPr fontId="53" type="noConversion"/>
  </si>
  <si>
    <t>有机气体防护口罩</t>
    <phoneticPr fontId="53" type="noConversion"/>
  </si>
  <si>
    <t>酸性气体防护口罩</t>
    <phoneticPr fontId="53" type="noConversion"/>
  </si>
  <si>
    <t>折叠式防护口罩( 头带式/ 标准号）</t>
    <phoneticPr fontId="53" type="noConversion"/>
  </si>
  <si>
    <t>防护口罩 (带呼吸阀）</t>
    <phoneticPr fontId="53" type="noConversion"/>
  </si>
  <si>
    <t>焊接用防尘口罩</t>
    <phoneticPr fontId="53" type="noConversion"/>
  </si>
  <si>
    <t>折叠式防护口罩 (灰色，头带式）</t>
    <phoneticPr fontId="53" type="noConversion"/>
  </si>
  <si>
    <t>有机蒸气异味及颗粒物防护口罩( 头带式)</t>
    <phoneticPr fontId="53" type="noConversion"/>
  </si>
  <si>
    <t>折叠式带阀防护口罩( 头带式/ 标准号）</t>
    <phoneticPr fontId="53" type="noConversion"/>
  </si>
  <si>
    <t>中国款流线型防护眼镜</t>
    <phoneticPr fontId="53" type="noConversion"/>
  </si>
  <si>
    <t>折叠式防护口罩</t>
    <phoneticPr fontId="53" type="noConversion"/>
  </si>
  <si>
    <t>焊接防护眼罩</t>
    <phoneticPr fontId="53" type="noConversion"/>
  </si>
  <si>
    <t>开会当展用</t>
    <phoneticPr fontId="53" type="noConversion"/>
  </si>
  <si>
    <t>李端</t>
    <phoneticPr fontId="53" type="noConversion"/>
  </si>
  <si>
    <t>流向</t>
    <phoneticPr fontId="22" type="noConversion"/>
  </si>
  <si>
    <t>个</t>
    <phoneticPr fontId="22" type="noConversion"/>
  </si>
  <si>
    <t>42-474</t>
    <phoneticPr fontId="22" type="noConversion"/>
  </si>
  <si>
    <t>件</t>
    <phoneticPr fontId="22" type="noConversion"/>
  </si>
  <si>
    <t>0003083</t>
    <phoneticPr fontId="22" type="noConversion"/>
  </si>
  <si>
    <t>个</t>
    <phoneticPr fontId="22" type="noConversion"/>
  </si>
  <si>
    <t>丁腈涂层防高温手套</t>
    <phoneticPr fontId="22" type="noConversion"/>
  </si>
  <si>
    <r>
      <t>3</t>
    </r>
    <r>
      <rPr>
        <sz val="9"/>
        <color indexed="8"/>
        <rFont val="宋体"/>
        <family val="3"/>
        <charset val="134"/>
      </rPr>
      <t>7-176</t>
    </r>
    <phoneticPr fontId="53" type="noConversion"/>
  </si>
  <si>
    <t>双</t>
    <phoneticPr fontId="53" type="noConversion"/>
  </si>
  <si>
    <t>样品</t>
    <phoneticPr fontId="53" type="noConversion"/>
  </si>
  <si>
    <t>殷千兵</t>
    <phoneticPr fontId="53" type="noConversion"/>
  </si>
  <si>
    <t>个</t>
    <phoneticPr fontId="22" type="noConversion"/>
  </si>
  <si>
    <t>件</t>
    <phoneticPr fontId="22" type="noConversion"/>
  </si>
  <si>
    <t>0001860</t>
    <phoneticPr fontId="22" type="noConversion"/>
  </si>
  <si>
    <t>0001857</t>
    <phoneticPr fontId="22" type="noConversion"/>
  </si>
  <si>
    <t>CB-D-7.5-26</t>
    <phoneticPr fontId="22" type="noConversion"/>
  </si>
  <si>
    <t>S02012122700008</t>
    <phoneticPr fontId="22" type="noConversion"/>
  </si>
  <si>
    <t>0006592</t>
    <phoneticPr fontId="22" type="noConversion"/>
  </si>
  <si>
    <t>GTY-GD-802</t>
    <phoneticPr fontId="22" type="noConversion"/>
  </si>
  <si>
    <t>CB-D-7.2-09</t>
    <phoneticPr fontId="22" type="noConversion"/>
  </si>
  <si>
    <t>312-1213</t>
    <phoneticPr fontId="60" type="noConversion"/>
  </si>
  <si>
    <t>312-1214</t>
    <phoneticPr fontId="60" type="noConversion"/>
  </si>
  <si>
    <t>圆柱型耳塞</t>
    <phoneticPr fontId="22" type="noConversion"/>
  </si>
  <si>
    <t>312-1214</t>
    <phoneticPr fontId="22" type="noConversion"/>
  </si>
  <si>
    <t>永兴赠送</t>
    <phoneticPr fontId="22" type="noConversion"/>
  </si>
  <si>
    <t>11263610</t>
    <phoneticPr fontId="22" type="noConversion"/>
  </si>
  <si>
    <t>个</t>
    <phoneticPr fontId="22" type="noConversion"/>
  </si>
  <si>
    <t>XSD-2013-01-06</t>
    <phoneticPr fontId="22" type="noConversion"/>
  </si>
  <si>
    <t>420D</t>
  </si>
  <si>
    <t>3701CN</t>
    <phoneticPr fontId="22" type="noConversion"/>
  </si>
  <si>
    <t>0001823</t>
    <phoneticPr fontId="22" type="noConversion"/>
  </si>
  <si>
    <t>02130139</t>
    <phoneticPr fontId="22" type="noConversion"/>
  </si>
  <si>
    <t>02129688</t>
    <phoneticPr fontId="22" type="noConversion"/>
  </si>
  <si>
    <t>宜宾市上走马街28号3楼A座</t>
  </si>
  <si>
    <t>18683180818</t>
  </si>
  <si>
    <t>S0201212210063</t>
    <phoneticPr fontId="22" type="noConversion"/>
  </si>
  <si>
    <t>0001834</t>
    <phoneticPr fontId="22" type="noConversion"/>
  </si>
  <si>
    <t>不开票</t>
    <phoneticPr fontId="22" type="noConversion"/>
  </si>
  <si>
    <t>片</t>
    <phoneticPr fontId="22" type="noConversion"/>
  </si>
  <si>
    <t>48.555</t>
    <phoneticPr fontId="60" type="noConversion"/>
  </si>
  <si>
    <t>24980392</t>
    <phoneticPr fontId="22" type="noConversion"/>
  </si>
  <si>
    <t>24980109/24980393</t>
    <phoneticPr fontId="22" type="noConversion"/>
  </si>
  <si>
    <t>8435.7/25307.1</t>
    <phoneticPr fontId="22" type="noConversion"/>
  </si>
  <si>
    <t>双</t>
    <phoneticPr fontId="22" type="noConversion"/>
  </si>
  <si>
    <t>小殷拿给客户看</t>
    <phoneticPr fontId="22" type="noConversion"/>
  </si>
  <si>
    <t>出库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</si>
  <si>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1-801</t>
    </r>
    <phoneticPr fontId="22" type="noConversion"/>
  </si>
  <si>
    <t>37-175</t>
    <phoneticPr fontId="22" type="noConversion"/>
  </si>
  <si>
    <t>09152068</t>
    <phoneticPr fontId="22" type="noConversion"/>
  </si>
  <si>
    <t>顺丰：112503820672</t>
    <phoneticPr fontId="22" type="noConversion"/>
  </si>
  <si>
    <t>折叠式防护口罩（双片包装）</t>
    <phoneticPr fontId="60" type="noConversion"/>
  </si>
  <si>
    <t>个</t>
    <phoneticPr fontId="22" type="noConversion"/>
  </si>
  <si>
    <t>李总给客户看</t>
    <phoneticPr fontId="22" type="noConversion"/>
  </si>
  <si>
    <t>P95 颗粒物滤棉</t>
  </si>
  <si>
    <t>舒适版 N95 防护口罩</t>
  </si>
  <si>
    <t>N95 防护罩（中英文防伪包装）</t>
  </si>
  <si>
    <t>( 带把手)</t>
  </si>
  <si>
    <t>Ultrafit27 圣诞树型带线耳塞( 带把手)</t>
    <phoneticPr fontId="60" type="noConversion"/>
  </si>
  <si>
    <t>Ultrafit 圣诞树型带线耳塞</t>
    <phoneticPr fontId="60" type="noConversion"/>
  </si>
  <si>
    <t>P95 酸性气体及颗粒物防护口罩</t>
  </si>
  <si>
    <t>中国款流线型防护眼镜（灰色镜片，防雾）</t>
    <phoneticPr fontId="22" type="noConversion"/>
  </si>
  <si>
    <t>9102C</t>
    <phoneticPr fontId="22" type="noConversion"/>
  </si>
  <si>
    <t>入库单</t>
    <phoneticPr fontId="22" type="noConversion"/>
  </si>
  <si>
    <t>0001805</t>
    <phoneticPr fontId="22" type="noConversion"/>
  </si>
  <si>
    <t>个</t>
    <phoneticPr fontId="22" type="noConversion"/>
  </si>
  <si>
    <t>手套耐磨耐油手套 9号</t>
  </si>
  <si>
    <t>镀铝防护面屏（透明）</t>
    <phoneticPr fontId="60" type="noConversion"/>
  </si>
  <si>
    <t>聚碳酸酯面屏</t>
    <phoneticPr fontId="60" type="noConversion"/>
  </si>
  <si>
    <t>镀铝防护面屏</t>
    <phoneticPr fontId="60" type="noConversion"/>
  </si>
  <si>
    <t>Ansell手套</t>
    <phoneticPr fontId="60" type="noConversion"/>
  </si>
  <si>
    <t>Ansell家用手套 8-9号</t>
    <phoneticPr fontId="60" type="noConversion"/>
  </si>
  <si>
    <t>可更换式逃生呼吸酸性气体</t>
    <phoneticPr fontId="60" type="noConversion"/>
  </si>
  <si>
    <t>有机蒸气滤毒盒</t>
    <phoneticPr fontId="60" type="noConversion"/>
  </si>
  <si>
    <t>全面型防护面罩</t>
    <phoneticPr fontId="60" type="noConversion"/>
  </si>
  <si>
    <t>颗粒物呼吸防护套装经济型</t>
    <phoneticPr fontId="60" type="noConversion"/>
  </si>
  <si>
    <t>急救包</t>
    <phoneticPr fontId="60" type="noConversion"/>
  </si>
  <si>
    <t>颗粒物滤尘盒</t>
    <phoneticPr fontId="60" type="noConversion"/>
  </si>
  <si>
    <t>620P 尘毒呼吸防护套装(MRO)实用型</t>
    <phoneticPr fontId="60" type="noConversion"/>
  </si>
  <si>
    <t>待查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</si>
  <si>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</si>
  <si>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1</t>
    </r>
    <r>
      <rPr>
        <sz val="9"/>
        <color indexed="8"/>
        <rFont val="宋体"/>
        <family val="3"/>
        <charset val="134"/>
      </rPr>
      <t>1-801</t>
    </r>
    <phoneticPr fontId="53" type="noConversion"/>
  </si>
  <si>
    <t>SOL-VEX-手套</t>
    <phoneticPr fontId="53" type="noConversion"/>
  </si>
  <si>
    <t>Ansell手套</t>
    <phoneticPr fontId="53" type="noConversion"/>
  </si>
  <si>
    <r>
      <t>3</t>
    </r>
    <r>
      <rPr>
        <sz val="9"/>
        <color indexed="8"/>
        <rFont val="宋体"/>
        <family val="3"/>
        <charset val="134"/>
      </rPr>
      <t>7-175</t>
    </r>
    <phoneticPr fontId="53" type="noConversion"/>
  </si>
  <si>
    <t>颗粒物防尘口罩-蓝色</t>
    <phoneticPr fontId="53" type="noConversion"/>
  </si>
  <si>
    <t>SOL-VEX-手套（9码）</t>
    <phoneticPr fontId="53" type="noConversion"/>
  </si>
  <si>
    <t>391-1001</t>
    <phoneticPr fontId="22" type="noConversion"/>
  </si>
  <si>
    <t>付</t>
    <phoneticPr fontId="22" type="noConversion"/>
  </si>
  <si>
    <t>/</t>
    <phoneticPr fontId="22" type="noConversion"/>
  </si>
  <si>
    <t>顺丰：112723792597</t>
    <phoneticPr fontId="22" type="noConversion"/>
  </si>
  <si>
    <t>退货</t>
    <phoneticPr fontId="22" type="noConversion"/>
  </si>
  <si>
    <t>个</t>
    <phoneticPr fontId="22" type="noConversion"/>
  </si>
  <si>
    <t>围腰</t>
  </si>
  <si>
    <t>护目镜（防化学物飞溅）</t>
  </si>
  <si>
    <t>XSD-2013-01-15</t>
    <phoneticPr fontId="22" type="noConversion"/>
  </si>
  <si>
    <t>个</t>
    <phoneticPr fontId="22" type="noConversion"/>
  </si>
  <si>
    <t>防雾护目镜（防化学物飞溅，防雾）</t>
    <phoneticPr fontId="60" type="noConversion"/>
  </si>
  <si>
    <t>付</t>
    <phoneticPr fontId="22" type="noConversion"/>
  </si>
  <si>
    <t>11-800</t>
    <phoneticPr fontId="22" type="noConversion"/>
  </si>
  <si>
    <t>双</t>
    <phoneticPr fontId="22" type="noConversion"/>
  </si>
  <si>
    <t>0001811</t>
    <phoneticPr fontId="22" type="noConversion"/>
  </si>
  <si>
    <t>XK-T-20130109-0019</t>
    <phoneticPr fontId="22" type="noConversion"/>
  </si>
  <si>
    <t>XOUT157398</t>
    <phoneticPr fontId="22" type="noConversion"/>
  </si>
  <si>
    <t>/</t>
    <phoneticPr fontId="22" type="noConversion"/>
  </si>
  <si>
    <t>折叠式防尘口罩</t>
    <phoneticPr fontId="22" type="noConversion"/>
  </si>
  <si>
    <t>发货日期</t>
    <phoneticPr fontId="22" type="noConversion"/>
  </si>
  <si>
    <t>折叠式防护口罩(环保包装）</t>
  </si>
  <si>
    <t>N95 焊接用防尘口罩( 防臭氧）</t>
  </si>
  <si>
    <t>N95 医用防护口罩</t>
  </si>
  <si>
    <t>环保包装折叠式防护口罩（灰色，头带式）</t>
    <phoneticPr fontId="22" type="noConversion"/>
  </si>
  <si>
    <t>SA201301100103</t>
    <phoneticPr fontId="22" type="noConversion"/>
  </si>
  <si>
    <t>0001816</t>
    <phoneticPr fontId="22" type="noConversion"/>
  </si>
  <si>
    <t>6001CN</t>
    <phoneticPr fontId="22" type="noConversion"/>
  </si>
  <si>
    <t>GM1301-17-01</t>
    <phoneticPr fontId="22" type="noConversion"/>
  </si>
  <si>
    <t>9042A</t>
    <phoneticPr fontId="22" type="noConversion"/>
  </si>
  <si>
    <t>9002A</t>
    <phoneticPr fontId="22" type="noConversion"/>
  </si>
  <si>
    <t>/</t>
    <phoneticPr fontId="22" type="noConversion"/>
  </si>
  <si>
    <t>SA201301110114</t>
    <phoneticPr fontId="22" type="noConversion"/>
  </si>
  <si>
    <t>02006730</t>
    <phoneticPr fontId="22" type="noConversion"/>
  </si>
  <si>
    <t>1621AF</t>
    <phoneticPr fontId="22" type="noConversion"/>
  </si>
  <si>
    <t>02006729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</si>
  <si>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042A</t>
    </r>
    <phoneticPr fontId="22" type="noConversion"/>
  </si>
  <si>
    <t>个</t>
    <phoneticPr fontId="22" type="noConversion"/>
  </si>
  <si>
    <t>罗丽</t>
    <phoneticPr fontId="22" type="noConversion"/>
  </si>
  <si>
    <t>CB-D-7.5-26</t>
    <phoneticPr fontId="22" type="noConversion"/>
  </si>
  <si>
    <t>做展架</t>
    <phoneticPr fontId="22" type="noConversion"/>
  </si>
  <si>
    <t>双片包装折叠式防护口罩（耳带式/ 标准号）</t>
    <phoneticPr fontId="60" type="noConversion"/>
  </si>
  <si>
    <t>9001A</t>
    <phoneticPr fontId="60" type="noConversion"/>
  </si>
  <si>
    <t>1.5</t>
    <phoneticPr fontId="60" type="noConversion"/>
  </si>
  <si>
    <t>渝北广源退货</t>
    <phoneticPr fontId="60" type="noConversion"/>
  </si>
  <si>
    <t>9002A</t>
    <phoneticPr fontId="22" type="noConversion"/>
  </si>
  <si>
    <t>农行对私</t>
    <phoneticPr fontId="22" type="noConversion"/>
  </si>
  <si>
    <t>JTY-GD-802</t>
  </si>
  <si>
    <t>GA502Q</t>
  </si>
  <si>
    <t>独立式燃气报警器</t>
  </si>
  <si>
    <t>深圳市铠卫安全技术有限公司</t>
  </si>
  <si>
    <t>2嘉烨  0*35.6</t>
    <phoneticPr fontId="22" type="noConversion"/>
  </si>
  <si>
    <t>P100 颗粒物滤棉</t>
    <phoneticPr fontId="60" type="noConversion"/>
  </si>
  <si>
    <t>片</t>
    <phoneticPr fontId="22" type="noConversion"/>
  </si>
  <si>
    <t>0003307</t>
    <phoneticPr fontId="22" type="noConversion"/>
  </si>
  <si>
    <t>862.5</t>
    <phoneticPr fontId="60" type="noConversion"/>
  </si>
  <si>
    <t>03655796</t>
    <phoneticPr fontId="22" type="noConversion"/>
  </si>
  <si>
    <t>00238732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</si>
  <si>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8-913</t>
    </r>
    <phoneticPr fontId="22" type="noConversion"/>
  </si>
  <si>
    <t>双</t>
    <phoneticPr fontId="22" type="noConversion"/>
  </si>
  <si>
    <t>出库</t>
    <phoneticPr fontId="22" type="noConversion"/>
  </si>
  <si>
    <t>样品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</si>
  <si>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8-126</t>
    </r>
    <phoneticPr fontId="22" type="noConversion"/>
  </si>
  <si>
    <t>有机气体防护口罩( 中文包装）</t>
    <phoneticPr fontId="22" type="noConversion"/>
  </si>
  <si>
    <t>Ansell手套耐磨耐油手套 9号</t>
    <phoneticPr fontId="22" type="noConversion"/>
  </si>
  <si>
    <t>Edge</t>
  </si>
  <si>
    <r>
      <t>1</t>
    </r>
    <r>
      <rPr>
        <sz val="11"/>
        <color indexed="8"/>
        <rFont val="宋体"/>
        <family val="3"/>
        <charset val="134"/>
      </rPr>
      <t>1-624</t>
    </r>
    <phoneticPr fontId="68" type="noConversion"/>
  </si>
  <si>
    <r>
      <t>3</t>
    </r>
    <r>
      <rPr>
        <sz val="11"/>
        <color indexed="8"/>
        <rFont val="宋体"/>
        <family val="3"/>
        <charset val="134"/>
      </rPr>
      <t>7-176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</si>
  <si>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8-125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</si>
  <si>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8-126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</si>
  <si>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8-305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</si>
  <si>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8-500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</si>
  <si>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8-501</t>
    </r>
    <phoneticPr fontId="68" type="noConversion"/>
  </si>
  <si>
    <r>
      <t>4</t>
    </r>
    <r>
      <rPr>
        <sz val="11"/>
        <color indexed="8"/>
        <rFont val="宋体"/>
        <family val="3"/>
        <charset val="134"/>
      </rPr>
      <t>8-700</t>
    </r>
    <phoneticPr fontId="68" type="noConversion"/>
  </si>
  <si>
    <r>
      <t>7</t>
    </r>
    <r>
      <rPr>
        <sz val="11"/>
        <color indexed="8"/>
        <rFont val="宋体"/>
        <family val="3"/>
        <charset val="134"/>
      </rPr>
      <t>6-202</t>
    </r>
    <phoneticPr fontId="68" type="noConversion"/>
  </si>
  <si>
    <r>
      <t>7</t>
    </r>
    <r>
      <rPr>
        <sz val="11"/>
        <color indexed="8"/>
        <rFont val="宋体"/>
        <family val="3"/>
        <charset val="134"/>
      </rPr>
      <t>6-501</t>
    </r>
    <phoneticPr fontId="68" type="noConversion"/>
  </si>
  <si>
    <r>
      <t>8</t>
    </r>
    <r>
      <rPr>
        <sz val="11"/>
        <color indexed="8"/>
        <rFont val="宋体"/>
        <family val="3"/>
        <charset val="134"/>
      </rPr>
      <t>7-650</t>
    </r>
    <phoneticPr fontId="68" type="noConversion"/>
  </si>
  <si>
    <r>
      <t>8</t>
    </r>
    <r>
      <rPr>
        <sz val="11"/>
        <color indexed="8"/>
        <rFont val="宋体"/>
        <family val="3"/>
        <charset val="134"/>
      </rPr>
      <t>7-950</t>
    </r>
    <phoneticPr fontId="68" type="noConversion"/>
  </si>
  <si>
    <t>个</t>
    <phoneticPr fontId="22" type="noConversion"/>
  </si>
  <si>
    <t>19.8</t>
    <phoneticPr fontId="60" type="noConversion"/>
  </si>
  <si>
    <t>/</t>
    <phoneticPr fontId="22" type="noConversion"/>
  </si>
  <si>
    <t>消防过滤式自救式呼吸器</t>
  </si>
  <si>
    <t>个</t>
    <phoneticPr fontId="22" type="noConversion"/>
  </si>
  <si>
    <t>07199924</t>
    <phoneticPr fontId="22" type="noConversion"/>
  </si>
  <si>
    <t>11263621/11263623</t>
    <phoneticPr fontId="22" type="noConversion"/>
  </si>
  <si>
    <t>020006762</t>
    <phoneticPr fontId="22" type="noConversion"/>
  </si>
  <si>
    <t>02627897</t>
    <phoneticPr fontId="22" type="noConversion"/>
  </si>
  <si>
    <t>滤棉承接盒</t>
  </si>
  <si>
    <t>340-4004</t>
    <phoneticPr fontId="22" type="noConversion"/>
  </si>
  <si>
    <t>付</t>
    <phoneticPr fontId="22" type="noConversion"/>
  </si>
  <si>
    <t>43-116</t>
    <phoneticPr fontId="22" type="noConversion"/>
  </si>
  <si>
    <t>双</t>
    <phoneticPr fontId="22" type="noConversion"/>
  </si>
  <si>
    <t>个</t>
    <phoneticPr fontId="22" type="noConversion"/>
  </si>
  <si>
    <t>92-670</t>
    <phoneticPr fontId="22" type="noConversion"/>
  </si>
  <si>
    <t>盒</t>
    <phoneticPr fontId="22" type="noConversion"/>
  </si>
  <si>
    <t>3701CN</t>
    <phoneticPr fontId="22" type="noConversion"/>
  </si>
  <si>
    <t>片</t>
    <phoneticPr fontId="22" type="noConversion"/>
  </si>
  <si>
    <t>无纺布手提袋</t>
    <phoneticPr fontId="68" type="noConversion"/>
  </si>
  <si>
    <t>单价成本</t>
    <phoneticPr fontId="60" type="noConversion"/>
  </si>
  <si>
    <t>合计</t>
    <phoneticPr fontId="68" type="noConversion"/>
  </si>
  <si>
    <t>0003330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</si>
  <si>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</si>
  <si>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8-501</t>
    </r>
    <phoneticPr fontId="22" type="noConversion"/>
  </si>
  <si>
    <t>双</t>
    <phoneticPr fontId="22" type="noConversion"/>
  </si>
  <si>
    <t>已付</t>
    <phoneticPr fontId="22" type="noConversion"/>
  </si>
  <si>
    <t>2013-1-24</t>
    <phoneticPr fontId="22" type="noConversion"/>
  </si>
  <si>
    <t>不开票</t>
    <phoneticPr fontId="22" type="noConversion"/>
  </si>
  <si>
    <t>01871941</t>
    <phoneticPr fontId="22" type="noConversion"/>
  </si>
  <si>
    <t>7093 P100</t>
    <phoneticPr fontId="22" type="noConversion"/>
  </si>
  <si>
    <t>付</t>
    <phoneticPr fontId="22" type="noConversion"/>
  </si>
  <si>
    <t>XOUT158302</t>
    <phoneticPr fontId="22" type="noConversion"/>
  </si>
  <si>
    <t>淮海牌</t>
  </si>
  <si>
    <t>1公斤</t>
  </si>
  <si>
    <t>1公斤</t>
    <phoneticPr fontId="22" type="noConversion"/>
  </si>
  <si>
    <t>2公斤</t>
  </si>
  <si>
    <t>只</t>
    <phoneticPr fontId="22" type="noConversion"/>
  </si>
  <si>
    <t>/</t>
    <phoneticPr fontId="22" type="noConversion"/>
  </si>
  <si>
    <t>0003340</t>
    <phoneticPr fontId="22" type="noConversion"/>
  </si>
  <si>
    <t>02196787-788</t>
    <phoneticPr fontId="22" type="noConversion"/>
  </si>
  <si>
    <t>个</t>
    <phoneticPr fontId="22" type="noConversion"/>
  </si>
  <si>
    <t>7093 P100</t>
    <phoneticPr fontId="22" type="noConversion"/>
  </si>
  <si>
    <t>片</t>
    <phoneticPr fontId="22" type="noConversion"/>
  </si>
  <si>
    <t>农行对私</t>
    <phoneticPr fontId="22" type="noConversion"/>
  </si>
  <si>
    <t>2091 P100</t>
    <phoneticPr fontId="22" type="noConversion"/>
  </si>
  <si>
    <t>/</t>
    <phoneticPr fontId="22" type="noConversion"/>
  </si>
  <si>
    <t>中行对公</t>
    <phoneticPr fontId="22" type="noConversion"/>
  </si>
  <si>
    <t>折叠式防尘口罩</t>
    <phoneticPr fontId="22" type="noConversion"/>
  </si>
  <si>
    <t>折叠式防护口罩（环保包装）</t>
    <phoneticPr fontId="22" type="noConversion"/>
  </si>
  <si>
    <t>预过滤棉</t>
    <phoneticPr fontId="22" type="noConversion"/>
  </si>
  <si>
    <t>多用气体/蒸气滤毒盒</t>
    <phoneticPr fontId="22" type="noConversion"/>
  </si>
  <si>
    <t>中国款流线型防护眼镜（灰色镜片，防雾）</t>
    <phoneticPr fontId="22" type="noConversion"/>
  </si>
  <si>
    <t>滤棉盖</t>
    <phoneticPr fontId="22" type="noConversion"/>
  </si>
  <si>
    <t>舒适型防尘口罩</t>
    <phoneticPr fontId="22" type="noConversion"/>
  </si>
  <si>
    <t>有机气体防护口罩( 中文包装）</t>
    <phoneticPr fontId="60" type="noConversion"/>
  </si>
  <si>
    <t>防护眼镜（防雾），蓝色镜架</t>
    <phoneticPr fontId="22" type="noConversion"/>
  </si>
  <si>
    <t>双面胶</t>
    <phoneticPr fontId="22" type="noConversion"/>
  </si>
  <si>
    <t>颗粒物滤棉</t>
    <phoneticPr fontId="22" type="noConversion"/>
  </si>
  <si>
    <t>绿色带帽连体防护服 L</t>
    <phoneticPr fontId="22" type="noConversion"/>
  </si>
  <si>
    <t>绿色带帽连体防护服 XL</t>
    <phoneticPr fontId="22" type="noConversion"/>
  </si>
  <si>
    <t>绿色带帽连体防护服 M</t>
    <phoneticPr fontId="22" type="noConversion"/>
  </si>
  <si>
    <t>防护口罩( 头带式/ 标准号）</t>
    <phoneticPr fontId="22" type="noConversion"/>
  </si>
  <si>
    <t>防护服M</t>
    <phoneticPr fontId="22" type="noConversion"/>
  </si>
  <si>
    <t>防护服L</t>
    <phoneticPr fontId="22" type="noConversion"/>
  </si>
  <si>
    <t>口罩</t>
    <phoneticPr fontId="22" type="noConversion"/>
  </si>
  <si>
    <t>有机蒸气滤毒盒</t>
    <phoneticPr fontId="22" type="noConversion"/>
  </si>
  <si>
    <t>中国款流线型防护眼镜（防刮擦）</t>
    <phoneticPr fontId="22" type="noConversion"/>
  </si>
  <si>
    <t>口罩（环保包装）</t>
    <phoneticPr fontId="22" type="noConversion"/>
  </si>
  <si>
    <t>Polar Grip-手套</t>
    <phoneticPr fontId="22" type="noConversion"/>
  </si>
  <si>
    <t>有机气体滤毒盒</t>
    <phoneticPr fontId="22" type="noConversion"/>
  </si>
  <si>
    <t>耳罩</t>
    <phoneticPr fontId="22" type="noConversion"/>
  </si>
  <si>
    <t>颗粒物呼吸防护套装(MRO)经济</t>
    <phoneticPr fontId="22" type="noConversion"/>
  </si>
  <si>
    <t>尘毒呼吸防护套装(MRO)经济型</t>
    <phoneticPr fontId="22" type="noConversion"/>
  </si>
  <si>
    <t>尘毒呼吸防护套装(MRO)舒适型</t>
    <phoneticPr fontId="22" type="noConversion"/>
  </si>
  <si>
    <t>尘毒呼吸防护套装(MRO)实用型</t>
    <phoneticPr fontId="22" type="noConversion"/>
  </si>
  <si>
    <t>颗粒物防尘口罩-蓝色</t>
    <phoneticPr fontId="22" type="noConversion"/>
  </si>
  <si>
    <t>颗粒物防护口罩-蓝色</t>
    <phoneticPr fontId="22" type="noConversion"/>
  </si>
  <si>
    <t>折叠式耳罩 - 中文包装</t>
    <phoneticPr fontId="22" type="noConversion"/>
  </si>
  <si>
    <t>焊接眼罩（IR5.0)</t>
    <phoneticPr fontId="22" type="noConversion"/>
  </si>
  <si>
    <t>下水服42码</t>
    <phoneticPr fontId="22" type="noConversion"/>
  </si>
  <si>
    <t>Ultrafit 圣诞树型带线耳塞</t>
    <phoneticPr fontId="22" type="noConversion"/>
  </si>
  <si>
    <t>有机及酸性气体滤毒盒</t>
    <phoneticPr fontId="22" type="noConversion"/>
  </si>
  <si>
    <t>半面型防护面罩</t>
    <phoneticPr fontId="22" type="noConversion"/>
  </si>
  <si>
    <t>防化服</t>
    <phoneticPr fontId="22" type="noConversion"/>
  </si>
  <si>
    <t>100V自动变光焊接面罩</t>
    <phoneticPr fontId="22" type="noConversion"/>
  </si>
  <si>
    <t>圣诞树型带线耳塞</t>
    <phoneticPr fontId="22" type="noConversion"/>
  </si>
  <si>
    <t>舒适型头箍</t>
    <phoneticPr fontId="22" type="noConversion"/>
  </si>
  <si>
    <t>防化学透明聚碳酸酯面屏</t>
    <phoneticPr fontId="22" type="noConversion"/>
  </si>
  <si>
    <t>耳塞分配器底座</t>
    <phoneticPr fontId="22" type="noConversion"/>
  </si>
  <si>
    <t>便携式洗眼器</t>
    <phoneticPr fontId="22" type="noConversion"/>
  </si>
  <si>
    <t>办公室急救箱</t>
    <phoneticPr fontId="22" type="noConversion"/>
  </si>
  <si>
    <t>酸性气体防护口罩</t>
    <phoneticPr fontId="22" type="noConversion"/>
  </si>
  <si>
    <t>折叠式防护口罩</t>
    <phoneticPr fontId="22" type="noConversion"/>
  </si>
  <si>
    <t>滤棉盖（旧）</t>
    <phoneticPr fontId="22" type="noConversion"/>
  </si>
  <si>
    <t>下水裤（40#）</t>
    <phoneticPr fontId="22" type="noConversion"/>
  </si>
  <si>
    <t>下水裤（38#）</t>
    <phoneticPr fontId="22" type="noConversion"/>
  </si>
  <si>
    <t>化纤单上衣</t>
    <phoneticPr fontId="22" type="noConversion"/>
  </si>
  <si>
    <t>镀铝防护面屏</t>
    <phoneticPr fontId="22" type="noConversion"/>
  </si>
  <si>
    <t>颗粒物滤尘盒</t>
    <phoneticPr fontId="22" type="noConversion"/>
  </si>
  <si>
    <t>全面型防护面罩</t>
    <phoneticPr fontId="22" type="noConversion"/>
  </si>
  <si>
    <t>圆柱型耳塞( 配合耳塞分配器使用）</t>
    <phoneticPr fontId="22" type="noConversion"/>
  </si>
  <si>
    <t>有机蒸汽滤毒盒</t>
    <phoneticPr fontId="22" type="noConversion"/>
  </si>
  <si>
    <t>有机气体及颗粒物防护口罩</t>
    <phoneticPr fontId="22" type="noConversion"/>
  </si>
  <si>
    <t>折叠式吸收棉</t>
    <phoneticPr fontId="22" type="noConversion"/>
  </si>
  <si>
    <t>有机蒸气异味及颗粒物防护口罩</t>
    <phoneticPr fontId="22" type="noConversion"/>
  </si>
  <si>
    <t>代尔塔安全鞋</t>
    <phoneticPr fontId="22" type="noConversion"/>
  </si>
  <si>
    <t>中国款流线型防护眼镜</t>
    <phoneticPr fontId="22" type="noConversion"/>
  </si>
  <si>
    <t>白色带帽连体防护服 XL</t>
    <phoneticPr fontId="22" type="noConversion"/>
  </si>
  <si>
    <t>防护口罩 (灰色，头带式）</t>
    <phoneticPr fontId="22" type="noConversion"/>
  </si>
  <si>
    <t>双滤盒半面罩</t>
    <phoneticPr fontId="22" type="noConversion"/>
  </si>
  <si>
    <t>滤毒盒</t>
    <phoneticPr fontId="22" type="noConversion"/>
  </si>
  <si>
    <t>全面具视窗保护膜</t>
    <phoneticPr fontId="22" type="noConversion"/>
  </si>
  <si>
    <t>手提挂墙急救箱</t>
    <phoneticPr fontId="22" type="noConversion"/>
  </si>
  <si>
    <t>有机蒸气异味及颗粒物滤棉</t>
    <phoneticPr fontId="22" type="noConversion"/>
  </si>
  <si>
    <t>滤棉承接座</t>
    <phoneticPr fontId="22" type="noConversion"/>
  </si>
  <si>
    <t>斯博瑞安 安全鞋</t>
    <phoneticPr fontId="22" type="noConversion"/>
  </si>
  <si>
    <t>爱护佳免洗手消毒液</t>
    <phoneticPr fontId="22" type="noConversion"/>
  </si>
  <si>
    <t>子弹型带线耳塞</t>
    <phoneticPr fontId="22" type="noConversion"/>
  </si>
  <si>
    <t>时尚型防护眼镜</t>
    <phoneticPr fontId="22" type="noConversion"/>
  </si>
  <si>
    <t>汞蒸气/ 氯气滤毒盒</t>
    <phoneticPr fontId="22" type="noConversion"/>
  </si>
  <si>
    <t>有机/无机/酸性气体滤毒盒</t>
    <phoneticPr fontId="22" type="noConversion"/>
  </si>
  <si>
    <t>消防电绝缘服</t>
    <phoneticPr fontId="22" type="noConversion"/>
  </si>
  <si>
    <t>折叠式带阀防护口罩</t>
    <phoneticPr fontId="22" type="noConversion"/>
  </si>
  <si>
    <t>颗粒物呼吸防护组合</t>
    <phoneticPr fontId="22" type="noConversion"/>
  </si>
  <si>
    <t>中国款防护眼镜</t>
    <phoneticPr fontId="22" type="noConversion"/>
  </si>
  <si>
    <t>面罩吸气口垫圈</t>
    <phoneticPr fontId="22" type="noConversion"/>
  </si>
  <si>
    <t>面罩吸气阀</t>
    <phoneticPr fontId="22" type="noConversion"/>
  </si>
  <si>
    <t>经济型焊接用防尘口罩</t>
    <phoneticPr fontId="22" type="noConversion"/>
  </si>
  <si>
    <t>100V自动变光焊接面罩保护片</t>
    <phoneticPr fontId="22" type="noConversion"/>
  </si>
  <si>
    <t>白色带帽连体防护服 L</t>
    <phoneticPr fontId="22" type="noConversion"/>
  </si>
  <si>
    <t>素色长雨衣</t>
    <phoneticPr fontId="22" type="noConversion"/>
  </si>
  <si>
    <t>深蓝色耐用聚酯纤维带PVC点塑</t>
    <phoneticPr fontId="22" type="noConversion"/>
  </si>
  <si>
    <t>消防过滤式自救式呼吸器</t>
    <phoneticPr fontId="22" type="noConversion"/>
  </si>
  <si>
    <t>防雾护目镜</t>
    <phoneticPr fontId="22" type="noConversion"/>
  </si>
  <si>
    <t>头罩组合</t>
    <phoneticPr fontId="22" type="noConversion"/>
  </si>
  <si>
    <t>呼吸管</t>
    <phoneticPr fontId="22" type="noConversion"/>
  </si>
  <si>
    <t>空气调节阀</t>
    <phoneticPr fontId="22" type="noConversion"/>
  </si>
  <si>
    <t>连体防护服 L号</t>
    <phoneticPr fontId="22" type="noConversion"/>
  </si>
  <si>
    <t>Ultrafit27 圣诞树型带线耳塞( 带把手)</t>
    <phoneticPr fontId="22" type="noConversion"/>
  </si>
  <si>
    <t>双胶围腰</t>
    <phoneticPr fontId="22" type="noConversion"/>
  </si>
  <si>
    <t>白帆布围腰</t>
    <phoneticPr fontId="22" type="noConversion"/>
  </si>
  <si>
    <t>牛仔布围腰</t>
    <phoneticPr fontId="22" type="noConversion"/>
  </si>
  <si>
    <t>防水围腰</t>
    <phoneticPr fontId="22" type="noConversion"/>
  </si>
  <si>
    <t>防水皮围腰</t>
    <phoneticPr fontId="22" type="noConversion"/>
  </si>
  <si>
    <t>经济型耳罩</t>
    <phoneticPr fontId="22" type="noConversion"/>
  </si>
  <si>
    <t>W5无尘擦拭布</t>
    <phoneticPr fontId="22" type="noConversion"/>
  </si>
  <si>
    <t>舒适型面屏支架</t>
    <phoneticPr fontId="22" type="noConversion"/>
  </si>
  <si>
    <t>急救包</t>
    <phoneticPr fontId="22" type="noConversion"/>
  </si>
  <si>
    <t>独立式光电感烟探测器</t>
    <phoneticPr fontId="22" type="noConversion"/>
  </si>
  <si>
    <t>灭火毯</t>
    <phoneticPr fontId="22" type="noConversion"/>
  </si>
  <si>
    <t>丁腈涂层防高温手套</t>
    <phoneticPr fontId="22" type="noConversion"/>
  </si>
  <si>
    <t>杜邦防护服</t>
    <phoneticPr fontId="22" type="noConversion"/>
  </si>
  <si>
    <t>N100 高效防护口罩</t>
    <phoneticPr fontId="22" type="noConversion"/>
  </si>
  <si>
    <t>HyFlex11-800</t>
    <phoneticPr fontId="22" type="noConversion"/>
  </si>
  <si>
    <t>折叠式防护口罩（双片包装）</t>
    <phoneticPr fontId="22" type="noConversion"/>
  </si>
  <si>
    <t>1公斤干粉灭火器</t>
    <phoneticPr fontId="22" type="noConversion"/>
  </si>
  <si>
    <t>2公斤干粉灭火器</t>
    <phoneticPr fontId="22" type="noConversion"/>
  </si>
  <si>
    <t>耐高温手套</t>
    <phoneticPr fontId="22" type="noConversion"/>
  </si>
  <si>
    <t>无粉蓝色丁腈橡胶手套</t>
    <phoneticPr fontId="22" type="noConversion"/>
  </si>
  <si>
    <t>重庆市昊泽工贸有限公司</t>
    <phoneticPr fontId="22" type="noConversion"/>
  </si>
  <si>
    <t>个体经营户</t>
    <phoneticPr fontId="22" type="noConversion"/>
  </si>
  <si>
    <t>重庆亿捷通工业品股份有限公司</t>
    <phoneticPr fontId="22" type="noConversion"/>
  </si>
  <si>
    <t>四川高木安防设备有限公司</t>
    <phoneticPr fontId="22" type="noConversion"/>
  </si>
  <si>
    <t>重庆南洋劳保用品有限公司</t>
    <phoneticPr fontId="22" type="noConversion"/>
  </si>
  <si>
    <t>重庆百货大楼股份有限公司劳保用品分公司</t>
    <phoneticPr fontId="22" type="noConversion"/>
  </si>
  <si>
    <t>上海航利实业有限公司</t>
    <phoneticPr fontId="22" type="noConversion"/>
  </si>
  <si>
    <t>3M中国有限公司</t>
    <phoneticPr fontId="22" type="noConversion"/>
  </si>
  <si>
    <t>明尼苏达矿业制造（上海）国际贸易有限公司</t>
    <phoneticPr fontId="22" type="noConversion"/>
  </si>
  <si>
    <t>3M国际贸易（深圳）有限公司</t>
    <phoneticPr fontId="22" type="noConversion"/>
  </si>
  <si>
    <t>深圳市鹏亮工贸有限公司</t>
    <phoneticPr fontId="22" type="noConversion"/>
  </si>
  <si>
    <t>成都市钲鑫商贸有限公司</t>
    <phoneticPr fontId="22" type="noConversion"/>
  </si>
  <si>
    <t>重庆索科焊接设备有限公司</t>
    <phoneticPr fontId="22" type="noConversion"/>
  </si>
  <si>
    <t>重庆永安劳保用品有限公司</t>
    <phoneticPr fontId="22" type="noConversion"/>
  </si>
  <si>
    <t>广州市南方劳保用品供应有限公司</t>
    <phoneticPr fontId="22" type="noConversion"/>
  </si>
  <si>
    <t>西安信腾实验室装备有限公司</t>
    <phoneticPr fontId="22" type="noConversion"/>
  </si>
  <si>
    <t>成都万方机电有限公司</t>
    <phoneticPr fontId="22" type="noConversion"/>
  </si>
  <si>
    <t>上海麦森医疗科技有限公司</t>
    <phoneticPr fontId="22" type="noConversion"/>
  </si>
  <si>
    <t>贵阳腾马贸易有限公司</t>
    <phoneticPr fontId="22" type="noConversion"/>
  </si>
  <si>
    <t>广州市南越劳保用品有限公司</t>
    <phoneticPr fontId="22" type="noConversion"/>
  </si>
  <si>
    <t>重庆诚济医疗器械有限公司</t>
    <phoneticPr fontId="22" type="noConversion"/>
  </si>
  <si>
    <t>深圳市永兴劳保胶粘制品有限公司</t>
    <phoneticPr fontId="22" type="noConversion"/>
  </si>
  <si>
    <t>上海杰韦弗实业有限公司</t>
    <phoneticPr fontId="22" type="noConversion"/>
  </si>
  <si>
    <t>3M 国际贸易（深圳）有限公司</t>
    <phoneticPr fontId="22" type="noConversion"/>
  </si>
  <si>
    <t>上海西斯贝尔工业科技有限公司</t>
    <phoneticPr fontId="22" type="noConversion"/>
  </si>
  <si>
    <t>临沂新明辉安全科技有限公司</t>
    <phoneticPr fontId="22" type="noConversion"/>
  </si>
  <si>
    <t>云南金运通泰商贸有限公司</t>
    <phoneticPr fontId="22" type="noConversion"/>
  </si>
  <si>
    <t>上海凯悦安全消防器材有限公司</t>
    <phoneticPr fontId="22" type="noConversion"/>
  </si>
  <si>
    <t>徐州市广通科技发展有限公司</t>
    <phoneticPr fontId="22" type="noConversion"/>
  </si>
  <si>
    <t>重庆全好五金有限公司</t>
    <phoneticPr fontId="22" type="noConversion"/>
  </si>
  <si>
    <t>深圳市保科医疗器械有限公司</t>
    <phoneticPr fontId="22" type="noConversion"/>
  </si>
  <si>
    <t>深圳市铠卫安全技术有限公司</t>
    <phoneticPr fontId="22" type="noConversion"/>
  </si>
  <si>
    <t>慈溪市倍达耐火材料有限公司</t>
    <phoneticPr fontId="22" type="noConversion"/>
  </si>
  <si>
    <t>德阳市万达物资供应站</t>
    <phoneticPr fontId="22" type="noConversion"/>
  </si>
  <si>
    <t>亚洲款舒适型防化学护目镜</t>
    <phoneticPr fontId="22" type="noConversion"/>
  </si>
  <si>
    <t>中国款流线型防护眼镜（透明镜片，防雾）</t>
    <phoneticPr fontId="22" type="noConversion"/>
  </si>
  <si>
    <t>折叠式防尘口罩( 标准号)</t>
    <phoneticPr fontId="22" type="noConversion"/>
  </si>
  <si>
    <t>折叠式防护口罩(环保包装)</t>
    <phoneticPr fontId="22" type="noConversion"/>
  </si>
  <si>
    <t>颗粒物呼吸防护套装经济型</t>
    <phoneticPr fontId="22" type="noConversion"/>
  </si>
  <si>
    <t>防护眼镜（防雾）</t>
    <phoneticPr fontId="22" type="noConversion"/>
  </si>
  <si>
    <t>硅胶半面型防护面罩（中号）</t>
    <phoneticPr fontId="22" type="noConversion"/>
  </si>
  <si>
    <t>硅胶半面型防护面罩（小号）</t>
    <phoneticPr fontId="22" type="noConversion"/>
  </si>
  <si>
    <t>折叠式带阀防护口罩（耳带式/ 标准号）</t>
    <phoneticPr fontId="22" type="noConversion"/>
  </si>
  <si>
    <t>白色带帽连体防护服</t>
    <phoneticPr fontId="22" type="noConversion"/>
  </si>
  <si>
    <t>环保包装折叠式防护口罩（灰色，头带式）</t>
    <phoneticPr fontId="22" type="noConversion"/>
  </si>
  <si>
    <t>橙色带帽连体防护服M</t>
    <phoneticPr fontId="22" type="noConversion"/>
  </si>
  <si>
    <t>橙色带帽连体防护服L</t>
    <phoneticPr fontId="22" type="noConversion"/>
  </si>
  <si>
    <t>双片包装折叠式防护口罩（耳带式/ 标准号）</t>
    <phoneticPr fontId="22" type="noConversion"/>
  </si>
  <si>
    <t>防护口罩</t>
    <phoneticPr fontId="22" type="noConversion"/>
  </si>
  <si>
    <t>有机蒸气异味及颗粒物防护口罩（耳带式）</t>
    <phoneticPr fontId="22" type="noConversion"/>
  </si>
  <si>
    <t>N95 焊接用防尘口罩（防臭氧）</t>
    <phoneticPr fontId="22" type="noConversion"/>
  </si>
  <si>
    <t>中国款流线型防护眼镜（反光镜片，防刮擦）</t>
    <phoneticPr fontId="22" type="noConversion"/>
  </si>
  <si>
    <t>定性适合性检验工具（苦味）</t>
    <phoneticPr fontId="22" type="noConversion"/>
  </si>
  <si>
    <t>带阀颗粒物防护口罩</t>
    <phoneticPr fontId="22" type="noConversion"/>
  </si>
  <si>
    <t>尘毒呼吸防护套装实用性</t>
    <phoneticPr fontId="22" type="noConversion"/>
  </si>
  <si>
    <t>轻便型防护眼镜（透明镜片，防雾）</t>
    <phoneticPr fontId="22" type="noConversion"/>
  </si>
  <si>
    <t>尘毒呼吸防护套装经济型</t>
    <phoneticPr fontId="22" type="noConversion"/>
  </si>
  <si>
    <t>颗粒物滤棉</t>
    <phoneticPr fontId="22" type="noConversion"/>
  </si>
  <si>
    <t>白色带帽连体防护服XL</t>
    <phoneticPr fontId="22" type="noConversion"/>
  </si>
  <si>
    <t>白色带帽连体防护服XXL</t>
    <phoneticPr fontId="22" type="noConversion"/>
  </si>
  <si>
    <t>隔热焊工手套</t>
    <phoneticPr fontId="22" type="noConversion"/>
  </si>
  <si>
    <t>V型安全帽</t>
    <phoneticPr fontId="22" type="noConversion"/>
  </si>
  <si>
    <t>白色带帽连体防护服（无码）</t>
    <phoneticPr fontId="22" type="noConversion"/>
  </si>
  <si>
    <t>耳塞分配器底座</t>
    <phoneticPr fontId="60" type="noConversion"/>
  </si>
  <si>
    <t>防护服F级</t>
    <phoneticPr fontId="22" type="noConversion"/>
  </si>
  <si>
    <t>11782 1790G时尚型防护眼镜</t>
    <phoneticPr fontId="22" type="noConversion"/>
  </si>
  <si>
    <t>圆柱型带线耳塞</t>
    <phoneticPr fontId="22" type="noConversion"/>
  </si>
  <si>
    <t>防滑手套</t>
    <phoneticPr fontId="22" type="noConversion"/>
  </si>
  <si>
    <t>中国款流线型防护眼镜（灰色镜片，防雾）</t>
    <phoneticPr fontId="22" type="noConversion"/>
  </si>
  <si>
    <t>37-175</t>
    <phoneticPr fontId="22" type="noConversion"/>
  </si>
  <si>
    <t>3003K-100</t>
    <phoneticPr fontId="22" type="noConversion"/>
  </si>
  <si>
    <t>9042A</t>
    <phoneticPr fontId="22" type="noConversion"/>
  </si>
  <si>
    <t>318-1005</t>
    <phoneticPr fontId="22" type="noConversion"/>
  </si>
  <si>
    <t>3701CN</t>
    <phoneticPr fontId="22" type="noConversion"/>
  </si>
  <si>
    <t>620P</t>
    <phoneticPr fontId="22" type="noConversion"/>
  </si>
  <si>
    <t>3501CN</t>
    <phoneticPr fontId="22" type="noConversion"/>
  </si>
  <si>
    <t>2091 P100</t>
    <phoneticPr fontId="22" type="noConversion"/>
  </si>
  <si>
    <t>6200CN</t>
    <phoneticPr fontId="22" type="noConversion"/>
  </si>
  <si>
    <t>76-202</t>
    <phoneticPr fontId="22" type="noConversion"/>
  </si>
  <si>
    <t>7093 P100</t>
    <phoneticPr fontId="22" type="noConversion"/>
  </si>
  <si>
    <t>3744K</t>
    <phoneticPr fontId="22" type="noConversion"/>
  </si>
  <si>
    <t>3N11CN</t>
    <phoneticPr fontId="22" type="noConversion"/>
  </si>
  <si>
    <t>收货地址</t>
    <phoneticPr fontId="22" type="noConversion"/>
  </si>
  <si>
    <t>税票号</t>
    <phoneticPr fontId="22" type="noConversion"/>
  </si>
  <si>
    <t>发票快递单号</t>
    <phoneticPr fontId="22" type="noConversion"/>
  </si>
  <si>
    <t>来源</t>
    <phoneticPr fontId="22" type="noConversion"/>
  </si>
  <si>
    <t>销售员</t>
    <phoneticPr fontId="22" type="noConversion"/>
  </si>
  <si>
    <t>3M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</si>
  <si>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</si>
  <si>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</si>
  <si>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</si>
  <si>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重庆戴卡捷力轮毂制造有限公司</t>
    <phoneticPr fontId="22" type="noConversion"/>
  </si>
  <si>
    <t>颗粒物滤棉</t>
    <phoneticPr fontId="22" type="noConversion"/>
  </si>
  <si>
    <t>2091 P100</t>
    <phoneticPr fontId="22" type="noConversion"/>
  </si>
  <si>
    <t>9102C</t>
    <phoneticPr fontId="22" type="noConversion"/>
  </si>
  <si>
    <t>个</t>
    <phoneticPr fontId="22" type="noConversion"/>
  </si>
  <si>
    <t>重庆戴卡捷力轮毂制造有限公司</t>
    <phoneticPr fontId="22" type="noConversion"/>
  </si>
  <si>
    <t>3M</t>
    <phoneticPr fontId="22" type="noConversion"/>
  </si>
  <si>
    <t>6001CN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</si>
  <si>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</si>
  <si>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</si>
  <si>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</si>
  <si>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5N11</t>
    <phoneticPr fontId="22" type="noConversion"/>
  </si>
  <si>
    <t>中行对公</t>
    <phoneticPr fontId="22" type="noConversion"/>
  </si>
  <si>
    <t>01418130</t>
    <phoneticPr fontId="22" type="noConversion"/>
  </si>
  <si>
    <t>终端</t>
    <phoneticPr fontId="22" type="noConversion"/>
  </si>
  <si>
    <t>3M</t>
    <phoneticPr fontId="22" type="noConversion"/>
  </si>
  <si>
    <t>1623AF</t>
    <phoneticPr fontId="22" type="noConversion"/>
  </si>
  <si>
    <t>/</t>
    <phoneticPr fontId="22" type="noConversion"/>
  </si>
  <si>
    <t>02962116</t>
    <phoneticPr fontId="22" type="noConversion"/>
  </si>
  <si>
    <t>重庆商祺商贸有限公司</t>
    <phoneticPr fontId="22" type="noConversion"/>
  </si>
  <si>
    <t>9102C</t>
    <phoneticPr fontId="22" type="noConversion"/>
  </si>
  <si>
    <t>个</t>
    <phoneticPr fontId="22" type="noConversion"/>
  </si>
  <si>
    <t>重庆商祺商贸有限公司</t>
    <phoneticPr fontId="22" type="noConversion"/>
  </si>
  <si>
    <t>折叠式防护口罩(环保包装)</t>
    <phoneticPr fontId="22" type="noConversion"/>
  </si>
  <si>
    <t>9002A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</si>
  <si>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</si>
  <si>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</si>
  <si>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</si>
  <si>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防护眼镜（防雾）</t>
    <phoneticPr fontId="22" type="noConversion"/>
  </si>
  <si>
    <t>1711AF</t>
    <phoneticPr fontId="22" type="noConversion"/>
  </si>
  <si>
    <t>中国款防护眼镜</t>
    <phoneticPr fontId="22" type="noConversion"/>
  </si>
  <si>
    <t>中国款流线型防护眼镜（透明镜片，防雾）</t>
    <phoneticPr fontId="22" type="noConversion"/>
  </si>
  <si>
    <t>荣昌砖厂</t>
    <phoneticPr fontId="22" type="noConversion"/>
  </si>
  <si>
    <t>折叠式防尘口罩( 标准号)</t>
    <phoneticPr fontId="22" type="noConversion"/>
  </si>
  <si>
    <t>9102C</t>
    <phoneticPr fontId="22" type="noConversion"/>
  </si>
  <si>
    <t>个</t>
    <phoneticPr fontId="22" type="noConversion"/>
  </si>
  <si>
    <t>农行对私</t>
    <phoneticPr fontId="22" type="noConversion"/>
  </si>
  <si>
    <t>有机蒸气滤毒盒</t>
    <phoneticPr fontId="22" type="noConversion"/>
  </si>
  <si>
    <t>3301CN</t>
    <phoneticPr fontId="22" type="noConversion"/>
  </si>
  <si>
    <t>13452102967</t>
    <phoneticPr fontId="22" type="noConversion"/>
  </si>
  <si>
    <t>半面型防护面罩</t>
    <phoneticPr fontId="22" type="noConversion"/>
  </si>
  <si>
    <t>渝北区广源劳保用品经营部</t>
    <phoneticPr fontId="22" type="noConversion"/>
  </si>
  <si>
    <t>3N11CN</t>
    <phoneticPr fontId="22" type="noConversion"/>
  </si>
  <si>
    <t>5N11</t>
    <phoneticPr fontId="22" type="noConversion"/>
  </si>
  <si>
    <t>重庆铭冠劳保防护用品有限公司</t>
    <phoneticPr fontId="22" type="noConversion"/>
  </si>
  <si>
    <t>023143699826</t>
    <phoneticPr fontId="22" type="noConversion"/>
  </si>
  <si>
    <t>6002CN</t>
    <phoneticPr fontId="22" type="noConversion"/>
  </si>
  <si>
    <t>荣昌县天择劳保用品经营部</t>
    <phoneticPr fontId="22" type="noConversion"/>
  </si>
  <si>
    <t>荣昌县天择劳保用品经营部</t>
    <phoneticPr fontId="22" type="noConversion"/>
  </si>
  <si>
    <t>3701CN</t>
    <phoneticPr fontId="22" type="noConversion"/>
  </si>
  <si>
    <t>昆明尧安经贸有限公司</t>
    <phoneticPr fontId="22" type="noConversion"/>
  </si>
  <si>
    <t>/</t>
    <phoneticPr fontId="22" type="noConversion"/>
  </si>
  <si>
    <t>重庆嘉烨商贸有限公司</t>
    <phoneticPr fontId="22" type="noConversion"/>
  </si>
  <si>
    <t>01634371</t>
    <phoneticPr fontId="22" type="noConversion"/>
  </si>
  <si>
    <t>385CN</t>
    <phoneticPr fontId="22" type="noConversion"/>
  </si>
  <si>
    <t>01634371</t>
    <phoneticPr fontId="22" type="noConversion"/>
  </si>
  <si>
    <t>3N11CN</t>
    <phoneticPr fontId="22" type="noConversion"/>
  </si>
  <si>
    <t>曾长军</t>
    <phoneticPr fontId="22" type="noConversion"/>
  </si>
  <si>
    <t>曾长军</t>
    <phoneticPr fontId="22" type="noConversion"/>
  </si>
  <si>
    <t>龙溪镇劳保</t>
    <phoneticPr fontId="22" type="noConversion"/>
  </si>
  <si>
    <t>多用气体/蒸气滤毒盒</t>
    <phoneticPr fontId="22" type="noConversion"/>
  </si>
  <si>
    <t>中国款流线型防护眼镜（灰色镜片，防雾）</t>
    <phoneticPr fontId="22" type="noConversion"/>
  </si>
  <si>
    <t>311-1101</t>
    <phoneticPr fontId="22" type="noConversion"/>
  </si>
  <si>
    <t>H7F</t>
    <phoneticPr fontId="22" type="noConversion"/>
  </si>
  <si>
    <t>02962116</t>
    <phoneticPr fontId="22" type="noConversion"/>
  </si>
  <si>
    <t>00269122</t>
    <phoneticPr fontId="22" type="noConversion"/>
  </si>
  <si>
    <t>终端</t>
    <phoneticPr fontId="22" type="noConversion"/>
  </si>
  <si>
    <t>3M</t>
    <phoneticPr fontId="22" type="noConversion"/>
  </si>
  <si>
    <t>3701CN</t>
    <phoneticPr fontId="22" type="noConversion"/>
  </si>
  <si>
    <t>重庆嘉烨商贸有限公司</t>
    <phoneticPr fontId="22" type="noConversion"/>
  </si>
  <si>
    <t>中行对公</t>
    <phoneticPr fontId="22" type="noConversion"/>
  </si>
  <si>
    <t>02962111</t>
    <phoneticPr fontId="22" type="noConversion"/>
  </si>
  <si>
    <t>折叠式防护口罩(环保包装)</t>
    <phoneticPr fontId="22" type="noConversion"/>
  </si>
  <si>
    <t>9002A</t>
    <phoneticPr fontId="22" type="noConversion"/>
  </si>
  <si>
    <t>薛松元</t>
    <phoneticPr fontId="22" type="noConversion"/>
  </si>
  <si>
    <t>重庆市江北区电测村231号</t>
    <phoneticPr fontId="22" type="noConversion"/>
  </si>
  <si>
    <t>00269118</t>
    <phoneticPr fontId="22" type="noConversion"/>
  </si>
  <si>
    <t>568105803531</t>
    <phoneticPr fontId="22" type="noConversion"/>
  </si>
  <si>
    <t>普票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</si>
  <si>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</si>
  <si>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</si>
  <si>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</si>
  <si>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/</t>
    <phoneticPr fontId="22" type="noConversion"/>
  </si>
  <si>
    <t>1621AF</t>
    <phoneticPr fontId="22" type="noConversion"/>
  </si>
  <si>
    <t>王国祥</t>
    <phoneticPr fontId="22" type="noConversion"/>
  </si>
  <si>
    <t>46495065/13609403014</t>
    <phoneticPr fontId="22" type="noConversion"/>
  </si>
  <si>
    <t>荣昌县吴家镇</t>
    <phoneticPr fontId="22" type="noConversion"/>
  </si>
  <si>
    <t>02596881113</t>
    <phoneticPr fontId="22" type="noConversion"/>
  </si>
  <si>
    <t>H7A</t>
    <phoneticPr fontId="22" type="noConversion"/>
  </si>
  <si>
    <t>付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</si>
  <si>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</si>
  <si>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</si>
  <si>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</si>
  <si>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01634391</t>
    <phoneticPr fontId="22" type="noConversion"/>
  </si>
  <si>
    <t>023143699880</t>
    <phoneticPr fontId="22" type="noConversion"/>
  </si>
  <si>
    <t>01634390</t>
    <phoneticPr fontId="22" type="noConversion"/>
  </si>
  <si>
    <t>不开票</t>
    <phoneticPr fontId="22" type="noConversion"/>
  </si>
  <si>
    <t>重庆诚济医疗器械有限公司</t>
    <phoneticPr fontId="22" type="noConversion"/>
  </si>
  <si>
    <t>1621AF</t>
    <phoneticPr fontId="22" type="noConversion"/>
  </si>
  <si>
    <t>023-62837132</t>
    <phoneticPr fontId="22" type="noConversion"/>
  </si>
  <si>
    <t>南岸区金山支路21号附4号</t>
    <phoneticPr fontId="22" type="noConversion"/>
  </si>
  <si>
    <t>02962115</t>
    <phoneticPr fontId="22" type="noConversion"/>
  </si>
  <si>
    <t>023140870005</t>
    <phoneticPr fontId="22" type="noConversion"/>
  </si>
  <si>
    <t>渠道</t>
    <phoneticPr fontId="22" type="noConversion"/>
  </si>
  <si>
    <t>3M</t>
    <phoneticPr fontId="22" type="noConversion"/>
  </si>
  <si>
    <t>02962116</t>
    <phoneticPr fontId="22" type="noConversion"/>
  </si>
  <si>
    <t>昆明海世定泰商贸有限公司</t>
    <phoneticPr fontId="22" type="noConversion"/>
  </si>
  <si>
    <t>023143699844</t>
    <phoneticPr fontId="22" type="noConversion"/>
  </si>
  <si>
    <t>023143699844</t>
    <phoneticPr fontId="22" type="noConversion"/>
  </si>
  <si>
    <t>3M</t>
    <phoneticPr fontId="22" type="noConversion"/>
  </si>
  <si>
    <t>5N11</t>
    <phoneticPr fontId="22" type="noConversion"/>
  </si>
  <si>
    <t>重庆贝浪物资有限公司</t>
    <phoneticPr fontId="22" type="noConversion"/>
  </si>
  <si>
    <t>个</t>
    <phoneticPr fontId="22" type="noConversion"/>
  </si>
  <si>
    <t>李（交易城建行对面）</t>
    <phoneticPr fontId="22" type="noConversion"/>
  </si>
  <si>
    <t>023-68608434</t>
    <phoneticPr fontId="22" type="noConversion"/>
  </si>
  <si>
    <t>13193118215</t>
    <phoneticPr fontId="22" type="noConversion"/>
  </si>
  <si>
    <t>璧山县胶合锄把厂</t>
    <phoneticPr fontId="22" type="noConversion"/>
  </si>
  <si>
    <t>曹老师</t>
    <phoneticPr fontId="22" type="noConversion"/>
  </si>
  <si>
    <t>13110110180</t>
    <phoneticPr fontId="22" type="noConversion"/>
  </si>
  <si>
    <t>13883068683</t>
    <phoneticPr fontId="22" type="noConversion"/>
  </si>
  <si>
    <t>13320334472</t>
    <phoneticPr fontId="22" type="noConversion"/>
  </si>
  <si>
    <t>18723481678</t>
    <phoneticPr fontId="22" type="noConversion"/>
  </si>
  <si>
    <t>雷建国</t>
    <phoneticPr fontId="22" type="noConversion"/>
  </si>
  <si>
    <t>15123603496、15223837387</t>
    <phoneticPr fontId="22" type="noConversion"/>
  </si>
  <si>
    <t>垫江城区正大街115号</t>
    <phoneticPr fontId="22" type="noConversion"/>
  </si>
  <si>
    <t>戴建平</t>
    <phoneticPr fontId="22" type="noConversion"/>
  </si>
  <si>
    <t>15523662639</t>
    <phoneticPr fontId="22" type="noConversion"/>
  </si>
  <si>
    <t>折叠式带阀防护口罩（耳带式/ 标准号）</t>
    <phoneticPr fontId="22" type="noConversion"/>
  </si>
  <si>
    <t>9001V</t>
    <phoneticPr fontId="22" type="noConversion"/>
  </si>
  <si>
    <t>318-1005</t>
    <phoneticPr fontId="22" type="noConversion"/>
  </si>
  <si>
    <t>3744K</t>
    <phoneticPr fontId="22" type="noConversion"/>
  </si>
  <si>
    <t>片</t>
    <phoneticPr fontId="22" type="noConversion"/>
  </si>
  <si>
    <t>渠道</t>
    <phoneticPr fontId="22" type="noConversion"/>
  </si>
  <si>
    <t>不开票</t>
    <phoneticPr fontId="22" type="noConversion"/>
  </si>
  <si>
    <t>3M</t>
    <phoneticPr fontId="22" type="noConversion"/>
  </si>
  <si>
    <t>6001CN</t>
    <phoneticPr fontId="22" type="noConversion"/>
  </si>
  <si>
    <t>5N11</t>
    <phoneticPr fontId="22" type="noConversion"/>
  </si>
  <si>
    <t>折叠式防护口罩(环保包装)</t>
    <phoneticPr fontId="22" type="noConversion"/>
  </si>
  <si>
    <t>9002A</t>
    <phoneticPr fontId="22" type="noConversion"/>
  </si>
  <si>
    <t>白色带帽连体防护服</t>
    <phoneticPr fontId="22" type="noConversion"/>
  </si>
  <si>
    <t>亚洲款舒适型防化学护目镜</t>
    <phoneticPr fontId="22" type="noConversion"/>
  </si>
  <si>
    <t>1623AF</t>
    <phoneticPr fontId="22" type="noConversion"/>
  </si>
  <si>
    <t>孙成林</t>
    <phoneticPr fontId="22" type="noConversion"/>
  </si>
  <si>
    <t>薛松元</t>
    <phoneticPr fontId="22" type="noConversion"/>
  </si>
  <si>
    <t>重庆市江北区电测村231号</t>
    <phoneticPr fontId="22" type="noConversion"/>
  </si>
  <si>
    <t>00269118</t>
    <phoneticPr fontId="22" type="noConversion"/>
  </si>
  <si>
    <t>568105803531</t>
    <phoneticPr fontId="22" type="noConversion"/>
  </si>
  <si>
    <t>普票</t>
    <phoneticPr fontId="22" type="noConversion"/>
  </si>
  <si>
    <t>自提</t>
    <phoneticPr fontId="22" type="noConversion"/>
  </si>
  <si>
    <t>硅胶半面型防护面罩（中号）</t>
    <phoneticPr fontId="22" type="noConversion"/>
  </si>
  <si>
    <t>自提</t>
    <phoneticPr fontId="22" type="noConversion"/>
  </si>
  <si>
    <t>自提</t>
    <phoneticPr fontId="22" type="noConversion"/>
  </si>
  <si>
    <t>中国款流线型防护眼镜（透明镜片，防雾）</t>
    <phoneticPr fontId="22" type="noConversion"/>
  </si>
  <si>
    <t>有机气体防护口罩( 中文包装）</t>
    <phoneticPr fontId="60" type="noConversion"/>
  </si>
  <si>
    <t>02962111-01634395-01634394-01634393</t>
    <phoneticPr fontId="22" type="noConversion"/>
  </si>
  <si>
    <t>5445.25-11691.75-11691.75-11691.75</t>
    <phoneticPr fontId="22" type="noConversion"/>
  </si>
  <si>
    <t>昆明海世定泰商贸有限公司</t>
    <phoneticPr fontId="22" type="noConversion"/>
  </si>
  <si>
    <t>颗粒物滤棉</t>
    <phoneticPr fontId="22" type="noConversion"/>
  </si>
  <si>
    <t>折叠式防护口罩(环保包装)</t>
    <phoneticPr fontId="22" type="noConversion"/>
  </si>
  <si>
    <t>9002A</t>
    <phoneticPr fontId="22" type="noConversion"/>
  </si>
  <si>
    <t>南岸区木材厂</t>
    <phoneticPr fontId="22" type="noConversion"/>
  </si>
  <si>
    <t>重庆巴南区花溪镇</t>
    <phoneticPr fontId="22" type="noConversion"/>
  </si>
  <si>
    <t>滤棉盖</t>
    <phoneticPr fontId="22" type="noConversion"/>
  </si>
  <si>
    <t>彭水</t>
    <phoneticPr fontId="22" type="noConversion"/>
  </si>
  <si>
    <t>0019254</t>
    <phoneticPr fontId="22" type="noConversion"/>
  </si>
  <si>
    <t>重庆武隆顺达运输到付</t>
    <phoneticPr fontId="22" type="noConversion"/>
  </si>
  <si>
    <t>重庆市江北区郭正街59号</t>
    <phoneticPr fontId="22" type="noConversion"/>
  </si>
  <si>
    <t>德邦物流到付</t>
    <phoneticPr fontId="22" type="noConversion"/>
  </si>
  <si>
    <t>德邦物流到付</t>
    <phoneticPr fontId="22" type="noConversion"/>
  </si>
  <si>
    <t>重庆健隆双庆运输到付</t>
    <phoneticPr fontId="22" type="noConversion"/>
  </si>
  <si>
    <t>重庆渝北回兴街道双湖路133号</t>
    <phoneticPr fontId="22" type="noConversion"/>
  </si>
  <si>
    <t>滤棉承接座</t>
    <phoneticPr fontId="22" type="noConversion"/>
  </si>
  <si>
    <t>巫山</t>
    <phoneticPr fontId="22" type="noConversion"/>
  </si>
  <si>
    <t>重庆笛洋物流到付</t>
    <phoneticPr fontId="22" type="noConversion"/>
  </si>
  <si>
    <t>重庆笛洋物流到付</t>
    <phoneticPr fontId="22" type="noConversion"/>
  </si>
  <si>
    <t>重庆跨越卓远机械制造有限公司</t>
    <phoneticPr fontId="22" type="noConversion"/>
  </si>
  <si>
    <t>万州</t>
    <phoneticPr fontId="22" type="noConversion"/>
  </si>
  <si>
    <t>02962112</t>
    <phoneticPr fontId="22" type="noConversion"/>
  </si>
  <si>
    <t>023149159695</t>
    <phoneticPr fontId="22" type="noConversion"/>
  </si>
  <si>
    <t>3M</t>
    <phoneticPr fontId="22" type="noConversion"/>
  </si>
  <si>
    <t>有机蒸气滤毒盒</t>
    <phoneticPr fontId="22" type="noConversion"/>
  </si>
  <si>
    <t>6001CN</t>
    <phoneticPr fontId="22" type="noConversion"/>
  </si>
  <si>
    <t>中行对公</t>
    <phoneticPr fontId="22" type="noConversion"/>
  </si>
  <si>
    <t>颗粒物滤棉</t>
    <phoneticPr fontId="22" type="noConversion"/>
  </si>
  <si>
    <t>5N11</t>
    <phoneticPr fontId="22" type="noConversion"/>
  </si>
  <si>
    <t>滤棉盖</t>
    <phoneticPr fontId="22" type="noConversion"/>
  </si>
  <si>
    <t>酉阳</t>
    <phoneticPr fontId="22" type="noConversion"/>
  </si>
  <si>
    <t>0002151</t>
    <phoneticPr fontId="22" type="noConversion"/>
  </si>
  <si>
    <t>重庆万事达快运到付</t>
    <phoneticPr fontId="22" type="noConversion"/>
  </si>
  <si>
    <t>酉阳县鹏程家具</t>
    <phoneticPr fontId="22" type="noConversion"/>
  </si>
  <si>
    <t>酉阳</t>
    <phoneticPr fontId="22" type="noConversion"/>
  </si>
  <si>
    <t>0002151</t>
    <phoneticPr fontId="22" type="noConversion"/>
  </si>
  <si>
    <t>重庆海电风能集团有限公司</t>
    <phoneticPr fontId="22" type="noConversion"/>
  </si>
  <si>
    <t>环保包装折叠式防护口罩（灰色，头带式）</t>
    <phoneticPr fontId="22" type="noConversion"/>
  </si>
  <si>
    <t>9022A</t>
    <phoneticPr fontId="22" type="noConversion"/>
  </si>
  <si>
    <t>北碚</t>
    <phoneticPr fontId="22" type="noConversion"/>
  </si>
  <si>
    <t>/</t>
    <phoneticPr fontId="22" type="noConversion"/>
  </si>
  <si>
    <t>01758440</t>
    <phoneticPr fontId="22" type="noConversion"/>
  </si>
  <si>
    <t>023162172409</t>
    <phoneticPr fontId="22" type="noConversion"/>
  </si>
  <si>
    <t>重庆海电风能集团有限公司</t>
    <phoneticPr fontId="22" type="noConversion"/>
  </si>
  <si>
    <t>硅胶半面型防护面罩（中号）</t>
    <phoneticPr fontId="22" type="noConversion"/>
  </si>
  <si>
    <t>折叠式防护口罩(环保包装)</t>
    <phoneticPr fontId="22" type="noConversion"/>
  </si>
  <si>
    <t>9002A</t>
    <phoneticPr fontId="22" type="noConversion"/>
  </si>
  <si>
    <t>蔡老师</t>
    <phoneticPr fontId="22" type="noConversion"/>
  </si>
  <si>
    <t>13908315304、023-62847898</t>
    <phoneticPr fontId="22" type="noConversion"/>
  </si>
  <si>
    <t>巴南区南泉镇</t>
    <phoneticPr fontId="22" type="noConversion"/>
  </si>
  <si>
    <t>不开票</t>
    <phoneticPr fontId="22" type="noConversion"/>
  </si>
  <si>
    <t>防雾护目镜（防化学物飞溅，防雾）</t>
    <phoneticPr fontId="22" type="noConversion"/>
  </si>
  <si>
    <t>1621AF</t>
    <phoneticPr fontId="22" type="noConversion"/>
  </si>
  <si>
    <t>滤棉承接座</t>
    <phoneticPr fontId="22" type="noConversion"/>
  </si>
  <si>
    <t>3701CN</t>
    <phoneticPr fontId="22" type="noConversion"/>
  </si>
  <si>
    <t>防护眼镜（防雾）</t>
    <phoneticPr fontId="22" type="noConversion"/>
  </si>
  <si>
    <t>1711AF</t>
    <phoneticPr fontId="22" type="noConversion"/>
  </si>
  <si>
    <t>世纪兴货运到付</t>
    <phoneticPr fontId="22" type="noConversion"/>
  </si>
  <si>
    <t>自贡</t>
    <phoneticPr fontId="22" type="noConversion"/>
  </si>
  <si>
    <t>0024281</t>
    <phoneticPr fontId="22" type="noConversion"/>
  </si>
  <si>
    <t>01634388</t>
    <phoneticPr fontId="22" type="noConversion"/>
  </si>
  <si>
    <t>023143699853</t>
    <phoneticPr fontId="22" type="noConversion"/>
  </si>
  <si>
    <t>3M</t>
    <phoneticPr fontId="22" type="noConversion"/>
  </si>
  <si>
    <t>中国款流线型防护眼镜（透明镜片，防雾）</t>
    <phoneticPr fontId="22" type="noConversion"/>
  </si>
  <si>
    <t>世纪兴货运到付</t>
    <phoneticPr fontId="22" type="noConversion"/>
  </si>
  <si>
    <t>折叠式防护口罩(灰色，耳带式）</t>
    <phoneticPr fontId="22" type="noConversion"/>
  </si>
  <si>
    <t>9021A</t>
    <phoneticPr fontId="22" type="noConversion"/>
  </si>
  <si>
    <t>3701CN</t>
    <phoneticPr fontId="22" type="noConversion"/>
  </si>
  <si>
    <t>折叠式防护口罩(环保包装)</t>
    <phoneticPr fontId="22" type="noConversion"/>
  </si>
  <si>
    <t>9002A</t>
    <phoneticPr fontId="22" type="noConversion"/>
  </si>
  <si>
    <t>重庆飞毛腿货运到付</t>
    <phoneticPr fontId="22" type="noConversion"/>
  </si>
  <si>
    <t>梁平</t>
    <phoneticPr fontId="22" type="noConversion"/>
  </si>
  <si>
    <t>0034406</t>
    <phoneticPr fontId="22" type="noConversion"/>
  </si>
  <si>
    <t>重庆飞毛腿货运到付</t>
    <phoneticPr fontId="22" type="noConversion"/>
  </si>
  <si>
    <t>沙坪坝西永镇童善桥村</t>
    <phoneticPr fontId="22" type="noConversion"/>
  </si>
  <si>
    <t>折叠式防尘口罩(小号)</t>
    <phoneticPr fontId="22" type="noConversion"/>
  </si>
  <si>
    <t>9102CS</t>
    <phoneticPr fontId="22" type="noConversion"/>
  </si>
  <si>
    <t>云南群康商贸有限公司</t>
    <phoneticPr fontId="22" type="noConversion"/>
  </si>
  <si>
    <t>防雾护目镜（防化学物飞溅，防雾）</t>
    <phoneticPr fontId="22" type="noConversion"/>
  </si>
  <si>
    <t>圆通到付</t>
    <phoneticPr fontId="22" type="noConversion"/>
  </si>
  <si>
    <t>云南省昆明市广福路广福小区一期西区8栋1单元602室</t>
    <phoneticPr fontId="22" type="noConversion"/>
  </si>
  <si>
    <t>云南群康商贸有限公司</t>
    <phoneticPr fontId="22" type="noConversion"/>
  </si>
  <si>
    <t>圆通到付</t>
    <phoneticPr fontId="22" type="noConversion"/>
  </si>
  <si>
    <t>沙坪坝区劳动路坪桥</t>
    <phoneticPr fontId="22" type="noConversion"/>
  </si>
  <si>
    <t>云南省昆明东川新村凯通路</t>
    <phoneticPr fontId="22" type="noConversion"/>
  </si>
  <si>
    <t>酸性气体滤毒盒</t>
    <phoneticPr fontId="22" type="noConversion"/>
  </si>
  <si>
    <t>6002CN</t>
    <phoneticPr fontId="22" type="noConversion"/>
  </si>
  <si>
    <t>贵阳泰峰实业有限公司</t>
    <phoneticPr fontId="22" type="noConversion"/>
  </si>
  <si>
    <t>01634389-01634391</t>
    <phoneticPr fontId="22" type="noConversion"/>
  </si>
  <si>
    <t>11623-6121</t>
    <phoneticPr fontId="22" type="noConversion"/>
  </si>
  <si>
    <t>宝山木业</t>
    <phoneticPr fontId="22" type="noConversion"/>
  </si>
  <si>
    <t>/</t>
    <phoneticPr fontId="22" type="noConversion"/>
  </si>
  <si>
    <t>朱华伟</t>
    <phoneticPr fontId="22" type="noConversion"/>
  </si>
  <si>
    <t>朱华伟</t>
    <phoneticPr fontId="22" type="noConversion"/>
  </si>
  <si>
    <t>嘉烨</t>
    <phoneticPr fontId="22" type="noConversion"/>
  </si>
  <si>
    <t>重庆创新劳动防护用品有限公司</t>
    <phoneticPr fontId="22" type="noConversion"/>
  </si>
  <si>
    <t>半面型防护面罩（中/大号）</t>
    <phoneticPr fontId="22" type="noConversion"/>
  </si>
  <si>
    <t>重庆三恩科技发展有限公司</t>
    <phoneticPr fontId="22" type="noConversion"/>
  </si>
  <si>
    <t>385CN</t>
    <phoneticPr fontId="22" type="noConversion"/>
  </si>
  <si>
    <t>2002485</t>
    <phoneticPr fontId="22" type="noConversion"/>
  </si>
  <si>
    <t>邓一帆</t>
    <phoneticPr fontId="22" type="noConversion"/>
  </si>
  <si>
    <t>13883314110</t>
    <phoneticPr fontId="22" type="noConversion"/>
  </si>
  <si>
    <t>01634392</t>
    <phoneticPr fontId="22" type="noConversion"/>
  </si>
  <si>
    <t>有机/酸性气体滤毒盒</t>
    <phoneticPr fontId="22" type="noConversion"/>
  </si>
  <si>
    <t>3003K-100</t>
    <phoneticPr fontId="22" type="noConversion"/>
  </si>
  <si>
    <t>开县治东家具厂</t>
    <phoneticPr fontId="22" type="noConversion"/>
  </si>
  <si>
    <t>2002487</t>
    <phoneticPr fontId="22" type="noConversion"/>
  </si>
  <si>
    <t>重庆广汇（广天）货运</t>
    <phoneticPr fontId="22" type="noConversion"/>
  </si>
  <si>
    <t>催红中</t>
    <phoneticPr fontId="22" type="noConversion"/>
  </si>
  <si>
    <t>13709452103</t>
    <phoneticPr fontId="22" type="noConversion"/>
  </si>
  <si>
    <t>重庆市开县南湖家私市场</t>
    <phoneticPr fontId="22" type="noConversion"/>
  </si>
  <si>
    <t>0002393</t>
    <phoneticPr fontId="22" type="noConversion"/>
  </si>
  <si>
    <t>预过滤棉</t>
    <phoneticPr fontId="22" type="noConversion"/>
  </si>
  <si>
    <t>农行对私</t>
    <phoneticPr fontId="22" type="noConversion"/>
  </si>
  <si>
    <t>2002487</t>
    <phoneticPr fontId="22" type="noConversion"/>
  </si>
  <si>
    <t>重庆广汇（广天）货运</t>
    <phoneticPr fontId="22" type="noConversion"/>
  </si>
  <si>
    <t>催红中</t>
    <phoneticPr fontId="22" type="noConversion"/>
  </si>
  <si>
    <t>13709452103</t>
    <phoneticPr fontId="22" type="noConversion"/>
  </si>
  <si>
    <t>重庆市开县南湖家私市场</t>
    <phoneticPr fontId="22" type="noConversion"/>
  </si>
  <si>
    <t>0002393</t>
    <phoneticPr fontId="22" type="noConversion"/>
  </si>
  <si>
    <t>涪陵天龙家具厂</t>
    <phoneticPr fontId="22" type="noConversion"/>
  </si>
  <si>
    <t>2002502</t>
    <phoneticPr fontId="22" type="noConversion"/>
  </si>
  <si>
    <t>重庆恒耀杨四物流到付</t>
    <phoneticPr fontId="22" type="noConversion"/>
  </si>
  <si>
    <t>杨加林</t>
    <phoneticPr fontId="22" type="noConversion"/>
  </si>
  <si>
    <t>13709460827</t>
    <phoneticPr fontId="22" type="noConversion"/>
  </si>
  <si>
    <t>涪陵</t>
    <phoneticPr fontId="22" type="noConversion"/>
  </si>
  <si>
    <t>0009763</t>
    <phoneticPr fontId="22" type="noConversion"/>
  </si>
  <si>
    <t>免搓揉泡棉带线耳塞</t>
    <phoneticPr fontId="22" type="noConversion"/>
  </si>
  <si>
    <t>酉阳县星月木业有限公司</t>
    <phoneticPr fontId="22" type="noConversion"/>
  </si>
  <si>
    <t>2002503</t>
    <phoneticPr fontId="22" type="noConversion"/>
  </si>
  <si>
    <t>重庆万事达快运</t>
    <phoneticPr fontId="22" type="noConversion"/>
  </si>
  <si>
    <t>周兴瑜</t>
    <phoneticPr fontId="22" type="noConversion"/>
  </si>
  <si>
    <t>13709485581</t>
    <phoneticPr fontId="22" type="noConversion"/>
  </si>
  <si>
    <t>酉阳县小砍全民创业园25号</t>
    <phoneticPr fontId="22" type="noConversion"/>
  </si>
  <si>
    <t>0003267</t>
    <phoneticPr fontId="22" type="noConversion"/>
  </si>
  <si>
    <t>云南云津达商贸有限公司</t>
    <phoneticPr fontId="22" type="noConversion"/>
  </si>
  <si>
    <t>件</t>
    <phoneticPr fontId="22" type="noConversion"/>
  </si>
  <si>
    <t>2002489</t>
    <phoneticPr fontId="22" type="noConversion"/>
  </si>
  <si>
    <t>圆通快递</t>
    <phoneticPr fontId="22" type="noConversion"/>
  </si>
  <si>
    <t>D026730065</t>
    <phoneticPr fontId="22" type="noConversion"/>
  </si>
  <si>
    <t>02962118</t>
    <phoneticPr fontId="22" type="noConversion"/>
  </si>
  <si>
    <t>重庆远标机电有限公司</t>
    <phoneticPr fontId="22" type="noConversion"/>
  </si>
  <si>
    <t>折叠式防尘口罩(小号）</t>
    <phoneticPr fontId="22" type="noConversion"/>
  </si>
  <si>
    <t>现金</t>
    <phoneticPr fontId="22" type="noConversion"/>
  </si>
  <si>
    <t>2002488</t>
    <phoneticPr fontId="22" type="noConversion"/>
  </si>
  <si>
    <t>防护眼镜（防刮擦涂层）</t>
    <phoneticPr fontId="22" type="noConversion"/>
  </si>
  <si>
    <t>两路口</t>
    <phoneticPr fontId="22" type="noConversion"/>
  </si>
  <si>
    <t>02962111</t>
    <phoneticPr fontId="22" type="noConversion"/>
  </si>
  <si>
    <t>自贡市永顺化工建材有限公司</t>
    <phoneticPr fontId="22" type="noConversion"/>
  </si>
  <si>
    <t>2002492</t>
    <phoneticPr fontId="22" type="noConversion"/>
  </si>
  <si>
    <t>杨界红</t>
    <phoneticPr fontId="22" type="noConversion"/>
  </si>
  <si>
    <t>13390081003</t>
    <phoneticPr fontId="22" type="noConversion"/>
  </si>
  <si>
    <t>自贡</t>
    <phoneticPr fontId="22" type="noConversion"/>
  </si>
  <si>
    <t>0023242</t>
    <phoneticPr fontId="22" type="noConversion"/>
  </si>
  <si>
    <t>01634388</t>
    <phoneticPr fontId="22" type="noConversion"/>
  </si>
  <si>
    <t>023143699853</t>
    <phoneticPr fontId="22" type="noConversion"/>
  </si>
  <si>
    <t>世纪兴货运到付</t>
    <phoneticPr fontId="22" type="noConversion"/>
  </si>
  <si>
    <t>重庆尚层楼梯厂</t>
    <phoneticPr fontId="22" type="noConversion"/>
  </si>
  <si>
    <t>2002491</t>
    <phoneticPr fontId="22" type="noConversion"/>
  </si>
  <si>
    <t>何斌</t>
    <phoneticPr fontId="22" type="noConversion"/>
  </si>
  <si>
    <t>18696594447</t>
    <phoneticPr fontId="22" type="noConversion"/>
  </si>
  <si>
    <t>上桥</t>
    <phoneticPr fontId="22" type="noConversion"/>
  </si>
  <si>
    <t>双面胶</t>
    <phoneticPr fontId="22" type="noConversion"/>
  </si>
  <si>
    <t>平方米</t>
    <phoneticPr fontId="22" type="noConversion"/>
  </si>
  <si>
    <t>2002493</t>
    <phoneticPr fontId="22" type="noConversion"/>
  </si>
  <si>
    <t>龙柳昆</t>
    <phoneticPr fontId="22" type="noConversion"/>
  </si>
  <si>
    <t>15987175322</t>
    <phoneticPr fontId="22" type="noConversion"/>
  </si>
  <si>
    <t>7042628478</t>
    <phoneticPr fontId="22" type="noConversion"/>
  </si>
  <si>
    <t>00215923</t>
    <phoneticPr fontId="22" type="noConversion"/>
  </si>
  <si>
    <t>023155145740</t>
    <phoneticPr fontId="22" type="noConversion"/>
  </si>
  <si>
    <t>重庆多尔贝实业有限公司</t>
    <phoneticPr fontId="22" type="noConversion"/>
  </si>
  <si>
    <t>2002490</t>
    <phoneticPr fontId="22" type="noConversion"/>
  </si>
  <si>
    <t>王安</t>
    <phoneticPr fontId="22" type="noConversion"/>
  </si>
  <si>
    <t>023-60310119</t>
    <phoneticPr fontId="22" type="noConversion"/>
  </si>
  <si>
    <t>北碚</t>
    <phoneticPr fontId="22" type="noConversion"/>
  </si>
  <si>
    <t>01634387</t>
    <phoneticPr fontId="22" type="noConversion"/>
  </si>
  <si>
    <t>现金</t>
    <phoneticPr fontId="22" type="noConversion"/>
  </si>
  <si>
    <t>2002490</t>
    <phoneticPr fontId="22" type="noConversion"/>
  </si>
  <si>
    <t>王安</t>
    <phoneticPr fontId="22" type="noConversion"/>
  </si>
  <si>
    <t>023-60310119</t>
    <phoneticPr fontId="22" type="noConversion"/>
  </si>
  <si>
    <t>北碚</t>
    <phoneticPr fontId="22" type="noConversion"/>
  </si>
  <si>
    <t>01634387</t>
    <phoneticPr fontId="22" type="noConversion"/>
  </si>
  <si>
    <t>重庆多尔贝实业有限公司</t>
    <phoneticPr fontId="22" type="noConversion"/>
  </si>
  <si>
    <t>3301CN</t>
    <phoneticPr fontId="22" type="noConversion"/>
  </si>
  <si>
    <t>付</t>
    <phoneticPr fontId="22" type="noConversion"/>
  </si>
  <si>
    <t>2002494</t>
    <phoneticPr fontId="22" type="noConversion"/>
  </si>
  <si>
    <t xml:space="preserve"> 15310088885</t>
    <phoneticPr fontId="22" type="noConversion"/>
  </si>
  <si>
    <t>渠道</t>
    <phoneticPr fontId="22" type="noConversion"/>
  </si>
  <si>
    <t>重庆铭冠劳保防护用品有限公司</t>
    <phoneticPr fontId="22" type="noConversion"/>
  </si>
  <si>
    <t>3M</t>
    <phoneticPr fontId="22" type="noConversion"/>
  </si>
  <si>
    <t>酸性气体滤毒盒</t>
    <phoneticPr fontId="22" type="noConversion"/>
  </si>
  <si>
    <t>6002CN</t>
    <phoneticPr fontId="22" type="noConversion"/>
  </si>
  <si>
    <t>个</t>
    <phoneticPr fontId="22" type="noConversion"/>
  </si>
  <si>
    <t>现金</t>
    <phoneticPr fontId="22" type="noConversion"/>
  </si>
  <si>
    <t>2002494</t>
    <phoneticPr fontId="22" type="noConversion"/>
  </si>
  <si>
    <t>5N11</t>
    <phoneticPr fontId="22" type="noConversion"/>
  </si>
  <si>
    <t>滤棉盖</t>
    <phoneticPr fontId="22" type="noConversion"/>
  </si>
  <si>
    <t>2002495</t>
    <phoneticPr fontId="22" type="noConversion"/>
  </si>
  <si>
    <t>金和婷</t>
    <phoneticPr fontId="22" type="noConversion"/>
  </si>
  <si>
    <t>023144759243</t>
    <phoneticPr fontId="22" type="noConversion"/>
  </si>
  <si>
    <t>02962113</t>
    <phoneticPr fontId="22" type="noConversion"/>
  </si>
  <si>
    <t>023149159686</t>
    <phoneticPr fontId="22" type="noConversion"/>
  </si>
  <si>
    <t>终端</t>
    <phoneticPr fontId="22" type="noConversion"/>
  </si>
  <si>
    <t>颗粒物滤棉</t>
    <phoneticPr fontId="22" type="noConversion"/>
  </si>
  <si>
    <t>3701CN</t>
    <phoneticPr fontId="22" type="noConversion"/>
  </si>
  <si>
    <t>顺丰到付</t>
    <phoneticPr fontId="22" type="noConversion"/>
  </si>
  <si>
    <t>圣诞树型带线耳塞</t>
    <phoneticPr fontId="22" type="noConversion"/>
  </si>
  <si>
    <t>个人经销商</t>
    <phoneticPr fontId="22" type="noConversion"/>
  </si>
  <si>
    <t>折叠式防护口罩(环保包装)</t>
    <phoneticPr fontId="22" type="noConversion"/>
  </si>
  <si>
    <t>9002A</t>
    <phoneticPr fontId="22" type="noConversion"/>
  </si>
  <si>
    <t>片</t>
    <phoneticPr fontId="22" type="noConversion"/>
  </si>
  <si>
    <t>农行对私</t>
    <phoneticPr fontId="22" type="noConversion"/>
  </si>
  <si>
    <t>2002496</t>
    <phoneticPr fontId="22" type="noConversion"/>
  </si>
  <si>
    <t>顺丰快递</t>
    <phoneticPr fontId="22" type="noConversion"/>
  </si>
  <si>
    <t>江芳</t>
    <phoneticPr fontId="22" type="noConversion"/>
  </si>
  <si>
    <t>昆明市官渡区菊花机电市场9栋37号</t>
    <phoneticPr fontId="22" type="noConversion"/>
  </si>
  <si>
    <t>023127093265</t>
    <phoneticPr fontId="22" type="noConversion"/>
  </si>
  <si>
    <t>不开票</t>
    <phoneticPr fontId="22" type="noConversion"/>
  </si>
  <si>
    <t>新生物质能开发有限公司</t>
    <phoneticPr fontId="22" type="noConversion"/>
  </si>
  <si>
    <t>有机蒸气滤毒盒</t>
    <phoneticPr fontId="22" type="noConversion"/>
  </si>
  <si>
    <t>6001CN</t>
    <phoneticPr fontId="22" type="noConversion"/>
  </si>
  <si>
    <t>中行对私</t>
    <phoneticPr fontId="22" type="noConversion"/>
  </si>
  <si>
    <t>2002498</t>
    <phoneticPr fontId="22" type="noConversion"/>
  </si>
  <si>
    <t>孙成林</t>
    <phoneticPr fontId="22" type="noConversion"/>
  </si>
  <si>
    <t>13896650366</t>
    <phoneticPr fontId="22" type="noConversion"/>
  </si>
  <si>
    <t>涪陵焦石镇</t>
    <phoneticPr fontId="22" type="noConversion"/>
  </si>
  <si>
    <t>023127093229</t>
    <phoneticPr fontId="22" type="noConversion"/>
  </si>
  <si>
    <t>江北区乔林木业机械加工厂</t>
    <phoneticPr fontId="22" type="noConversion"/>
  </si>
  <si>
    <t>2002504</t>
    <phoneticPr fontId="22" type="noConversion"/>
  </si>
  <si>
    <t>自提</t>
    <phoneticPr fontId="22" type="noConversion"/>
  </si>
  <si>
    <t>/</t>
    <phoneticPr fontId="22" type="noConversion"/>
  </si>
  <si>
    <t>15826018325</t>
    <phoneticPr fontId="22" type="noConversion"/>
  </si>
  <si>
    <t>江北区郭家沱下岗社</t>
    <phoneticPr fontId="22" type="noConversion"/>
  </si>
  <si>
    <t>02962129</t>
    <phoneticPr fontId="22" type="noConversion"/>
  </si>
  <si>
    <t>重庆跨越卓远机械制造有限公司</t>
    <phoneticPr fontId="22" type="noConversion"/>
  </si>
  <si>
    <t>中行对公</t>
    <phoneticPr fontId="22" type="noConversion"/>
  </si>
  <si>
    <t>重庆飞达货运</t>
    <phoneticPr fontId="22" type="noConversion"/>
  </si>
  <si>
    <t>张翔</t>
    <phoneticPr fontId="22" type="noConversion"/>
  </si>
  <si>
    <t>重庆万州王牌路924号国腾实业集团</t>
    <phoneticPr fontId="22" type="noConversion"/>
  </si>
  <si>
    <t>0002873</t>
    <phoneticPr fontId="22" type="noConversion"/>
  </si>
  <si>
    <t>00215933</t>
    <phoneticPr fontId="22" type="noConversion"/>
  </si>
  <si>
    <t>023158601816</t>
    <phoneticPr fontId="22" type="noConversion"/>
  </si>
  <si>
    <t>云南云津达商贸有限公司</t>
    <phoneticPr fontId="22" type="noConversion"/>
  </si>
  <si>
    <t>绿色带帽连体防护服M</t>
    <phoneticPr fontId="22" type="noConversion"/>
  </si>
  <si>
    <t>件</t>
    <phoneticPr fontId="22" type="noConversion"/>
  </si>
  <si>
    <t>2002505</t>
    <phoneticPr fontId="22" type="noConversion"/>
  </si>
  <si>
    <t>023127093238</t>
    <phoneticPr fontId="22" type="noConversion"/>
  </si>
  <si>
    <t>02962118</t>
    <phoneticPr fontId="22" type="noConversion"/>
  </si>
  <si>
    <t>绿色带帽连体防护服L</t>
    <phoneticPr fontId="22" type="noConversion"/>
  </si>
  <si>
    <t>绿色带帽连体防护服XL</t>
    <phoneticPr fontId="22" type="noConversion"/>
  </si>
  <si>
    <t>昆明达迈科技有限公司</t>
    <phoneticPr fontId="22" type="noConversion"/>
  </si>
  <si>
    <t>有机气体防护口罩( 中文包装）</t>
    <phoneticPr fontId="60" type="noConversion"/>
  </si>
  <si>
    <t>2002506</t>
    <phoneticPr fontId="22" type="noConversion"/>
  </si>
  <si>
    <t>申通快递</t>
    <phoneticPr fontId="22" type="noConversion"/>
  </si>
  <si>
    <t xml:space="preserve">巫静 </t>
    <phoneticPr fontId="22" type="noConversion"/>
  </si>
  <si>
    <t>468490602773</t>
    <phoneticPr fontId="22" type="noConversion"/>
  </si>
  <si>
    <t>渝北区广源劳保用品经营部</t>
    <phoneticPr fontId="22" type="noConversion"/>
  </si>
  <si>
    <t>刘军</t>
    <phoneticPr fontId="22" type="noConversion"/>
  </si>
  <si>
    <t>13452102967</t>
    <phoneticPr fontId="22" type="noConversion"/>
  </si>
  <si>
    <t>023127093247</t>
    <phoneticPr fontId="22" type="noConversion"/>
  </si>
  <si>
    <t>月付</t>
    <phoneticPr fontId="22" type="noConversion"/>
  </si>
  <si>
    <t>防护眼镜（防雾）</t>
    <phoneticPr fontId="22" type="noConversion"/>
  </si>
  <si>
    <t>1711AF</t>
    <phoneticPr fontId="22" type="noConversion"/>
  </si>
  <si>
    <t>付</t>
    <phoneticPr fontId="22" type="noConversion"/>
  </si>
  <si>
    <t>3N11CN</t>
    <phoneticPr fontId="22" type="noConversion"/>
  </si>
  <si>
    <t>385CN</t>
    <phoneticPr fontId="22" type="noConversion"/>
  </si>
  <si>
    <t>3301CN</t>
    <phoneticPr fontId="22" type="noConversion"/>
  </si>
  <si>
    <t>9002V</t>
    <phoneticPr fontId="22" type="noConversion"/>
  </si>
  <si>
    <t>3744K</t>
    <phoneticPr fontId="22" type="noConversion"/>
  </si>
  <si>
    <t>经济型焊接用防尘口罩</t>
    <phoneticPr fontId="22" type="noConversion"/>
  </si>
  <si>
    <t>2002508</t>
    <phoneticPr fontId="22" type="noConversion"/>
  </si>
  <si>
    <t>田先生</t>
    <phoneticPr fontId="22" type="noConversion"/>
  </si>
  <si>
    <t>13883264285</t>
    <phoneticPr fontId="22" type="noConversion"/>
  </si>
  <si>
    <t>2002508</t>
    <phoneticPr fontId="22" type="noConversion"/>
  </si>
  <si>
    <t>田先生</t>
    <phoneticPr fontId="22" type="noConversion"/>
  </si>
  <si>
    <t>13883264285</t>
    <phoneticPr fontId="22" type="noConversion"/>
  </si>
  <si>
    <t>不开票</t>
    <phoneticPr fontId="22" type="noConversion"/>
  </si>
  <si>
    <t>9002A</t>
    <phoneticPr fontId="22" type="noConversion"/>
  </si>
  <si>
    <t>片</t>
    <phoneticPr fontId="22" type="noConversion"/>
  </si>
  <si>
    <t>民意办公</t>
    <phoneticPr fontId="22" type="noConversion"/>
  </si>
  <si>
    <t>6001CN</t>
    <phoneticPr fontId="22" type="noConversion"/>
  </si>
  <si>
    <t>2002522</t>
    <phoneticPr fontId="22" type="noConversion"/>
  </si>
  <si>
    <t>许老师</t>
    <phoneticPr fontId="22" type="noConversion"/>
  </si>
  <si>
    <t>13310221108</t>
    <phoneticPr fontId="22" type="noConversion"/>
  </si>
  <si>
    <t>铜梁凯歌家具厂</t>
    <phoneticPr fontId="22" type="noConversion"/>
  </si>
  <si>
    <t>2002509</t>
    <phoneticPr fontId="22" type="noConversion"/>
  </si>
  <si>
    <t>重庆恒耀物流</t>
    <phoneticPr fontId="22" type="noConversion"/>
  </si>
  <si>
    <t>罗凯</t>
    <phoneticPr fontId="22" type="noConversion"/>
  </si>
  <si>
    <t>13036354647</t>
    <phoneticPr fontId="22" type="noConversion"/>
  </si>
  <si>
    <t>铜梁</t>
    <phoneticPr fontId="22" type="noConversion"/>
  </si>
  <si>
    <t>0007196</t>
    <phoneticPr fontId="22" type="noConversion"/>
  </si>
  <si>
    <t>重庆爱林木材有限公司</t>
    <phoneticPr fontId="22" type="noConversion"/>
  </si>
  <si>
    <t>2002510</t>
    <phoneticPr fontId="22" type="noConversion"/>
  </si>
  <si>
    <t>送货上门</t>
    <phoneticPr fontId="22" type="noConversion"/>
  </si>
  <si>
    <t>13212599556</t>
    <phoneticPr fontId="22" type="noConversion"/>
  </si>
  <si>
    <t>巴南区小泉</t>
    <phoneticPr fontId="22" type="noConversion"/>
  </si>
  <si>
    <t>重庆华博汽车饰件有限公司</t>
    <phoneticPr fontId="22" type="noConversion"/>
  </si>
  <si>
    <t>1621AF</t>
    <phoneticPr fontId="22" type="noConversion"/>
  </si>
  <si>
    <t>2002511</t>
    <phoneticPr fontId="22" type="noConversion"/>
  </si>
  <si>
    <t>顺丰快递</t>
    <phoneticPr fontId="22" type="noConversion"/>
  </si>
  <si>
    <t>周老师</t>
    <phoneticPr fontId="22" type="noConversion"/>
  </si>
  <si>
    <t>02368369008</t>
    <phoneticPr fontId="22" type="noConversion"/>
  </si>
  <si>
    <t>023143699871</t>
    <phoneticPr fontId="22" type="noConversion"/>
  </si>
  <si>
    <t>02962114</t>
    <phoneticPr fontId="22" type="noConversion"/>
  </si>
  <si>
    <t>023149159677</t>
    <phoneticPr fontId="22" type="noConversion"/>
  </si>
  <si>
    <t>中天门业</t>
    <phoneticPr fontId="22" type="noConversion"/>
  </si>
  <si>
    <t>2002512</t>
    <phoneticPr fontId="22" type="noConversion"/>
  </si>
  <si>
    <t>曾老师</t>
    <phoneticPr fontId="22" type="noConversion"/>
  </si>
  <si>
    <t>13271888886</t>
    <phoneticPr fontId="22" type="noConversion"/>
  </si>
  <si>
    <t>京欣医药</t>
    <phoneticPr fontId="22" type="noConversion"/>
  </si>
  <si>
    <t>9132</t>
    <phoneticPr fontId="22" type="noConversion"/>
  </si>
  <si>
    <t>2002500</t>
    <phoneticPr fontId="22" type="noConversion"/>
  </si>
  <si>
    <t>郭老师</t>
    <phoneticPr fontId="22" type="noConversion"/>
  </si>
  <si>
    <t>13983488658</t>
    <phoneticPr fontId="22" type="noConversion"/>
  </si>
  <si>
    <t>南坪</t>
    <phoneticPr fontId="22" type="noConversion"/>
  </si>
  <si>
    <t>渠道</t>
    <phoneticPr fontId="22" type="noConversion"/>
  </si>
  <si>
    <t>重庆东升劳保用品有限公司</t>
    <phoneticPr fontId="22" type="noConversion"/>
  </si>
  <si>
    <t>件</t>
    <phoneticPr fontId="22" type="noConversion"/>
  </si>
  <si>
    <t>2002513</t>
    <phoneticPr fontId="22" type="noConversion"/>
  </si>
  <si>
    <t>胡大强</t>
    <phoneticPr fontId="22" type="noConversion"/>
  </si>
  <si>
    <t>023-68698625</t>
    <phoneticPr fontId="22" type="noConversion"/>
  </si>
  <si>
    <t>石桥铺</t>
    <phoneticPr fontId="22" type="noConversion"/>
  </si>
  <si>
    <t>重庆市金匠有限公司</t>
    <phoneticPr fontId="22" type="noConversion"/>
  </si>
  <si>
    <t>2002523</t>
    <phoneticPr fontId="22" type="noConversion"/>
  </si>
  <si>
    <t>唐先生</t>
    <phoneticPr fontId="22" type="noConversion"/>
  </si>
  <si>
    <t>13983683036</t>
    <phoneticPr fontId="22" type="noConversion"/>
  </si>
  <si>
    <t>李家沱</t>
    <phoneticPr fontId="22" type="noConversion"/>
  </si>
  <si>
    <t>2002524</t>
    <phoneticPr fontId="22" type="noConversion"/>
  </si>
  <si>
    <t>邱先生</t>
    <phoneticPr fontId="22" type="noConversion"/>
  </si>
  <si>
    <t>023-61665551</t>
    <phoneticPr fontId="22" type="noConversion"/>
  </si>
  <si>
    <t>退货</t>
    <phoneticPr fontId="22" type="noConversion"/>
  </si>
  <si>
    <t>重庆市嘉迪罗古典工艺家具厂</t>
    <phoneticPr fontId="22" type="noConversion"/>
  </si>
  <si>
    <t>311-1250</t>
    <phoneticPr fontId="22" type="noConversion"/>
  </si>
  <si>
    <t>2002514</t>
    <phoneticPr fontId="22" type="noConversion"/>
  </si>
  <si>
    <t>李崇明</t>
    <phoneticPr fontId="22" type="noConversion"/>
  </si>
  <si>
    <t>15923090477</t>
    <phoneticPr fontId="22" type="noConversion"/>
  </si>
  <si>
    <t>含古镇</t>
    <phoneticPr fontId="22" type="noConversion"/>
  </si>
  <si>
    <t>嘉烨</t>
    <phoneticPr fontId="22" type="noConversion"/>
  </si>
  <si>
    <t>神凸家具厂</t>
    <phoneticPr fontId="22" type="noConversion"/>
  </si>
  <si>
    <t>2002515</t>
    <phoneticPr fontId="22" type="noConversion"/>
  </si>
  <si>
    <t>王伍</t>
    <phoneticPr fontId="22" type="noConversion"/>
  </si>
  <si>
    <t>13290089518</t>
    <phoneticPr fontId="22" type="noConversion"/>
  </si>
  <si>
    <t>巴南</t>
    <phoneticPr fontId="22" type="noConversion"/>
  </si>
  <si>
    <t>重庆嘉烨商贸有限公司</t>
    <phoneticPr fontId="22" type="noConversion"/>
  </si>
  <si>
    <t>朱文平</t>
    <phoneticPr fontId="22" type="noConversion"/>
  </si>
  <si>
    <t>贵阳</t>
    <phoneticPr fontId="22" type="noConversion"/>
  </si>
  <si>
    <t>0000378</t>
    <phoneticPr fontId="22" type="noConversion"/>
  </si>
  <si>
    <t>02962121</t>
    <phoneticPr fontId="36" type="noConversion"/>
  </si>
  <si>
    <t>重庆力宏物流到付</t>
    <phoneticPr fontId="22" type="noConversion"/>
  </si>
  <si>
    <t>林美家具厂</t>
    <phoneticPr fontId="31" type="noConversion"/>
  </si>
  <si>
    <t>顺丰到付</t>
    <phoneticPr fontId="22" type="noConversion"/>
  </si>
  <si>
    <t>陈开树</t>
    <phoneticPr fontId="22" type="noConversion"/>
  </si>
  <si>
    <t>023149159668</t>
    <phoneticPr fontId="22" type="noConversion"/>
  </si>
  <si>
    <t>渝北区广源劳保用品经营部</t>
    <phoneticPr fontId="22" type="noConversion"/>
  </si>
  <si>
    <t>9001A</t>
    <phoneticPr fontId="22" type="noConversion"/>
  </si>
  <si>
    <t>刘军</t>
    <phoneticPr fontId="22" type="noConversion"/>
  </si>
  <si>
    <t>13452102967</t>
    <phoneticPr fontId="22" type="noConversion"/>
  </si>
  <si>
    <t>023143699862</t>
    <phoneticPr fontId="22" type="noConversion"/>
  </si>
  <si>
    <t>月付</t>
    <phoneticPr fontId="22" type="noConversion"/>
  </si>
  <si>
    <t>9002V</t>
    <phoneticPr fontId="22" type="noConversion"/>
  </si>
  <si>
    <t>023149159728</t>
    <phoneticPr fontId="22" type="noConversion"/>
  </si>
  <si>
    <t>垫江县建国家具厂</t>
    <phoneticPr fontId="22" type="noConversion"/>
  </si>
  <si>
    <t>2002517</t>
    <phoneticPr fontId="22" type="noConversion"/>
  </si>
  <si>
    <t>申通快递</t>
    <phoneticPr fontId="22" type="noConversion"/>
  </si>
  <si>
    <t>雷建国</t>
    <phoneticPr fontId="22" type="noConversion"/>
  </si>
  <si>
    <t>15123603496、15223837387</t>
    <phoneticPr fontId="22" type="noConversion"/>
  </si>
  <si>
    <t>垫江城区正大街115号</t>
    <phoneticPr fontId="22" type="noConversion"/>
  </si>
  <si>
    <t>468490602765</t>
    <phoneticPr fontId="22" type="noConversion"/>
  </si>
  <si>
    <t>重庆小兵电热元件有限公司</t>
    <phoneticPr fontId="22" type="noConversion"/>
  </si>
  <si>
    <t>2002527</t>
    <phoneticPr fontId="22" type="noConversion"/>
  </si>
  <si>
    <t>王老师</t>
    <phoneticPr fontId="22" type="noConversion"/>
  </si>
  <si>
    <t>60952452</t>
    <phoneticPr fontId="22" type="noConversion"/>
  </si>
  <si>
    <t>渝州新城第2-6、8、9负2-B039号</t>
    <phoneticPr fontId="22" type="noConversion"/>
  </si>
  <si>
    <t>01418111</t>
    <phoneticPr fontId="22" type="noConversion"/>
  </si>
  <si>
    <t>2002518</t>
    <phoneticPr fontId="22" type="noConversion"/>
  </si>
  <si>
    <t>周如洪</t>
    <phoneticPr fontId="22" type="noConversion"/>
  </si>
  <si>
    <t>13500346050</t>
    <phoneticPr fontId="22" type="noConversion"/>
  </si>
  <si>
    <t>綦江县</t>
    <phoneticPr fontId="22" type="noConversion"/>
  </si>
  <si>
    <t>023149159700</t>
    <phoneticPr fontId="22" type="noConversion"/>
  </si>
  <si>
    <t>教堂鑫欣床垫厂</t>
    <phoneticPr fontId="22" type="noConversion"/>
  </si>
  <si>
    <t>2002519</t>
    <phoneticPr fontId="22" type="noConversion"/>
  </si>
  <si>
    <t>申通到付</t>
    <phoneticPr fontId="22" type="noConversion"/>
  </si>
  <si>
    <t>尹全仿</t>
    <phoneticPr fontId="22" type="noConversion"/>
  </si>
  <si>
    <t>15826320888</t>
    <phoneticPr fontId="22" type="noConversion"/>
  </si>
  <si>
    <t>巫山县巫峡路101号</t>
    <phoneticPr fontId="22" type="noConversion"/>
  </si>
  <si>
    <t>9022A</t>
    <phoneticPr fontId="22" type="noConversion"/>
  </si>
  <si>
    <t>2002528</t>
    <phoneticPr fontId="22" type="noConversion"/>
  </si>
  <si>
    <t>重庆高新物流到付</t>
    <phoneticPr fontId="22" type="noConversion"/>
  </si>
  <si>
    <t>王茜</t>
    <phoneticPr fontId="22" type="noConversion"/>
  </si>
  <si>
    <t>15908398531</t>
    <phoneticPr fontId="22" type="noConversion"/>
  </si>
  <si>
    <t>宜宾</t>
    <phoneticPr fontId="22" type="noConversion"/>
  </si>
  <si>
    <t>0048937</t>
    <phoneticPr fontId="22" type="noConversion"/>
  </si>
  <si>
    <t>綦江县鑫页岩砖厂</t>
    <phoneticPr fontId="22" type="noConversion"/>
  </si>
  <si>
    <t>2002520</t>
    <phoneticPr fontId="22" type="noConversion"/>
  </si>
  <si>
    <t>犹共兴</t>
    <phoneticPr fontId="22" type="noConversion"/>
  </si>
  <si>
    <t>13883956789</t>
    <phoneticPr fontId="22" type="noConversion"/>
  </si>
  <si>
    <t>綦江区打通镇</t>
    <phoneticPr fontId="22" type="noConversion"/>
  </si>
  <si>
    <t>重庆奥伦沙发制造厂</t>
    <phoneticPr fontId="22" type="noConversion"/>
  </si>
  <si>
    <t>2002561</t>
    <phoneticPr fontId="22" type="noConversion"/>
  </si>
  <si>
    <t>李昌胤</t>
    <phoneticPr fontId="22" type="noConversion"/>
  </si>
  <si>
    <t>13320267539</t>
    <phoneticPr fontId="22" type="noConversion"/>
  </si>
  <si>
    <t>巴南区花溪镇建新村十二社</t>
    <phoneticPr fontId="22" type="noConversion"/>
  </si>
  <si>
    <t>2002529</t>
    <phoneticPr fontId="22" type="noConversion"/>
  </si>
  <si>
    <t>3701CN</t>
    <phoneticPr fontId="22" type="noConversion"/>
  </si>
  <si>
    <t>2002530</t>
    <phoneticPr fontId="22" type="noConversion"/>
  </si>
  <si>
    <t>铁轩快运到付</t>
    <phoneticPr fontId="22" type="noConversion"/>
  </si>
  <si>
    <t>龙柳昆</t>
    <phoneticPr fontId="22" type="noConversion"/>
  </si>
  <si>
    <t>15987175322</t>
    <phoneticPr fontId="22" type="noConversion"/>
  </si>
  <si>
    <t>212583</t>
    <phoneticPr fontId="22" type="noConversion"/>
  </si>
  <si>
    <t>00215920</t>
    <phoneticPr fontId="22" type="noConversion"/>
  </si>
  <si>
    <t>023155145740</t>
    <phoneticPr fontId="22" type="noConversion"/>
  </si>
  <si>
    <t>00215921</t>
    <phoneticPr fontId="22" type="noConversion"/>
  </si>
  <si>
    <t>2002531</t>
    <phoneticPr fontId="22" type="noConversion"/>
  </si>
  <si>
    <t>3003K-100</t>
    <phoneticPr fontId="22" type="noConversion"/>
  </si>
  <si>
    <t>468490602766</t>
    <phoneticPr fontId="22" type="noConversion"/>
  </si>
  <si>
    <t>和宏家具厂</t>
    <phoneticPr fontId="22" type="noConversion"/>
  </si>
  <si>
    <t>2002562</t>
    <phoneticPr fontId="22" type="noConversion"/>
  </si>
  <si>
    <t>屈传宏</t>
    <phoneticPr fontId="22" type="noConversion"/>
  </si>
  <si>
    <t>15823137460</t>
    <phoneticPr fontId="22" type="noConversion"/>
  </si>
  <si>
    <t>九龙坡区含古镇净龙工业园区</t>
    <phoneticPr fontId="22" type="noConversion"/>
  </si>
  <si>
    <t>名门安力可家具厂</t>
    <phoneticPr fontId="22" type="noConversion"/>
  </si>
  <si>
    <t>2002563</t>
    <phoneticPr fontId="22" type="noConversion"/>
  </si>
  <si>
    <t>刘建</t>
    <phoneticPr fontId="22" type="noConversion"/>
  </si>
  <si>
    <t>18996681313</t>
    <phoneticPr fontId="22" type="noConversion"/>
  </si>
  <si>
    <t>白市驿净龙三社</t>
    <phoneticPr fontId="22" type="noConversion"/>
  </si>
  <si>
    <t>个人分销商</t>
    <phoneticPr fontId="22" type="noConversion"/>
  </si>
  <si>
    <t>中行对私</t>
    <phoneticPr fontId="22" type="noConversion"/>
  </si>
  <si>
    <t>2002564</t>
    <phoneticPr fontId="22" type="noConversion"/>
  </si>
  <si>
    <t>李洋</t>
    <phoneticPr fontId="22" type="noConversion"/>
  </si>
  <si>
    <t>18623109398</t>
    <phoneticPr fontId="22" type="noConversion"/>
  </si>
  <si>
    <t>永川工商局对面</t>
    <phoneticPr fontId="22" type="noConversion"/>
  </si>
  <si>
    <t>023149165740</t>
    <phoneticPr fontId="22" type="noConversion"/>
  </si>
  <si>
    <t>重庆远新商贸有限责任公司</t>
    <phoneticPr fontId="22" type="noConversion"/>
  </si>
  <si>
    <t>2002532</t>
    <phoneticPr fontId="22" type="noConversion"/>
  </si>
  <si>
    <t>罗瑞</t>
    <phoneticPr fontId="22" type="noConversion"/>
  </si>
  <si>
    <t>15808057121</t>
    <phoneticPr fontId="22" type="noConversion"/>
  </si>
  <si>
    <t>02962117</t>
    <phoneticPr fontId="22" type="noConversion"/>
  </si>
  <si>
    <t>重庆创新劳动防护用品有限公司</t>
    <phoneticPr fontId="22" type="noConversion"/>
  </si>
  <si>
    <t>2002533</t>
    <phoneticPr fontId="22" type="noConversion"/>
  </si>
  <si>
    <t>01418128</t>
    <phoneticPr fontId="22" type="noConversion"/>
  </si>
  <si>
    <t>0006304</t>
    <phoneticPr fontId="22" type="noConversion"/>
  </si>
  <si>
    <t>龙溪镇劳保</t>
    <phoneticPr fontId="22" type="noConversion"/>
  </si>
  <si>
    <t>2002534</t>
    <phoneticPr fontId="22" type="noConversion"/>
  </si>
  <si>
    <t xml:space="preserve">自提 </t>
    <phoneticPr fontId="22" type="noConversion"/>
  </si>
  <si>
    <t>15023078788</t>
    <phoneticPr fontId="22" type="noConversion"/>
  </si>
  <si>
    <t>石坪桥西郊医院对面</t>
    <phoneticPr fontId="22" type="noConversion"/>
  </si>
  <si>
    <t>2002535</t>
    <phoneticPr fontId="22" type="noConversion"/>
  </si>
  <si>
    <t>0006282</t>
    <phoneticPr fontId="22" type="noConversion"/>
  </si>
  <si>
    <t>2002536</t>
    <phoneticPr fontId="22" type="noConversion"/>
  </si>
  <si>
    <t>五金机电交易场</t>
    <phoneticPr fontId="22" type="noConversion"/>
  </si>
  <si>
    <t>重庆洲欣建材有限公司</t>
    <phoneticPr fontId="22" type="noConversion"/>
  </si>
  <si>
    <t>2002566</t>
    <phoneticPr fontId="22" type="noConversion"/>
  </si>
  <si>
    <t>柯先生</t>
    <phoneticPr fontId="22" type="noConversion"/>
  </si>
  <si>
    <t>13638302557</t>
    <phoneticPr fontId="22" type="noConversion"/>
  </si>
  <si>
    <t>重庆市巴南区南泉自由村七社</t>
    <phoneticPr fontId="22" type="noConversion"/>
  </si>
  <si>
    <t>00269117</t>
    <phoneticPr fontId="22" type="noConversion"/>
  </si>
  <si>
    <t>普票</t>
    <phoneticPr fontId="22" type="noConversion"/>
  </si>
  <si>
    <t>340-4004</t>
    <phoneticPr fontId="22" type="noConversion"/>
  </si>
  <si>
    <t>世纪兴货运到付</t>
    <phoneticPr fontId="22" type="noConversion"/>
  </si>
  <si>
    <t>0044267</t>
    <phoneticPr fontId="22" type="noConversion"/>
  </si>
  <si>
    <t>02962123-02962124</t>
    <phoneticPr fontId="22" type="noConversion"/>
  </si>
  <si>
    <t>11669.6-4568.64</t>
    <phoneticPr fontId="22" type="noConversion"/>
  </si>
  <si>
    <t>凯高（重庆）有限公司</t>
    <phoneticPr fontId="22" type="noConversion"/>
  </si>
  <si>
    <t>2002567</t>
    <phoneticPr fontId="22" type="noConversion"/>
  </si>
  <si>
    <t>邹祖伟</t>
    <phoneticPr fontId="22" type="noConversion"/>
  </si>
  <si>
    <t>13638223998</t>
    <phoneticPr fontId="22" type="noConversion"/>
  </si>
  <si>
    <t>重庆涪陵区李渡工业园区标准化厂房D、E栋</t>
    <phoneticPr fontId="22" type="noConversion"/>
  </si>
  <si>
    <t>023149165795</t>
    <phoneticPr fontId="22" type="noConversion"/>
  </si>
  <si>
    <t>00215916</t>
    <phoneticPr fontId="22" type="noConversion"/>
  </si>
  <si>
    <t>来福门窗厂</t>
    <phoneticPr fontId="22" type="noConversion"/>
  </si>
  <si>
    <t>2002568</t>
    <phoneticPr fontId="22" type="noConversion"/>
  </si>
  <si>
    <t>周建珍</t>
    <phoneticPr fontId="22" type="noConversion"/>
  </si>
  <si>
    <t>13436046338</t>
    <phoneticPr fontId="22" type="noConversion"/>
  </si>
  <si>
    <t>沙坪坝区歌乐山镇</t>
    <phoneticPr fontId="22" type="noConversion"/>
  </si>
  <si>
    <t>2002537</t>
    <phoneticPr fontId="22" type="noConversion"/>
  </si>
  <si>
    <t>重庆力宏物流到付李平</t>
    <phoneticPr fontId="22" type="noConversion"/>
  </si>
  <si>
    <t>李平</t>
    <phoneticPr fontId="22" type="noConversion"/>
  </si>
  <si>
    <t>13985105894</t>
    <phoneticPr fontId="22" type="noConversion"/>
  </si>
  <si>
    <t>0015899</t>
    <phoneticPr fontId="22" type="noConversion"/>
  </si>
  <si>
    <t>02962119</t>
    <phoneticPr fontId="22" type="noConversion"/>
  </si>
  <si>
    <t>贵州久煜物资有限公司</t>
    <phoneticPr fontId="22" type="noConversion"/>
  </si>
  <si>
    <t>9041A</t>
    <phoneticPr fontId="22" type="noConversion"/>
  </si>
  <si>
    <t>黎宏林</t>
    <phoneticPr fontId="22" type="noConversion"/>
  </si>
  <si>
    <t>13885175205</t>
    <phoneticPr fontId="22" type="noConversion"/>
  </si>
  <si>
    <t>贵阳小河区航天园</t>
    <phoneticPr fontId="22" type="noConversion"/>
  </si>
  <si>
    <t>023149165786</t>
    <phoneticPr fontId="22" type="noConversion"/>
  </si>
  <si>
    <t>李波</t>
    <phoneticPr fontId="22" type="noConversion"/>
  </si>
  <si>
    <t>13888711638</t>
    <phoneticPr fontId="22" type="noConversion"/>
  </si>
  <si>
    <t>昆明市环城南路668号云纺国际商厦4F-65</t>
    <phoneticPr fontId="22" type="noConversion"/>
  </si>
  <si>
    <t>81130649</t>
    <phoneticPr fontId="22" type="noConversion"/>
  </si>
  <si>
    <t>00215923</t>
    <phoneticPr fontId="22" type="noConversion"/>
  </si>
  <si>
    <t>截止8.3</t>
    <phoneticPr fontId="22" type="noConversion"/>
  </si>
  <si>
    <t>宝山木业</t>
    <phoneticPr fontId="22" type="noConversion"/>
  </si>
  <si>
    <t>2002569</t>
    <phoneticPr fontId="22" type="noConversion"/>
  </si>
  <si>
    <t>林先生</t>
    <phoneticPr fontId="22" type="noConversion"/>
  </si>
  <si>
    <t>13512345636</t>
    <phoneticPr fontId="22" type="noConversion"/>
  </si>
  <si>
    <t>9102CS</t>
    <phoneticPr fontId="22" type="noConversion"/>
  </si>
  <si>
    <t>重庆三恩科技发展有限公司</t>
    <phoneticPr fontId="22" type="noConversion"/>
  </si>
  <si>
    <t>2002538</t>
    <phoneticPr fontId="22" type="noConversion"/>
  </si>
  <si>
    <t>邓一帆</t>
    <phoneticPr fontId="22" type="noConversion"/>
  </si>
  <si>
    <t>13883314110</t>
    <phoneticPr fontId="22" type="noConversion"/>
  </si>
  <si>
    <t>00215935</t>
    <phoneticPr fontId="22" type="noConversion"/>
  </si>
  <si>
    <t>重庆跨越卓远机械制造有限公司</t>
    <phoneticPr fontId="22" type="noConversion"/>
  </si>
  <si>
    <t>2002570</t>
    <phoneticPr fontId="22" type="noConversion"/>
  </si>
  <si>
    <t>重庆高新物流现付</t>
    <phoneticPr fontId="22" type="noConversion"/>
  </si>
  <si>
    <t>张翔</t>
    <phoneticPr fontId="22" type="noConversion"/>
  </si>
  <si>
    <t>0004977</t>
    <phoneticPr fontId="22" type="noConversion"/>
  </si>
  <si>
    <t>01418112</t>
    <phoneticPr fontId="22" type="noConversion"/>
  </si>
  <si>
    <t>023159126372</t>
    <phoneticPr fontId="22" type="noConversion"/>
  </si>
  <si>
    <t>01418113</t>
    <phoneticPr fontId="22" type="noConversion"/>
  </si>
  <si>
    <t>月结</t>
    <phoneticPr fontId="22" type="noConversion"/>
  </si>
  <si>
    <t>四川川环科技股份有限公司</t>
    <phoneticPr fontId="22" type="noConversion"/>
  </si>
  <si>
    <t>2002571</t>
    <phoneticPr fontId="22" type="noConversion"/>
  </si>
  <si>
    <t>刘小姐</t>
    <phoneticPr fontId="22" type="noConversion"/>
  </si>
  <si>
    <t>02962120</t>
    <phoneticPr fontId="22" type="noConversion"/>
  </si>
  <si>
    <t>023149165731</t>
    <phoneticPr fontId="22" type="noConversion"/>
  </si>
  <si>
    <t>02962124</t>
    <phoneticPr fontId="22" type="noConversion"/>
  </si>
  <si>
    <t>2002572</t>
    <phoneticPr fontId="22" type="noConversion"/>
  </si>
  <si>
    <t>铁轩快运</t>
    <phoneticPr fontId="22" type="noConversion"/>
  </si>
  <si>
    <t>210321</t>
    <phoneticPr fontId="22" type="noConversion"/>
  </si>
  <si>
    <t>00215922</t>
    <phoneticPr fontId="22" type="noConversion"/>
  </si>
  <si>
    <t>含运费30元</t>
    <phoneticPr fontId="22" type="noConversion"/>
  </si>
  <si>
    <t>昆明贤哲经贸有限公司</t>
    <phoneticPr fontId="22" type="noConversion"/>
  </si>
  <si>
    <t>2002573</t>
    <phoneticPr fontId="22" type="noConversion"/>
  </si>
  <si>
    <t>杨品琴</t>
    <phoneticPr fontId="22" type="noConversion"/>
  </si>
  <si>
    <t>13888391766</t>
    <phoneticPr fontId="22" type="noConversion"/>
  </si>
  <si>
    <t>昆明市金光大道</t>
    <phoneticPr fontId="22" type="noConversion"/>
  </si>
  <si>
    <t>83619263</t>
    <phoneticPr fontId="22" type="noConversion"/>
  </si>
  <si>
    <t>00215914-00215912</t>
    <phoneticPr fontId="22" type="noConversion"/>
  </si>
  <si>
    <t>7245-11655</t>
    <phoneticPr fontId="22" type="noConversion"/>
  </si>
  <si>
    <t>2002574</t>
    <phoneticPr fontId="22" type="noConversion"/>
  </si>
  <si>
    <t>重庆永德运输到付</t>
    <phoneticPr fontId="22" type="noConversion"/>
  </si>
  <si>
    <t>开县</t>
    <phoneticPr fontId="22" type="noConversion"/>
  </si>
  <si>
    <t>105010376</t>
    <phoneticPr fontId="22" type="noConversion"/>
  </si>
  <si>
    <t>开县庆林木业</t>
    <phoneticPr fontId="22" type="noConversion"/>
  </si>
  <si>
    <t>2002574</t>
    <phoneticPr fontId="22" type="noConversion"/>
  </si>
  <si>
    <t>重庆永德运输到付</t>
    <phoneticPr fontId="22" type="noConversion"/>
  </si>
  <si>
    <t>个人</t>
    <phoneticPr fontId="22" type="noConversion"/>
  </si>
  <si>
    <t>2002540</t>
    <phoneticPr fontId="22" type="noConversion"/>
  </si>
  <si>
    <t>李宣成</t>
    <phoneticPr fontId="22" type="noConversion"/>
  </si>
  <si>
    <t>13068376422</t>
    <phoneticPr fontId="22" type="noConversion"/>
  </si>
  <si>
    <t>奉节</t>
    <phoneticPr fontId="22" type="noConversion"/>
  </si>
  <si>
    <t>0001288</t>
    <phoneticPr fontId="22" type="noConversion"/>
  </si>
  <si>
    <t>重庆飞达货运到付</t>
    <phoneticPr fontId="22" type="noConversion"/>
  </si>
  <si>
    <t>重庆市城口县来凤铁合金有限公司</t>
    <phoneticPr fontId="22" type="noConversion"/>
  </si>
  <si>
    <t>2002575</t>
    <phoneticPr fontId="22" type="noConversion"/>
  </si>
  <si>
    <t>重庆市滨海物流到付</t>
    <phoneticPr fontId="22" type="noConversion"/>
  </si>
  <si>
    <t>卫九霖</t>
    <phoneticPr fontId="22" type="noConversion"/>
  </si>
  <si>
    <t>13709449162</t>
    <phoneticPr fontId="22" type="noConversion"/>
  </si>
  <si>
    <t>重庆城口县高燕乡</t>
    <phoneticPr fontId="22" type="noConversion"/>
  </si>
  <si>
    <t>0021193</t>
    <phoneticPr fontId="22" type="noConversion"/>
  </si>
  <si>
    <t>02962127</t>
    <phoneticPr fontId="22" type="noConversion"/>
  </si>
  <si>
    <t>重庆冠淦商贸有限公司</t>
    <phoneticPr fontId="22" type="noConversion"/>
  </si>
  <si>
    <t>2002577</t>
    <phoneticPr fontId="22" type="noConversion"/>
  </si>
  <si>
    <t>周晓娥</t>
    <phoneticPr fontId="22" type="noConversion"/>
  </si>
  <si>
    <t>18996330888</t>
    <phoneticPr fontId="22" type="noConversion"/>
  </si>
  <si>
    <t>九龙坡区走马镇</t>
    <phoneticPr fontId="22" type="noConversion"/>
  </si>
  <si>
    <t>2002542</t>
    <phoneticPr fontId="22" type="noConversion"/>
  </si>
  <si>
    <t>德邦物流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</si>
  <si>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</si>
  <si>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</si>
  <si>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</si>
  <si>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83619265</t>
    <phoneticPr fontId="22" type="noConversion"/>
  </si>
  <si>
    <t>02962130</t>
    <phoneticPr fontId="22" type="noConversion"/>
  </si>
  <si>
    <t>02962132-02962131</t>
    <phoneticPr fontId="22" type="noConversion"/>
  </si>
  <si>
    <t>11568.55-11690.95</t>
    <phoneticPr fontId="22" type="noConversion"/>
  </si>
  <si>
    <t>6003CN</t>
    <phoneticPr fontId="22" type="noConversion"/>
  </si>
  <si>
    <t>02962132</t>
    <phoneticPr fontId="22" type="noConversion"/>
  </si>
  <si>
    <t>02962135-02962134-02962133</t>
    <phoneticPr fontId="22" type="noConversion"/>
  </si>
  <si>
    <t>2530.74-11386.8-11386.8</t>
    <phoneticPr fontId="22" type="noConversion"/>
  </si>
  <si>
    <t>2002542</t>
    <phoneticPr fontId="22" type="noConversion"/>
  </si>
  <si>
    <t>德邦物流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</si>
  <si>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</si>
  <si>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</si>
  <si>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</si>
  <si>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83619265</t>
    <phoneticPr fontId="22" type="noConversion"/>
  </si>
  <si>
    <t>02962130</t>
    <phoneticPr fontId="22" type="noConversion"/>
  </si>
  <si>
    <t>2002541</t>
    <phoneticPr fontId="22" type="noConversion"/>
  </si>
  <si>
    <t>3744K</t>
    <phoneticPr fontId="22" type="noConversion"/>
  </si>
  <si>
    <t>重庆横河川仪有限公司</t>
    <phoneticPr fontId="37" type="noConversion"/>
  </si>
  <si>
    <t xml:space="preserve">中行对私 </t>
    <phoneticPr fontId="22" type="noConversion"/>
  </si>
  <si>
    <t>2002578</t>
    <phoneticPr fontId="22" type="noConversion"/>
  </si>
  <si>
    <t>蒋清银</t>
    <phoneticPr fontId="22" type="noConversion"/>
  </si>
  <si>
    <t>13308351550</t>
    <phoneticPr fontId="22" type="noConversion"/>
  </si>
  <si>
    <t>重庆市北部新区黄山大道中段61号</t>
    <phoneticPr fontId="22" type="noConversion"/>
  </si>
  <si>
    <t>023155081229</t>
    <phoneticPr fontId="22" type="noConversion"/>
  </si>
  <si>
    <t>1711AF</t>
    <phoneticPr fontId="22" type="noConversion"/>
  </si>
  <si>
    <t>2002579</t>
    <phoneticPr fontId="22" type="noConversion"/>
  </si>
  <si>
    <t>02962128</t>
    <phoneticPr fontId="22" type="noConversion"/>
  </si>
  <si>
    <t>重庆思贝肯节能技术开发有限公司</t>
    <phoneticPr fontId="38" type="noConversion"/>
  </si>
  <si>
    <t>2002580</t>
    <phoneticPr fontId="22" type="noConversion"/>
  </si>
  <si>
    <t>何小姐</t>
    <phoneticPr fontId="22" type="noConversion"/>
  </si>
  <si>
    <t>13617678224</t>
    <phoneticPr fontId="22" type="noConversion"/>
  </si>
  <si>
    <t>巴福镇</t>
    <phoneticPr fontId="22" type="noConversion"/>
  </si>
  <si>
    <t>02962125</t>
    <phoneticPr fontId="22" type="noConversion"/>
  </si>
  <si>
    <t>318-1005</t>
    <phoneticPr fontId="22" type="noConversion"/>
  </si>
  <si>
    <t>0043550</t>
    <phoneticPr fontId="22" type="noConversion"/>
  </si>
  <si>
    <t>00215931</t>
    <phoneticPr fontId="22" type="noConversion"/>
  </si>
  <si>
    <t>00215925</t>
    <phoneticPr fontId="22" type="noConversion"/>
  </si>
  <si>
    <t>2002543</t>
    <phoneticPr fontId="22" type="noConversion"/>
  </si>
  <si>
    <t>自贡市永顺化工建材有限公司</t>
    <phoneticPr fontId="22" type="noConversion"/>
  </si>
  <si>
    <t>2002544</t>
    <phoneticPr fontId="22" type="noConversion"/>
  </si>
  <si>
    <t>杨界红</t>
    <phoneticPr fontId="22" type="noConversion"/>
  </si>
  <si>
    <t>自贡</t>
    <phoneticPr fontId="22" type="noConversion"/>
  </si>
  <si>
    <t>0072754</t>
    <phoneticPr fontId="22" type="noConversion"/>
  </si>
  <si>
    <t>01758453</t>
    <phoneticPr fontId="22" type="noConversion"/>
  </si>
  <si>
    <t>2002545</t>
    <phoneticPr fontId="22" type="noConversion"/>
  </si>
  <si>
    <t>丰老师</t>
    <phoneticPr fontId="22" type="noConversion"/>
  </si>
  <si>
    <t>重庆德克工具五金有限公司</t>
    <phoneticPr fontId="22" type="noConversion"/>
  </si>
  <si>
    <t>Ansell</t>
    <phoneticPr fontId="22" type="noConversion"/>
  </si>
  <si>
    <t>23-700</t>
    <phoneticPr fontId="22" type="noConversion"/>
  </si>
  <si>
    <t>双</t>
    <phoneticPr fontId="22" type="noConversion"/>
  </si>
  <si>
    <t>2002546</t>
    <phoneticPr fontId="22" type="noConversion"/>
  </si>
  <si>
    <t>02962126</t>
    <phoneticPr fontId="22" type="noConversion"/>
  </si>
  <si>
    <t>渠道</t>
    <phoneticPr fontId="22" type="noConversion"/>
  </si>
  <si>
    <t>3M</t>
    <phoneticPr fontId="22" type="noConversion"/>
  </si>
  <si>
    <t>片</t>
    <phoneticPr fontId="22" type="noConversion"/>
  </si>
  <si>
    <t>中行对公</t>
    <phoneticPr fontId="22" type="noConversion"/>
  </si>
  <si>
    <t>2002548</t>
    <phoneticPr fontId="22" type="noConversion"/>
  </si>
  <si>
    <t>申通快递</t>
    <phoneticPr fontId="22" type="noConversion"/>
  </si>
  <si>
    <t>陈荣表</t>
    <phoneticPr fontId="22" type="noConversion"/>
  </si>
  <si>
    <t>0812-2511885</t>
    <phoneticPr fontId="22" type="noConversion"/>
  </si>
  <si>
    <t>攀枝花大道南段265号</t>
    <phoneticPr fontId="22" type="noConversion"/>
  </si>
  <si>
    <t>568105803535</t>
    <phoneticPr fontId="22" type="noConversion"/>
  </si>
  <si>
    <t>02962132</t>
    <phoneticPr fontId="22" type="noConversion"/>
  </si>
  <si>
    <t>开县庆林木业</t>
    <phoneticPr fontId="22" type="noConversion"/>
  </si>
  <si>
    <t>个</t>
    <phoneticPr fontId="22" type="noConversion"/>
  </si>
  <si>
    <t>农行对私</t>
    <phoneticPr fontId="22" type="noConversion"/>
  </si>
  <si>
    <t>5016002</t>
    <phoneticPr fontId="22" type="noConversion"/>
  </si>
  <si>
    <t>0007173</t>
    <phoneticPr fontId="22" type="noConversion"/>
  </si>
  <si>
    <t>不开票</t>
    <phoneticPr fontId="22" type="noConversion"/>
  </si>
  <si>
    <t>开县庆林木业</t>
    <phoneticPr fontId="22" type="noConversion"/>
  </si>
  <si>
    <t>3M</t>
    <phoneticPr fontId="22" type="noConversion"/>
  </si>
  <si>
    <t>5016002</t>
    <phoneticPr fontId="22" type="noConversion"/>
  </si>
  <si>
    <t>3301CN</t>
    <phoneticPr fontId="22" type="noConversion"/>
  </si>
  <si>
    <t>个</t>
    <phoneticPr fontId="22" type="noConversion"/>
  </si>
  <si>
    <t>农行对私</t>
    <phoneticPr fontId="22" type="noConversion"/>
  </si>
  <si>
    <t>5016002</t>
    <phoneticPr fontId="22" type="noConversion"/>
  </si>
  <si>
    <t>重庆高新物流到付</t>
    <phoneticPr fontId="22" type="noConversion"/>
  </si>
  <si>
    <t>重庆市法拉加斯鞋业有限责任公司</t>
    <phoneticPr fontId="22" type="noConversion"/>
  </si>
  <si>
    <t>折叠式防护口罩(环保包装)</t>
    <phoneticPr fontId="22" type="noConversion"/>
  </si>
  <si>
    <t>9002A</t>
    <phoneticPr fontId="22" type="noConversion"/>
  </si>
  <si>
    <t>中行对公</t>
    <phoneticPr fontId="22" type="noConversion"/>
  </si>
  <si>
    <t>5016003</t>
    <phoneticPr fontId="22" type="noConversion"/>
  </si>
  <si>
    <t>钟成龙</t>
    <phoneticPr fontId="22" type="noConversion"/>
  </si>
  <si>
    <t>13637863793</t>
    <phoneticPr fontId="22" type="noConversion"/>
  </si>
  <si>
    <t>0023288</t>
    <phoneticPr fontId="22" type="noConversion"/>
  </si>
  <si>
    <t>00215911</t>
    <phoneticPr fontId="22" type="noConversion"/>
  </si>
  <si>
    <t>自贡市永顺化工建材有限公司</t>
    <phoneticPr fontId="22" type="noConversion"/>
  </si>
  <si>
    <t>2002547</t>
    <phoneticPr fontId="22" type="noConversion"/>
  </si>
  <si>
    <t>世纪兴货运到付</t>
    <phoneticPr fontId="22" type="noConversion"/>
  </si>
  <si>
    <t>杨界红</t>
    <phoneticPr fontId="22" type="noConversion"/>
  </si>
  <si>
    <t>15908398531</t>
    <phoneticPr fontId="22" type="noConversion"/>
  </si>
  <si>
    <t>自贡</t>
    <phoneticPr fontId="22" type="noConversion"/>
  </si>
  <si>
    <t>0073024</t>
    <phoneticPr fontId="22" type="noConversion"/>
  </si>
  <si>
    <t>01758453</t>
    <phoneticPr fontId="22" type="noConversion"/>
  </si>
  <si>
    <t>渠道</t>
    <phoneticPr fontId="22" type="noConversion"/>
  </si>
  <si>
    <t>重庆市利通空调净化设备有限公司</t>
    <phoneticPr fontId="22" type="noConversion"/>
  </si>
  <si>
    <t>3701CN</t>
    <phoneticPr fontId="22" type="noConversion"/>
  </si>
  <si>
    <t>现金</t>
    <phoneticPr fontId="22" type="noConversion"/>
  </si>
  <si>
    <t>5016005</t>
    <phoneticPr fontId="22" type="noConversion"/>
  </si>
  <si>
    <t>自提</t>
    <phoneticPr fontId="22" type="noConversion"/>
  </si>
  <si>
    <t>张清平</t>
    <phoneticPr fontId="22" type="noConversion"/>
  </si>
  <si>
    <t>13320340436</t>
    <phoneticPr fontId="22" type="noConversion"/>
  </si>
  <si>
    <t>重庆市南岸区南坪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</si>
  <si>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</si>
  <si>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</si>
  <si>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</si>
  <si>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昆明海世定泰商贸有限公司</t>
    <phoneticPr fontId="22" type="noConversion"/>
  </si>
  <si>
    <t>双面胶</t>
    <phoneticPr fontId="22" type="noConversion"/>
  </si>
  <si>
    <t>平方米</t>
    <phoneticPr fontId="22" type="noConversion"/>
  </si>
  <si>
    <t>顺丰快递</t>
    <phoneticPr fontId="22" type="noConversion"/>
  </si>
  <si>
    <t>龙柳昆</t>
    <phoneticPr fontId="22" type="noConversion"/>
  </si>
  <si>
    <t>15987175322</t>
    <phoneticPr fontId="22" type="noConversion"/>
  </si>
  <si>
    <t>023155078015</t>
    <phoneticPr fontId="22" type="noConversion"/>
  </si>
  <si>
    <t>00215921</t>
    <phoneticPr fontId="22" type="noConversion"/>
  </si>
  <si>
    <t>023155145740</t>
    <phoneticPr fontId="22" type="noConversion"/>
  </si>
  <si>
    <t>重庆诚济医疗器械有限公司</t>
    <phoneticPr fontId="22" type="noConversion"/>
  </si>
  <si>
    <t>1621AF</t>
    <phoneticPr fontId="22" type="noConversion"/>
  </si>
  <si>
    <t>付</t>
    <phoneticPr fontId="22" type="noConversion"/>
  </si>
  <si>
    <t>/</t>
    <phoneticPr fontId="22" type="noConversion"/>
  </si>
  <si>
    <t>023155078006</t>
    <phoneticPr fontId="22" type="noConversion"/>
  </si>
  <si>
    <t>01418124</t>
    <phoneticPr fontId="22" type="noConversion"/>
  </si>
  <si>
    <t>渝北区广源劳保用品经营部</t>
    <phoneticPr fontId="22" type="noConversion"/>
  </si>
  <si>
    <t>3N11CN</t>
    <phoneticPr fontId="22" type="noConversion"/>
  </si>
  <si>
    <t>片</t>
    <phoneticPr fontId="22" type="noConversion"/>
  </si>
  <si>
    <t>农行对私</t>
    <phoneticPr fontId="22" type="noConversion"/>
  </si>
  <si>
    <t>0006282</t>
    <phoneticPr fontId="22" type="noConversion"/>
  </si>
  <si>
    <t>重庆顺昌建辉运输到付</t>
    <phoneticPr fontId="22" type="noConversion"/>
  </si>
  <si>
    <t>刘军</t>
    <phoneticPr fontId="22" type="noConversion"/>
  </si>
  <si>
    <t>13452102967</t>
    <phoneticPr fontId="22" type="noConversion"/>
  </si>
  <si>
    <t>0027903</t>
    <phoneticPr fontId="22" type="noConversion"/>
  </si>
  <si>
    <t>不开票</t>
    <phoneticPr fontId="22" type="noConversion"/>
  </si>
  <si>
    <t>月付</t>
    <phoneticPr fontId="22" type="noConversion"/>
  </si>
  <si>
    <t>昆明贤哲经贸有限公司</t>
    <phoneticPr fontId="22" type="noConversion"/>
  </si>
  <si>
    <t>中行对公</t>
    <phoneticPr fontId="22" type="noConversion"/>
  </si>
  <si>
    <t>2002549</t>
    <phoneticPr fontId="22" type="noConversion"/>
  </si>
  <si>
    <t>杨品琴</t>
    <phoneticPr fontId="22" type="noConversion"/>
  </si>
  <si>
    <t>13888391766</t>
    <phoneticPr fontId="22" type="noConversion"/>
  </si>
  <si>
    <t>昆明市金光大道</t>
    <phoneticPr fontId="22" type="noConversion"/>
  </si>
  <si>
    <t>81088572</t>
    <phoneticPr fontId="22" type="noConversion"/>
  </si>
  <si>
    <t>01418109</t>
    <phoneticPr fontId="22" type="noConversion"/>
  </si>
  <si>
    <t>023159126336</t>
    <phoneticPr fontId="22" type="noConversion"/>
  </si>
  <si>
    <t>6002CN</t>
    <phoneticPr fontId="22" type="noConversion"/>
  </si>
  <si>
    <t>德邦物流到付</t>
    <phoneticPr fontId="22" type="noConversion"/>
  </si>
  <si>
    <t>81088573</t>
  </si>
  <si>
    <t>01418107</t>
    <phoneticPr fontId="22" type="noConversion"/>
  </si>
  <si>
    <t>5N11</t>
    <phoneticPr fontId="22" type="noConversion"/>
  </si>
  <si>
    <t>81088574</t>
  </si>
  <si>
    <t>01418110</t>
    <phoneticPr fontId="22" type="noConversion"/>
  </si>
  <si>
    <t>昆明海世定泰商贸有限公司</t>
    <phoneticPr fontId="22" type="noConversion"/>
  </si>
  <si>
    <t>个</t>
    <phoneticPr fontId="22" type="noConversion"/>
  </si>
  <si>
    <t>龙柳昆</t>
    <phoneticPr fontId="22" type="noConversion"/>
  </si>
  <si>
    <t>15987175322</t>
    <phoneticPr fontId="22" type="noConversion"/>
  </si>
  <si>
    <t>9004702</t>
    <phoneticPr fontId="22" type="noConversion"/>
  </si>
  <si>
    <t>00215922</t>
    <phoneticPr fontId="22" type="noConversion"/>
  </si>
  <si>
    <t>023155145740</t>
    <phoneticPr fontId="22" type="noConversion"/>
  </si>
  <si>
    <t>铁轩快运到付</t>
    <phoneticPr fontId="22" type="noConversion"/>
  </si>
  <si>
    <t>00215921</t>
    <phoneticPr fontId="22" type="noConversion"/>
  </si>
  <si>
    <t>9004702</t>
    <phoneticPr fontId="22" type="noConversion"/>
  </si>
  <si>
    <t>FT-30</t>
    <phoneticPr fontId="22" type="noConversion"/>
  </si>
  <si>
    <t>18696791349</t>
    <phoneticPr fontId="22" type="noConversion"/>
  </si>
  <si>
    <t>重庆川东化工（集团）有限公司</t>
    <phoneticPr fontId="22" type="noConversion"/>
  </si>
  <si>
    <t>李老师</t>
    <phoneticPr fontId="22" type="noConversion"/>
  </si>
  <si>
    <t>重庆南岸弹子石新街70号</t>
    <phoneticPr fontId="22" type="noConversion"/>
  </si>
  <si>
    <t>00215915</t>
    <phoneticPr fontId="22" type="noConversion"/>
  </si>
  <si>
    <t>2002551</t>
    <phoneticPr fontId="22" type="noConversion"/>
  </si>
  <si>
    <t>顺丰快递到付</t>
    <phoneticPr fontId="22" type="noConversion"/>
  </si>
  <si>
    <t>023155077967</t>
    <phoneticPr fontId="22" type="noConversion"/>
  </si>
  <si>
    <t>重庆犇牛皮业有限公司</t>
    <phoneticPr fontId="22" type="noConversion"/>
  </si>
  <si>
    <t>5016007</t>
    <phoneticPr fontId="22" type="noConversion"/>
  </si>
  <si>
    <t>王莱娟</t>
    <phoneticPr fontId="22" type="noConversion"/>
  </si>
  <si>
    <t>13983279030</t>
    <phoneticPr fontId="22" type="noConversion"/>
  </si>
  <si>
    <t>江北区港宁路9号港鸿工业园2幢5楼</t>
    <phoneticPr fontId="22" type="noConversion"/>
  </si>
  <si>
    <t>个人经销商</t>
    <phoneticPr fontId="22" type="noConversion"/>
  </si>
  <si>
    <t>天津生产</t>
    <phoneticPr fontId="22" type="noConversion"/>
  </si>
  <si>
    <t>42码</t>
    <phoneticPr fontId="22" type="noConversion"/>
  </si>
  <si>
    <t>重庆市勘测院</t>
    <phoneticPr fontId="22" type="noConversion"/>
  </si>
  <si>
    <t>2002553</t>
    <phoneticPr fontId="22" type="noConversion"/>
  </si>
  <si>
    <t>薛松元</t>
    <phoneticPr fontId="22" type="noConversion"/>
  </si>
  <si>
    <t>重庆市江北区电测村231号</t>
    <phoneticPr fontId="22" type="noConversion"/>
  </si>
  <si>
    <t>023155077949</t>
    <phoneticPr fontId="22" type="noConversion"/>
  </si>
  <si>
    <t>00269120</t>
    <phoneticPr fontId="22" type="noConversion"/>
  </si>
  <si>
    <t>0042753</t>
    <phoneticPr fontId="22" type="noConversion"/>
  </si>
  <si>
    <t>00215925/26/27/28/29/30/31</t>
    <phoneticPr fontId="22" type="noConversion"/>
  </si>
  <si>
    <t>11620/11698.72/11698.72/11698.72/11698.72//11698.72/4132.30</t>
    <phoneticPr fontId="22" type="noConversion"/>
  </si>
  <si>
    <t>9042A</t>
    <phoneticPr fontId="22" type="noConversion"/>
  </si>
  <si>
    <t>攀枝花市百川机电有限责任公司</t>
    <phoneticPr fontId="22" type="noConversion"/>
  </si>
  <si>
    <t>023155078458</t>
    <phoneticPr fontId="22" type="noConversion"/>
  </si>
  <si>
    <t>2002554</t>
    <phoneticPr fontId="22" type="noConversion"/>
  </si>
  <si>
    <t>5016010</t>
    <phoneticPr fontId="22" type="noConversion"/>
  </si>
  <si>
    <t>重庆秋实货运到付、圆通快递</t>
    <phoneticPr fontId="22" type="noConversion"/>
  </si>
  <si>
    <t>伍俊</t>
    <phoneticPr fontId="22" type="noConversion"/>
  </si>
  <si>
    <t>13996690219</t>
    <phoneticPr fontId="22" type="noConversion"/>
  </si>
  <si>
    <t>重庆市云阳县望江大道821号3单元502</t>
    <phoneticPr fontId="22" type="noConversion"/>
  </si>
  <si>
    <t>0010175-7051195930</t>
    <phoneticPr fontId="22" type="noConversion"/>
  </si>
  <si>
    <t>5016008</t>
    <phoneticPr fontId="22" type="noConversion"/>
  </si>
  <si>
    <t>九羚物流到付</t>
    <phoneticPr fontId="22" type="noConversion"/>
  </si>
  <si>
    <t>0020848</t>
    <phoneticPr fontId="22" type="noConversion"/>
  </si>
  <si>
    <t>8210V</t>
    <phoneticPr fontId="22" type="noConversion"/>
  </si>
  <si>
    <t>重庆南洋劳保用品有限公司</t>
    <phoneticPr fontId="22" type="noConversion"/>
  </si>
  <si>
    <t>5016009</t>
    <phoneticPr fontId="22" type="noConversion"/>
  </si>
  <si>
    <t>023-68178153</t>
    <phoneticPr fontId="22" type="noConversion"/>
  </si>
  <si>
    <t>不开票</t>
    <phoneticPr fontId="22" type="noConversion"/>
  </si>
  <si>
    <t>嘉烨</t>
    <phoneticPr fontId="22" type="noConversion"/>
  </si>
  <si>
    <t>渠道</t>
    <phoneticPr fontId="22" type="noConversion"/>
  </si>
  <si>
    <t>重庆辉谐家具</t>
    <phoneticPr fontId="22" type="noConversion"/>
  </si>
  <si>
    <t>3M</t>
    <phoneticPr fontId="22" type="noConversion"/>
  </si>
  <si>
    <t>颗粒物防护口罩-蓝色</t>
    <phoneticPr fontId="22" type="noConversion"/>
  </si>
  <si>
    <t>个</t>
    <phoneticPr fontId="22" type="noConversion"/>
  </si>
  <si>
    <t>农行对私</t>
    <phoneticPr fontId="22" type="noConversion"/>
  </si>
  <si>
    <t>5016011</t>
    <phoneticPr fontId="22" type="noConversion"/>
  </si>
  <si>
    <t>重庆秋实货运到付</t>
    <phoneticPr fontId="22" type="noConversion"/>
  </si>
  <si>
    <t>刘兴春</t>
    <phoneticPr fontId="22" type="noConversion"/>
  </si>
  <si>
    <t>15320703388</t>
    <phoneticPr fontId="22" type="noConversion"/>
  </si>
  <si>
    <t>开县</t>
    <phoneticPr fontId="22" type="noConversion"/>
  </si>
  <si>
    <t>0011908</t>
    <phoneticPr fontId="22" type="noConversion"/>
  </si>
  <si>
    <t>终端</t>
    <phoneticPr fontId="22" type="noConversion"/>
  </si>
  <si>
    <t>尘毒呼吸防护套装经济型</t>
    <phoneticPr fontId="22" type="noConversion"/>
  </si>
  <si>
    <t>320P</t>
    <phoneticPr fontId="22" type="noConversion"/>
  </si>
  <si>
    <t>套</t>
    <phoneticPr fontId="22" type="noConversion"/>
  </si>
  <si>
    <t>子弹型耳塞</t>
    <phoneticPr fontId="22" type="noConversion"/>
  </si>
  <si>
    <t>付</t>
    <phoneticPr fontId="22" type="noConversion"/>
  </si>
  <si>
    <t>白色带帽连体防护服L</t>
    <phoneticPr fontId="22" type="noConversion"/>
  </si>
  <si>
    <t>4620</t>
    <phoneticPr fontId="22" type="noConversion"/>
  </si>
  <si>
    <t>贵阳泰峰实业有限公司</t>
    <phoneticPr fontId="22" type="noConversion"/>
  </si>
  <si>
    <t>3701CN</t>
    <phoneticPr fontId="22" type="noConversion"/>
  </si>
  <si>
    <t>中行对公</t>
    <phoneticPr fontId="22" type="noConversion"/>
  </si>
  <si>
    <t>2002556</t>
    <phoneticPr fontId="22" type="noConversion"/>
  </si>
  <si>
    <t>重庆力宏物流到付</t>
    <phoneticPr fontId="22" type="noConversion"/>
  </si>
  <si>
    <t>0023308</t>
    <phoneticPr fontId="22" type="noConversion"/>
  </si>
  <si>
    <t>01418106</t>
    <phoneticPr fontId="22" type="noConversion"/>
  </si>
  <si>
    <t>023159126405</t>
    <phoneticPr fontId="22" type="noConversion"/>
  </si>
  <si>
    <t>硅胶半面型防护面罩（中号）</t>
    <phoneticPr fontId="22" type="noConversion"/>
  </si>
  <si>
    <t>个</t>
    <phoneticPr fontId="40" type="noConversion"/>
  </si>
  <si>
    <t>2002555</t>
    <phoneticPr fontId="22" type="noConversion"/>
  </si>
  <si>
    <t>顺丰快递</t>
    <phoneticPr fontId="22" type="noConversion"/>
  </si>
  <si>
    <t>023155078449</t>
    <phoneticPr fontId="22" type="noConversion"/>
  </si>
  <si>
    <t>00269121</t>
    <phoneticPr fontId="22" type="noConversion"/>
  </si>
  <si>
    <t>普票</t>
    <phoneticPr fontId="22" type="noConversion"/>
  </si>
  <si>
    <t>终端</t>
    <phoneticPr fontId="22" type="noConversion"/>
  </si>
  <si>
    <t>3M</t>
    <phoneticPr fontId="22" type="noConversion"/>
  </si>
  <si>
    <t>6001CN</t>
    <phoneticPr fontId="22" type="noConversion"/>
  </si>
  <si>
    <t>个</t>
    <phoneticPr fontId="40" type="noConversion"/>
  </si>
  <si>
    <t>中行对公</t>
    <phoneticPr fontId="22" type="noConversion"/>
  </si>
  <si>
    <t>2002555</t>
    <phoneticPr fontId="22" type="noConversion"/>
  </si>
  <si>
    <t>顺丰快递</t>
    <phoneticPr fontId="22" type="noConversion"/>
  </si>
  <si>
    <t>亚洲款舒适型防化学护目镜</t>
    <phoneticPr fontId="22" type="noConversion"/>
  </si>
  <si>
    <t>1623af</t>
    <phoneticPr fontId="22" type="noConversion"/>
  </si>
  <si>
    <t>付</t>
    <phoneticPr fontId="40" type="noConversion"/>
  </si>
  <si>
    <t>颗粒物呼吸防护套装经济型</t>
    <phoneticPr fontId="22" type="noConversion"/>
  </si>
  <si>
    <t>320D</t>
    <phoneticPr fontId="22" type="noConversion"/>
  </si>
  <si>
    <t>套</t>
    <phoneticPr fontId="57" type="noConversion"/>
  </si>
  <si>
    <t>农行对私</t>
    <phoneticPr fontId="22" type="noConversion"/>
  </si>
  <si>
    <t>送货上门</t>
    <phoneticPr fontId="22" type="noConversion"/>
  </si>
  <si>
    <t>李光银</t>
    <phoneticPr fontId="57" type="noConversion"/>
  </si>
  <si>
    <t>/</t>
    <phoneticPr fontId="22" type="noConversion"/>
  </si>
  <si>
    <t>尘毒呼吸防护套装经济型</t>
    <phoneticPr fontId="22" type="noConversion"/>
  </si>
  <si>
    <t>320P</t>
    <phoneticPr fontId="22" type="noConversion"/>
  </si>
  <si>
    <t>个</t>
    <phoneticPr fontId="57" type="noConversion"/>
  </si>
  <si>
    <t>颗粒物防护口罩-蓝色</t>
    <phoneticPr fontId="22" type="noConversion"/>
  </si>
  <si>
    <t>个</t>
    <phoneticPr fontId="22" type="noConversion"/>
  </si>
  <si>
    <t>尘毒呼吸防护套装实用性</t>
    <phoneticPr fontId="22" type="noConversion"/>
  </si>
  <si>
    <t>620P</t>
    <phoneticPr fontId="22" type="noConversion"/>
  </si>
  <si>
    <t>重庆商祺商贸有限公司</t>
    <phoneticPr fontId="22" type="noConversion"/>
  </si>
  <si>
    <t>尘毒呼吸防护套装(MRO)舒适型</t>
    <phoneticPr fontId="22" type="noConversion"/>
  </si>
  <si>
    <t>720P</t>
    <phoneticPr fontId="22" type="noConversion"/>
  </si>
  <si>
    <t>折叠式防护口罩(环保包装)</t>
    <phoneticPr fontId="22" type="noConversion"/>
  </si>
  <si>
    <t>9002A</t>
    <phoneticPr fontId="22" type="noConversion"/>
  </si>
  <si>
    <t>铁轩快运到付</t>
    <phoneticPr fontId="22" type="noConversion"/>
  </si>
  <si>
    <t>15987175322</t>
    <phoneticPr fontId="22" type="noConversion"/>
  </si>
  <si>
    <t>昆明市环城南路668号云纺国际商厦4F-65</t>
    <phoneticPr fontId="22" type="noConversion"/>
  </si>
  <si>
    <t>9006305</t>
    <phoneticPr fontId="22" type="noConversion"/>
  </si>
  <si>
    <t>00215922</t>
    <phoneticPr fontId="22" type="noConversion"/>
  </si>
  <si>
    <t>023155145740</t>
    <phoneticPr fontId="22" type="noConversion"/>
  </si>
  <si>
    <t>个</t>
    <phoneticPr fontId="40" type="noConversion"/>
  </si>
  <si>
    <t>中行对公</t>
    <phoneticPr fontId="22" type="noConversion"/>
  </si>
  <si>
    <t>00215921</t>
    <phoneticPr fontId="22" type="noConversion"/>
  </si>
  <si>
    <t>颗粒物滤棉</t>
    <phoneticPr fontId="22" type="noConversion"/>
  </si>
  <si>
    <t>2091 P100</t>
    <phoneticPr fontId="22" type="noConversion"/>
  </si>
  <si>
    <t>片</t>
    <phoneticPr fontId="22" type="noConversion"/>
  </si>
  <si>
    <t>铁轩快运到付</t>
    <phoneticPr fontId="22" type="noConversion"/>
  </si>
  <si>
    <t>00215923</t>
    <phoneticPr fontId="22" type="noConversion"/>
  </si>
  <si>
    <t>重庆朕尔科技有限公司</t>
    <phoneticPr fontId="22" type="noConversion"/>
  </si>
  <si>
    <t>子弹型带线耳塞</t>
    <phoneticPr fontId="22" type="noConversion"/>
  </si>
  <si>
    <t>付</t>
    <phoneticPr fontId="22" type="noConversion"/>
  </si>
  <si>
    <t>现金</t>
    <phoneticPr fontId="22" type="noConversion"/>
  </si>
  <si>
    <t>5016012</t>
    <phoneticPr fontId="22" type="noConversion"/>
  </si>
  <si>
    <t>自提</t>
    <phoneticPr fontId="22" type="noConversion"/>
  </si>
  <si>
    <t>李勇</t>
    <phoneticPr fontId="22" type="noConversion"/>
  </si>
  <si>
    <t>63672155</t>
    <phoneticPr fontId="22" type="noConversion"/>
  </si>
  <si>
    <t>01911447</t>
    <phoneticPr fontId="22" type="noConversion"/>
  </si>
  <si>
    <t>上海大众</t>
    <phoneticPr fontId="22" type="noConversion"/>
  </si>
  <si>
    <t>子弹型耳塞</t>
    <phoneticPr fontId="22" type="noConversion"/>
  </si>
  <si>
    <t>5016013</t>
    <phoneticPr fontId="22" type="noConversion"/>
  </si>
  <si>
    <t>付后国</t>
    <phoneticPr fontId="22" type="noConversion"/>
  </si>
  <si>
    <t>13220353451</t>
    <phoneticPr fontId="22" type="noConversion"/>
  </si>
  <si>
    <t>不开票</t>
    <phoneticPr fontId="22" type="noConversion"/>
  </si>
  <si>
    <t>嘉烨</t>
    <phoneticPr fontId="22" type="noConversion"/>
  </si>
  <si>
    <t>终端</t>
    <phoneticPr fontId="45" type="noConversion"/>
  </si>
  <si>
    <t>重庆兴富吉实业有限公司</t>
    <phoneticPr fontId="45" type="noConversion"/>
  </si>
  <si>
    <t>5016014</t>
    <phoneticPr fontId="45" type="noConversion"/>
  </si>
  <si>
    <t>顺丰快递</t>
    <phoneticPr fontId="22" type="noConversion"/>
  </si>
  <si>
    <t>曾诚</t>
    <phoneticPr fontId="45" type="noConversion"/>
  </si>
  <si>
    <t>13509408832</t>
    <phoneticPr fontId="45" type="noConversion"/>
  </si>
  <si>
    <t>璧山县青杠街道</t>
    <phoneticPr fontId="45" type="noConversion"/>
  </si>
  <si>
    <t>00215917</t>
    <phoneticPr fontId="45" type="noConversion"/>
  </si>
  <si>
    <t>重庆市港腾科技有限公司</t>
    <phoneticPr fontId="22" type="noConversion"/>
  </si>
  <si>
    <t>5016016</t>
    <phoneticPr fontId="45" type="noConversion"/>
  </si>
  <si>
    <t>张秀英</t>
    <phoneticPr fontId="22" type="noConversion"/>
  </si>
  <si>
    <t>13452968271</t>
    <phoneticPr fontId="45" type="noConversion"/>
  </si>
  <si>
    <t>00215918</t>
    <phoneticPr fontId="45" type="noConversion"/>
  </si>
  <si>
    <t>中国款流线型防护眼镜（透明镜片，防雾）</t>
    <phoneticPr fontId="22" type="noConversion"/>
  </si>
  <si>
    <t>Ultrafit 圣诞树型带线耳塞</t>
    <phoneticPr fontId="22" type="noConversion"/>
  </si>
  <si>
    <t>340-4004</t>
    <phoneticPr fontId="22" type="noConversion"/>
  </si>
  <si>
    <t>渝北区广源劳保用品经营部</t>
    <phoneticPr fontId="22" type="noConversion"/>
  </si>
  <si>
    <t>农行对私</t>
    <phoneticPr fontId="22" type="noConversion"/>
  </si>
  <si>
    <t>重庆高新物流到付</t>
    <phoneticPr fontId="22" type="noConversion"/>
  </si>
  <si>
    <t>刘军</t>
    <phoneticPr fontId="45" type="noConversion"/>
  </si>
  <si>
    <t>中国款流线型防护眼镜（灰色镜片，防雾）</t>
    <phoneticPr fontId="22" type="noConversion"/>
  </si>
  <si>
    <t>昆明贤哲经贸有限公司</t>
    <phoneticPr fontId="22" type="noConversion"/>
  </si>
  <si>
    <t>颗粒物滤棉</t>
    <phoneticPr fontId="22" type="noConversion"/>
  </si>
  <si>
    <t>2002557</t>
    <phoneticPr fontId="22" type="noConversion"/>
  </si>
  <si>
    <t>德邦物流到付</t>
    <phoneticPr fontId="45" type="noConversion"/>
  </si>
  <si>
    <t>杨品琴</t>
    <phoneticPr fontId="22" type="noConversion"/>
  </si>
  <si>
    <t>昆明市金光大道</t>
    <phoneticPr fontId="45" type="noConversion"/>
  </si>
  <si>
    <t>83670158</t>
    <phoneticPr fontId="22" type="noConversion"/>
  </si>
  <si>
    <t>01418109/01418108</t>
    <phoneticPr fontId="22" type="noConversion"/>
  </si>
  <si>
    <t>9425.2/11694.80</t>
    <phoneticPr fontId="22" type="noConversion"/>
  </si>
  <si>
    <t>023159126336</t>
    <phoneticPr fontId="22" type="noConversion"/>
  </si>
  <si>
    <t>01418107</t>
    <phoneticPr fontId="22" type="noConversion"/>
  </si>
  <si>
    <t>个</t>
    <phoneticPr fontId="45" type="noConversion"/>
  </si>
  <si>
    <t>2002557</t>
    <phoneticPr fontId="22" type="noConversion"/>
  </si>
  <si>
    <t>昆明市金光大道</t>
    <phoneticPr fontId="45" type="noConversion"/>
  </si>
  <si>
    <t>83670158</t>
    <phoneticPr fontId="22" type="noConversion"/>
  </si>
  <si>
    <t>01418107</t>
    <phoneticPr fontId="22" type="noConversion"/>
  </si>
  <si>
    <t>023159126336</t>
    <phoneticPr fontId="22" type="noConversion"/>
  </si>
  <si>
    <t>巫溪县渝星建材有限责任公司</t>
    <phoneticPr fontId="22" type="noConversion"/>
  </si>
  <si>
    <t>个</t>
    <phoneticPr fontId="57" type="noConversion"/>
  </si>
  <si>
    <t>5016015</t>
    <phoneticPr fontId="45" type="noConversion"/>
  </si>
  <si>
    <t>顺丰到付</t>
    <phoneticPr fontId="45" type="noConversion"/>
  </si>
  <si>
    <t>朱占雄</t>
    <phoneticPr fontId="45" type="noConversion"/>
  </si>
  <si>
    <t>13452726336</t>
    <phoneticPr fontId="45" type="noConversion"/>
  </si>
  <si>
    <t>重庆市巫溪县文峰镇新镇路194号</t>
    <phoneticPr fontId="45" type="noConversion"/>
  </si>
  <si>
    <t>568105803537</t>
    <phoneticPr fontId="22" type="noConversion"/>
  </si>
  <si>
    <t>00215919</t>
    <phoneticPr fontId="22" type="noConversion"/>
  </si>
  <si>
    <t>终端</t>
    <phoneticPr fontId="45" type="noConversion"/>
  </si>
  <si>
    <t>付</t>
    <phoneticPr fontId="45" type="noConversion"/>
  </si>
  <si>
    <t>现金</t>
    <phoneticPr fontId="45" type="noConversion"/>
  </si>
  <si>
    <t>2002558</t>
    <phoneticPr fontId="45" type="noConversion"/>
  </si>
  <si>
    <t>自提</t>
    <phoneticPr fontId="45" type="noConversion"/>
  </si>
  <si>
    <t>三色套装门有限公司</t>
    <phoneticPr fontId="22" type="noConversion"/>
  </si>
  <si>
    <t>重庆通杰装饰设计有限公司</t>
    <phoneticPr fontId="22" type="noConversion"/>
  </si>
  <si>
    <t>5016018</t>
    <phoneticPr fontId="22" type="noConversion"/>
  </si>
  <si>
    <t>管明娟</t>
    <phoneticPr fontId="22" type="noConversion"/>
  </si>
  <si>
    <t>18323231500</t>
    <phoneticPr fontId="22" type="noConversion"/>
  </si>
  <si>
    <t>00215924</t>
    <phoneticPr fontId="22" type="noConversion"/>
  </si>
  <si>
    <t>云南云津达商贸有限公司</t>
    <phoneticPr fontId="22" type="noConversion"/>
  </si>
  <si>
    <t>720P</t>
    <phoneticPr fontId="22" type="noConversion"/>
  </si>
  <si>
    <t>套</t>
    <phoneticPr fontId="22" type="noConversion"/>
  </si>
  <si>
    <t>2002559</t>
    <phoneticPr fontId="22" type="noConversion"/>
  </si>
  <si>
    <t>秦海良</t>
    <phoneticPr fontId="22" type="noConversion"/>
  </si>
  <si>
    <t>13708386685</t>
    <phoneticPr fontId="22" type="noConversion"/>
  </si>
  <si>
    <t>重庆九龙坡区陶家镇陶跳路12号</t>
    <phoneticPr fontId="22" type="noConversion"/>
  </si>
  <si>
    <t>00215932</t>
    <phoneticPr fontId="22" type="noConversion"/>
  </si>
  <si>
    <t>重庆西亚新型装饰材料有限公司</t>
    <phoneticPr fontId="22" type="noConversion"/>
  </si>
  <si>
    <t>重庆荣生人造板有限公司</t>
    <phoneticPr fontId="22" type="noConversion"/>
  </si>
  <si>
    <t>320D</t>
    <phoneticPr fontId="22" type="noConversion"/>
  </si>
  <si>
    <t>何永刚</t>
    <phoneticPr fontId="22" type="noConversion"/>
  </si>
  <si>
    <t>13508397297</t>
    <phoneticPr fontId="22" type="noConversion"/>
  </si>
  <si>
    <t>兰州华祥劳保有限责任公司</t>
    <phoneticPr fontId="22" type="noConversion"/>
  </si>
  <si>
    <t>德邦物流到付</t>
    <phoneticPr fontId="45" type="noConversion"/>
  </si>
  <si>
    <t>沈元惠</t>
    <phoneticPr fontId="22" type="noConversion"/>
  </si>
  <si>
    <t>0931-4867689,13909461179</t>
    <phoneticPr fontId="22" type="noConversion"/>
  </si>
  <si>
    <t>兰州市城关区嘉峪关东路64-（13-14-15）号，二热十字</t>
    <phoneticPr fontId="22" type="noConversion"/>
  </si>
  <si>
    <t>81128162</t>
    <phoneticPr fontId="22" type="noConversion"/>
  </si>
  <si>
    <t>01758449</t>
    <phoneticPr fontId="22" type="noConversion"/>
  </si>
  <si>
    <t>718076524600</t>
    <phoneticPr fontId="22" type="noConversion"/>
  </si>
  <si>
    <t>刘永刚</t>
    <phoneticPr fontId="22" type="noConversion"/>
  </si>
  <si>
    <t>15909319509</t>
    <phoneticPr fontId="22" type="noConversion"/>
  </si>
  <si>
    <t>重庆震旦消防（集团）有限公司</t>
    <phoneticPr fontId="22" type="noConversion"/>
  </si>
  <si>
    <t>个</t>
    <phoneticPr fontId="50" type="noConversion"/>
  </si>
  <si>
    <t>林俐</t>
    <phoneticPr fontId="22" type="noConversion"/>
  </si>
  <si>
    <t>0044016</t>
    <phoneticPr fontId="22" type="noConversion"/>
  </si>
  <si>
    <t>01418129</t>
    <phoneticPr fontId="22" type="noConversion"/>
  </si>
  <si>
    <t>023158294052</t>
    <phoneticPr fontId="22" type="noConversion"/>
  </si>
  <si>
    <t>6003CN</t>
    <phoneticPr fontId="22" type="noConversion"/>
  </si>
  <si>
    <t>雷达货运到付</t>
    <phoneticPr fontId="22" type="noConversion"/>
  </si>
  <si>
    <t>对公转账</t>
    <phoneticPr fontId="22" type="noConversion"/>
  </si>
  <si>
    <t>9008562</t>
    <phoneticPr fontId="22" type="noConversion"/>
  </si>
  <si>
    <t>01758436-01758437-01758438-01758439</t>
    <phoneticPr fontId="22" type="noConversion"/>
  </si>
  <si>
    <t>11200-11200-11214-8966.2</t>
    <phoneticPr fontId="22" type="noConversion"/>
  </si>
  <si>
    <t>568111824295</t>
    <phoneticPr fontId="22" type="noConversion"/>
  </si>
  <si>
    <t>01758438</t>
    <phoneticPr fontId="22" type="noConversion"/>
  </si>
  <si>
    <t>2002560</t>
    <phoneticPr fontId="22" type="noConversion"/>
  </si>
  <si>
    <t>重庆顺昌建辉运输到付</t>
    <phoneticPr fontId="22" type="noConversion"/>
  </si>
  <si>
    <t>0016569</t>
    <phoneticPr fontId="22" type="noConversion"/>
  </si>
  <si>
    <t>豪山家具</t>
    <phoneticPr fontId="22" type="noConversion"/>
  </si>
  <si>
    <t>620P</t>
    <phoneticPr fontId="22" type="noConversion"/>
  </si>
  <si>
    <t>5015561</t>
    <phoneticPr fontId="22" type="noConversion"/>
  </si>
  <si>
    <t>何学忠</t>
    <phoneticPr fontId="22" type="noConversion"/>
  </si>
  <si>
    <t>13908250872</t>
    <phoneticPr fontId="22" type="noConversion"/>
  </si>
  <si>
    <t>00215934</t>
    <phoneticPr fontId="22" type="noConversion"/>
  </si>
  <si>
    <t>四川巨邦物流到付</t>
    <phoneticPr fontId="22" type="noConversion"/>
  </si>
  <si>
    <t>昆明</t>
    <phoneticPr fontId="22" type="noConversion"/>
  </si>
  <si>
    <t>0003370</t>
    <phoneticPr fontId="22" type="noConversion"/>
  </si>
  <si>
    <t>不开票</t>
    <phoneticPr fontId="22" type="noConversion"/>
  </si>
  <si>
    <t>渠道</t>
    <phoneticPr fontId="22" type="noConversion"/>
  </si>
  <si>
    <t>重庆嘉烨商贸有限公司</t>
    <phoneticPr fontId="22" type="noConversion"/>
  </si>
  <si>
    <t>3M</t>
    <phoneticPr fontId="22" type="noConversion"/>
  </si>
  <si>
    <t>6001CN</t>
    <phoneticPr fontId="22" type="noConversion"/>
  </si>
  <si>
    <t>个</t>
    <phoneticPr fontId="22" type="noConversion"/>
  </si>
  <si>
    <t>农行对私</t>
    <phoneticPr fontId="22" type="noConversion"/>
  </si>
  <si>
    <t>四川巨邦物流现付</t>
    <phoneticPr fontId="22" type="noConversion"/>
  </si>
  <si>
    <t>重庆犇牛皮业有限公司</t>
    <phoneticPr fontId="22" type="noConversion"/>
  </si>
  <si>
    <t>防护眼镜（防雾）</t>
    <phoneticPr fontId="22" type="noConversion"/>
  </si>
  <si>
    <t>1711AF</t>
    <phoneticPr fontId="22" type="noConversion"/>
  </si>
  <si>
    <t>付</t>
    <phoneticPr fontId="22" type="noConversion"/>
  </si>
  <si>
    <t>现金</t>
    <phoneticPr fontId="22" type="noConversion"/>
  </si>
  <si>
    <t>5015562</t>
    <phoneticPr fontId="22" type="noConversion"/>
  </si>
  <si>
    <t>自提</t>
    <phoneticPr fontId="22" type="noConversion"/>
  </si>
  <si>
    <t>王莱娟</t>
    <phoneticPr fontId="22" type="noConversion"/>
  </si>
  <si>
    <t>13983279030</t>
    <phoneticPr fontId="22" type="noConversion"/>
  </si>
  <si>
    <t>/</t>
    <phoneticPr fontId="22" type="noConversion"/>
  </si>
  <si>
    <t>嘉烨</t>
    <phoneticPr fontId="22" type="noConversion"/>
  </si>
  <si>
    <t>终端</t>
    <phoneticPr fontId="22" type="noConversion"/>
  </si>
  <si>
    <t>南京嘉俊安全消防防护设备有限公司</t>
    <phoneticPr fontId="22" type="noConversion"/>
  </si>
  <si>
    <t>中行对公</t>
    <phoneticPr fontId="22" type="noConversion"/>
  </si>
  <si>
    <t>德邦物流到付</t>
    <phoneticPr fontId="22" type="noConversion"/>
  </si>
  <si>
    <t>彭宁</t>
    <phoneticPr fontId="22" type="noConversion"/>
  </si>
  <si>
    <t>13770334327</t>
    <phoneticPr fontId="22" type="noConversion"/>
  </si>
  <si>
    <t>南京市江宁县南湖路9#</t>
    <phoneticPr fontId="22" type="noConversion"/>
  </si>
  <si>
    <t>81128042</t>
    <phoneticPr fontId="22" type="noConversion"/>
  </si>
  <si>
    <t>01418114/01418115/01418119/01418120/01418122</t>
    <phoneticPr fontId="22" type="noConversion"/>
  </si>
  <si>
    <t>11696.4/11696.4/11696.4/11696.4/9006</t>
    <phoneticPr fontId="22" type="noConversion"/>
  </si>
  <si>
    <t>9-11/9-12</t>
    <phoneticPr fontId="22" type="noConversion"/>
  </si>
  <si>
    <t>023159123633</t>
    <phoneticPr fontId="22" type="noConversion"/>
  </si>
  <si>
    <t>重庆荣生人造板有限公司</t>
    <phoneticPr fontId="22" type="noConversion"/>
  </si>
  <si>
    <t>5015563</t>
    <phoneticPr fontId="22" type="noConversion"/>
  </si>
  <si>
    <t>何永刚</t>
    <phoneticPr fontId="22" type="noConversion"/>
  </si>
  <si>
    <t>13508397297</t>
    <phoneticPr fontId="22" type="noConversion"/>
  </si>
  <si>
    <t>终端</t>
    <phoneticPr fontId="45" type="noConversion"/>
  </si>
  <si>
    <t>重庆三恩科技发展有限公司</t>
    <phoneticPr fontId="22" type="noConversion"/>
  </si>
  <si>
    <t>轻便型防护眼镜（透明镜片，防雾）</t>
    <phoneticPr fontId="22" type="noConversion"/>
  </si>
  <si>
    <t>00215935</t>
    <phoneticPr fontId="22" type="noConversion"/>
  </si>
  <si>
    <t>重庆朕尔科技有限公司</t>
    <phoneticPr fontId="22" type="noConversion"/>
  </si>
  <si>
    <t>5015564</t>
    <phoneticPr fontId="22" type="noConversion"/>
  </si>
  <si>
    <t>李勇</t>
    <phoneticPr fontId="22" type="noConversion"/>
  </si>
  <si>
    <t>63672155</t>
    <phoneticPr fontId="22" type="noConversion"/>
  </si>
  <si>
    <t>01911447</t>
    <phoneticPr fontId="22" type="noConversion"/>
  </si>
  <si>
    <t>13896479303</t>
    <phoneticPr fontId="22" type="noConversion"/>
  </si>
  <si>
    <t>9016241</t>
    <phoneticPr fontId="22" type="noConversion"/>
  </si>
  <si>
    <t>杨勇</t>
    <phoneticPr fontId="22" type="noConversion"/>
  </si>
  <si>
    <t>01418116</t>
    <phoneticPr fontId="22" type="noConversion"/>
  </si>
  <si>
    <t>023259126390</t>
    <phoneticPr fontId="22" type="noConversion"/>
  </si>
  <si>
    <t>312-1250</t>
    <phoneticPr fontId="22" type="noConversion"/>
  </si>
  <si>
    <t>1621AF</t>
    <phoneticPr fontId="22" type="noConversion"/>
  </si>
  <si>
    <t>6002CN</t>
    <phoneticPr fontId="22" type="noConversion"/>
  </si>
  <si>
    <t>重庆横河川仪有限公司</t>
    <phoneticPr fontId="37" type="noConversion"/>
  </si>
  <si>
    <t>顺丰到付</t>
    <phoneticPr fontId="22" type="noConversion"/>
  </si>
  <si>
    <t>蒋清银</t>
    <phoneticPr fontId="22" type="noConversion"/>
  </si>
  <si>
    <t>13308351550</t>
    <phoneticPr fontId="22" type="noConversion"/>
  </si>
  <si>
    <t>重庆北部新区黄山大道中段61号</t>
    <phoneticPr fontId="22" type="noConversion"/>
  </si>
  <si>
    <t>023159126381</t>
    <phoneticPr fontId="22" type="noConversion"/>
  </si>
  <si>
    <t>01418117</t>
    <phoneticPr fontId="22" type="noConversion"/>
  </si>
  <si>
    <t>023159126354</t>
    <phoneticPr fontId="22" type="noConversion"/>
  </si>
  <si>
    <t>重庆市渝大水务有限责任公司</t>
    <phoneticPr fontId="22" type="noConversion"/>
  </si>
  <si>
    <t>重庆秋实货运现付</t>
    <phoneticPr fontId="22" type="noConversion"/>
  </si>
  <si>
    <t>郑世军</t>
    <phoneticPr fontId="22" type="noConversion"/>
  </si>
  <si>
    <t>13330339197</t>
    <phoneticPr fontId="22" type="noConversion"/>
  </si>
  <si>
    <t>大足县龙岗街道办事处北环西路160号</t>
    <phoneticPr fontId="22" type="noConversion"/>
  </si>
  <si>
    <t>0003312</t>
    <phoneticPr fontId="22" type="noConversion"/>
  </si>
  <si>
    <t>00269123</t>
    <phoneticPr fontId="22" type="noConversion"/>
  </si>
  <si>
    <t>普票</t>
    <phoneticPr fontId="22" type="noConversion"/>
  </si>
  <si>
    <t>防化学护目镜（防雾）</t>
    <phoneticPr fontId="22" type="noConversion"/>
  </si>
  <si>
    <t>广州市劳动保护用品有限公司</t>
    <phoneticPr fontId="22" type="noConversion"/>
  </si>
  <si>
    <t>片</t>
    <phoneticPr fontId="22" type="noConversion"/>
  </si>
  <si>
    <t>5010565</t>
    <phoneticPr fontId="22" type="noConversion"/>
  </si>
  <si>
    <t>申通快递现付</t>
    <phoneticPr fontId="22" type="noConversion"/>
  </si>
  <si>
    <t>欧艺</t>
    <phoneticPr fontId="22" type="noConversion"/>
  </si>
  <si>
    <t>020-83583502</t>
    <phoneticPr fontId="22" type="noConversion"/>
  </si>
  <si>
    <r>
      <t>广州市麓湖路</t>
    </r>
    <r>
      <rPr>
        <sz val="10"/>
        <color indexed="8"/>
        <rFont val="Times New Roman"/>
        <family val="1"/>
      </rPr>
      <t>280</t>
    </r>
    <r>
      <rPr>
        <sz val="10"/>
        <color indexed="8"/>
        <rFont val="宋体"/>
        <family val="3"/>
        <charset val="134"/>
      </rPr>
      <t>号</t>
    </r>
  </si>
  <si>
    <t>568105803538</t>
    <phoneticPr fontId="22" type="noConversion"/>
  </si>
  <si>
    <t>01299189</t>
    <phoneticPr fontId="22" type="noConversion"/>
  </si>
  <si>
    <t>718096013740</t>
    <phoneticPr fontId="22" type="noConversion"/>
  </si>
  <si>
    <t>荣昌县吴家镇管道配件加工厂</t>
    <phoneticPr fontId="22" type="noConversion"/>
  </si>
  <si>
    <t>9016242</t>
    <phoneticPr fontId="22" type="noConversion"/>
  </si>
  <si>
    <t>重庆秋实货运到付</t>
    <phoneticPr fontId="22" type="noConversion"/>
  </si>
  <si>
    <t>王国祥</t>
    <phoneticPr fontId="22" type="noConversion"/>
  </si>
  <si>
    <t>13609403014</t>
    <phoneticPr fontId="22" type="noConversion"/>
  </si>
  <si>
    <t>荣昌县吴家镇</t>
    <phoneticPr fontId="22" type="noConversion"/>
  </si>
  <si>
    <t>0003314</t>
    <phoneticPr fontId="22" type="noConversion"/>
  </si>
  <si>
    <t>01758442</t>
    <phoneticPr fontId="22" type="noConversion"/>
  </si>
  <si>
    <t>568047610637</t>
    <phoneticPr fontId="22" type="noConversion"/>
  </si>
  <si>
    <t>梁平县屏锦镇板桥石膏厂</t>
    <phoneticPr fontId="22" type="noConversion"/>
  </si>
  <si>
    <t>9016243</t>
    <phoneticPr fontId="22" type="noConversion"/>
  </si>
  <si>
    <t>李时建</t>
    <phoneticPr fontId="22" type="noConversion"/>
  </si>
  <si>
    <t>15870535218</t>
    <phoneticPr fontId="22" type="noConversion"/>
  </si>
  <si>
    <t>梁平县屏锦镇</t>
    <phoneticPr fontId="22" type="noConversion"/>
  </si>
  <si>
    <t>0003313</t>
    <phoneticPr fontId="22" type="noConversion"/>
  </si>
  <si>
    <t>重庆创新劳动防护用品有限公司</t>
    <phoneticPr fontId="22" type="noConversion"/>
  </si>
  <si>
    <t>折叠式防护口罩(环保包装)</t>
    <phoneticPr fontId="22" type="noConversion"/>
  </si>
  <si>
    <t>9002A</t>
    <phoneticPr fontId="22" type="noConversion"/>
  </si>
  <si>
    <t>9016244</t>
    <phoneticPr fontId="22" type="noConversion"/>
  </si>
  <si>
    <t>刘永刚</t>
    <phoneticPr fontId="22" type="noConversion"/>
  </si>
  <si>
    <t>15909319509</t>
    <phoneticPr fontId="22" type="noConversion"/>
  </si>
  <si>
    <t>01418128</t>
    <phoneticPr fontId="22" type="noConversion"/>
  </si>
  <si>
    <t>贵州久煜物资有限公司</t>
    <phoneticPr fontId="22" type="noConversion"/>
  </si>
  <si>
    <t>环保包装折叠式防护口罩（灰色，头带式）</t>
    <phoneticPr fontId="22" type="noConversion"/>
  </si>
  <si>
    <t>9022A</t>
    <phoneticPr fontId="22" type="noConversion"/>
  </si>
  <si>
    <t>黎宏林</t>
    <phoneticPr fontId="22" type="noConversion"/>
  </si>
  <si>
    <t>13885175205</t>
    <phoneticPr fontId="22" type="noConversion"/>
  </si>
  <si>
    <t>贵阳小河区航天园</t>
    <phoneticPr fontId="22" type="noConversion"/>
  </si>
  <si>
    <t>023159126363</t>
    <phoneticPr fontId="22" type="noConversion"/>
  </si>
  <si>
    <t>01418127</t>
    <phoneticPr fontId="22" type="noConversion"/>
  </si>
  <si>
    <t>有机蒸气异味及颗粒物防护口罩（耳带式）</t>
    <phoneticPr fontId="22" type="noConversion"/>
  </si>
  <si>
    <t>9041A</t>
    <phoneticPr fontId="22" type="noConversion"/>
  </si>
  <si>
    <t>嘉烨-25</t>
    <phoneticPr fontId="22" type="noConversion"/>
  </si>
  <si>
    <t>1791T</t>
    <phoneticPr fontId="22" type="noConversion"/>
  </si>
  <si>
    <t>嘉烨-6</t>
    <phoneticPr fontId="22" type="noConversion"/>
  </si>
  <si>
    <t>重庆贝斯康医疗器械有限公司</t>
    <phoneticPr fontId="22" type="noConversion"/>
  </si>
  <si>
    <t>9016245</t>
    <phoneticPr fontId="22" type="noConversion"/>
  </si>
  <si>
    <t>刘洪云</t>
    <phoneticPr fontId="22" type="noConversion"/>
  </si>
  <si>
    <t>13635421170</t>
    <phoneticPr fontId="22" type="noConversion"/>
  </si>
  <si>
    <t>00269124</t>
    <phoneticPr fontId="22" type="noConversion"/>
  </si>
  <si>
    <t>渝北区广源劳保用品经营部</t>
    <phoneticPr fontId="22" type="noConversion"/>
  </si>
  <si>
    <t>亚洲款舒适型防化学护目镜</t>
    <phoneticPr fontId="22" type="noConversion"/>
  </si>
  <si>
    <t>1623AF</t>
    <phoneticPr fontId="22" type="noConversion"/>
  </si>
  <si>
    <t>付</t>
    <phoneticPr fontId="40" type="noConversion"/>
  </si>
  <si>
    <t>5015567</t>
    <phoneticPr fontId="22" type="noConversion"/>
  </si>
  <si>
    <t>顺丰快递到付</t>
    <phoneticPr fontId="22" type="noConversion"/>
  </si>
  <si>
    <t>刘军</t>
    <phoneticPr fontId="45" type="noConversion"/>
  </si>
  <si>
    <t>023155078519</t>
    <phoneticPr fontId="22" type="noConversion"/>
  </si>
  <si>
    <t>件</t>
    <phoneticPr fontId="22" type="noConversion"/>
  </si>
  <si>
    <t>嘉烨-1</t>
    <phoneticPr fontId="22" type="noConversion"/>
  </si>
  <si>
    <t>重庆政通包装有限公司</t>
    <phoneticPr fontId="22" type="noConversion"/>
  </si>
  <si>
    <t>白色带帽连体防护服L</t>
    <phoneticPr fontId="22" type="noConversion"/>
  </si>
  <si>
    <t>4620</t>
    <phoneticPr fontId="22" type="noConversion"/>
  </si>
  <si>
    <t>5015566</t>
    <phoneticPr fontId="22" type="noConversion"/>
  </si>
  <si>
    <t>王友位</t>
    <phoneticPr fontId="22" type="noConversion"/>
  </si>
  <si>
    <t>云阳县凤鸣镇工业园区B</t>
    <phoneticPr fontId="22" type="noConversion"/>
  </si>
  <si>
    <t>0068932</t>
    <phoneticPr fontId="22" type="noConversion"/>
  </si>
  <si>
    <t>00269125</t>
    <phoneticPr fontId="22" type="noConversion"/>
  </si>
  <si>
    <t>568105803541</t>
    <phoneticPr fontId="22" type="noConversion"/>
  </si>
  <si>
    <t>个</t>
    <phoneticPr fontId="57" type="noConversion"/>
  </si>
  <si>
    <t>尘毒呼吸防护套装经济型</t>
    <phoneticPr fontId="22" type="noConversion"/>
  </si>
  <si>
    <t>320P</t>
    <phoneticPr fontId="22" type="noConversion"/>
  </si>
  <si>
    <t>套</t>
    <phoneticPr fontId="22" type="noConversion"/>
  </si>
  <si>
    <t>3301CN</t>
    <phoneticPr fontId="22" type="noConversion"/>
  </si>
  <si>
    <t>3N11CN</t>
    <phoneticPr fontId="22" type="noConversion"/>
  </si>
  <si>
    <t>Ansell</t>
    <phoneticPr fontId="22" type="noConversion"/>
  </si>
  <si>
    <t>37-176</t>
    <phoneticPr fontId="22" type="noConversion"/>
  </si>
  <si>
    <t>双</t>
    <phoneticPr fontId="22" type="noConversion"/>
  </si>
  <si>
    <t>311-1250</t>
    <phoneticPr fontId="22" type="noConversion"/>
  </si>
  <si>
    <t>9016246</t>
    <phoneticPr fontId="22" type="noConversion"/>
  </si>
  <si>
    <t>13983418436</t>
    <phoneticPr fontId="22" type="noConversion"/>
  </si>
  <si>
    <t>01758435</t>
    <phoneticPr fontId="22" type="noConversion"/>
  </si>
  <si>
    <t>023162231211</t>
    <phoneticPr fontId="22" type="noConversion"/>
  </si>
  <si>
    <t>37-175</t>
    <phoneticPr fontId="22" type="noConversion"/>
  </si>
  <si>
    <t>重庆西亚新型装饰材料有限公司</t>
    <phoneticPr fontId="22" type="noConversion"/>
  </si>
  <si>
    <t>9016247</t>
    <phoneticPr fontId="22" type="noConversion"/>
  </si>
  <si>
    <t>秦海良</t>
    <phoneticPr fontId="22" type="noConversion"/>
  </si>
  <si>
    <t>13708386685</t>
    <phoneticPr fontId="22" type="noConversion"/>
  </si>
  <si>
    <t>重庆九龙坡区陶家镇陶跳路12号</t>
    <phoneticPr fontId="22" type="noConversion"/>
  </si>
  <si>
    <t>01418118</t>
    <phoneticPr fontId="22" type="noConversion"/>
  </si>
  <si>
    <t>5N11</t>
    <phoneticPr fontId="22" type="noConversion"/>
  </si>
  <si>
    <t>9016247</t>
    <phoneticPr fontId="22" type="noConversion"/>
  </si>
  <si>
    <t>01418118</t>
    <phoneticPr fontId="22" type="noConversion"/>
  </si>
  <si>
    <t>9016248</t>
    <phoneticPr fontId="22" type="noConversion"/>
  </si>
  <si>
    <t>北碚同兴工业园区</t>
    <phoneticPr fontId="22" type="noConversion"/>
  </si>
  <si>
    <t>01758434</t>
    <phoneticPr fontId="22" type="noConversion"/>
  </si>
  <si>
    <t>320P</t>
    <phoneticPr fontId="22" type="noConversion"/>
  </si>
  <si>
    <t>重庆雅镂公司</t>
    <phoneticPr fontId="22" type="noConversion"/>
  </si>
  <si>
    <t>9016249</t>
    <phoneticPr fontId="22" type="noConversion"/>
  </si>
  <si>
    <t>九龙坡区石坪桥</t>
    <phoneticPr fontId="22" type="noConversion"/>
  </si>
  <si>
    <t>2091 P100</t>
    <phoneticPr fontId="22" type="noConversion"/>
  </si>
  <si>
    <t>重庆市永川区金冠防护用品经营部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</si>
  <si>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</si>
  <si>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</si>
  <si>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</si>
  <si>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0026354</t>
    <phoneticPr fontId="22" type="noConversion"/>
  </si>
  <si>
    <t>tychem-c</t>
    <phoneticPr fontId="22" type="noConversion"/>
  </si>
  <si>
    <t>9016250</t>
    <phoneticPr fontId="22" type="noConversion"/>
  </si>
  <si>
    <t>王元富</t>
    <phoneticPr fontId="22" type="noConversion"/>
  </si>
  <si>
    <t>15998982199</t>
    <phoneticPr fontId="22" type="noConversion"/>
  </si>
  <si>
    <t>01418116</t>
    <phoneticPr fontId="22" type="noConversion"/>
  </si>
  <si>
    <t>023259126390</t>
    <phoneticPr fontId="22" type="noConversion"/>
  </si>
  <si>
    <t>宁夏林诺贸易有限责任公司</t>
    <phoneticPr fontId="22" type="noConversion"/>
  </si>
  <si>
    <t>陈宁悦</t>
    <phoneticPr fontId="22" type="noConversion"/>
  </si>
  <si>
    <t>13649518701</t>
    <phoneticPr fontId="22" type="noConversion"/>
  </si>
  <si>
    <t>宁夏是银川兴庆区宝湖东路283#</t>
    <phoneticPr fontId="22" type="noConversion"/>
  </si>
  <si>
    <t>81088700</t>
    <phoneticPr fontId="22" type="noConversion"/>
  </si>
  <si>
    <t>01758432</t>
    <phoneticPr fontId="22" type="noConversion"/>
  </si>
  <si>
    <t>023162231220</t>
    <phoneticPr fontId="22" type="noConversion"/>
  </si>
  <si>
    <t>南京嘉俊安全消防防护设备有限公司</t>
    <phoneticPr fontId="22" type="noConversion"/>
  </si>
  <si>
    <t>彭宁</t>
    <phoneticPr fontId="22" type="noConversion"/>
  </si>
  <si>
    <t>13770334327</t>
    <phoneticPr fontId="22" type="noConversion"/>
  </si>
  <si>
    <t>南京市江宁县南湖路9#</t>
    <phoneticPr fontId="22" type="noConversion"/>
  </si>
  <si>
    <t>81088711</t>
    <phoneticPr fontId="22" type="noConversion"/>
  </si>
  <si>
    <t>01418121/01418122</t>
    <phoneticPr fontId="22" type="noConversion"/>
  </si>
  <si>
    <t>11696.4/9006</t>
    <phoneticPr fontId="22" type="noConversion"/>
  </si>
  <si>
    <t>023159123633</t>
    <phoneticPr fontId="22" type="noConversion"/>
  </si>
  <si>
    <t>37-176</t>
    <phoneticPr fontId="22" type="noConversion"/>
  </si>
  <si>
    <t>9016253</t>
    <phoneticPr fontId="22" type="noConversion"/>
  </si>
  <si>
    <t>江北区</t>
    <phoneticPr fontId="22" type="noConversion"/>
  </si>
  <si>
    <t>重庆诚济医疗器械有限公司</t>
    <phoneticPr fontId="22" type="noConversion"/>
  </si>
  <si>
    <t>9016254</t>
    <phoneticPr fontId="22" type="noConversion"/>
  </si>
  <si>
    <t>/</t>
    <phoneticPr fontId="22" type="noConversion"/>
  </si>
  <si>
    <t>重庆川仪自动化股份有限公司执行器分公司</t>
    <phoneticPr fontId="59" type="noConversion"/>
  </si>
  <si>
    <t>折叠式防护口罩(环保包装)</t>
    <phoneticPr fontId="22" type="noConversion"/>
  </si>
  <si>
    <t>9002A</t>
    <phoneticPr fontId="22" type="noConversion"/>
  </si>
  <si>
    <t>01758431</t>
    <phoneticPr fontId="22" type="noConversion"/>
  </si>
  <si>
    <t>自提</t>
    <phoneticPr fontId="22" type="noConversion"/>
  </si>
  <si>
    <t>终端</t>
    <phoneticPr fontId="22" type="noConversion"/>
  </si>
  <si>
    <t>昆明安利达劳保用品有限公司</t>
    <phoneticPr fontId="22" type="noConversion"/>
  </si>
  <si>
    <t>四川巨邦物流到付</t>
    <phoneticPr fontId="22" type="noConversion"/>
  </si>
  <si>
    <t>13888956566</t>
    <phoneticPr fontId="22" type="noConversion"/>
  </si>
  <si>
    <t>昆明</t>
    <phoneticPr fontId="22" type="noConversion"/>
  </si>
  <si>
    <t>0004032</t>
    <phoneticPr fontId="22" type="noConversion"/>
  </si>
  <si>
    <t>01418123</t>
    <phoneticPr fontId="22" type="noConversion"/>
  </si>
  <si>
    <t xml:space="preserve">龙柳昆 </t>
    <phoneticPr fontId="22" type="noConversion"/>
  </si>
  <si>
    <t>昆明市环城南路668号云纺国际商厦4F-65</t>
    <phoneticPr fontId="22" type="noConversion"/>
  </si>
  <si>
    <t>9048519</t>
    <phoneticPr fontId="22" type="noConversion"/>
  </si>
  <si>
    <t>01758438</t>
    <phoneticPr fontId="22" type="noConversion"/>
  </si>
  <si>
    <t>568111824295</t>
    <phoneticPr fontId="22" type="noConversion"/>
  </si>
  <si>
    <t>3003K-100</t>
    <phoneticPr fontId="22" type="noConversion"/>
  </si>
  <si>
    <t>铁轩物流到付</t>
    <phoneticPr fontId="22" type="noConversion"/>
  </si>
  <si>
    <t>01758439</t>
    <phoneticPr fontId="22" type="noConversion"/>
  </si>
  <si>
    <t>铁轩物流到付</t>
    <phoneticPr fontId="22" type="noConversion"/>
  </si>
  <si>
    <t xml:space="preserve">龙柳昆 </t>
    <phoneticPr fontId="22" type="noConversion"/>
  </si>
  <si>
    <t>9048519</t>
    <phoneticPr fontId="22" type="noConversion"/>
  </si>
  <si>
    <t>01758439</t>
    <phoneticPr fontId="22" type="noConversion"/>
  </si>
  <si>
    <t>重庆远标机电有限公司</t>
    <phoneticPr fontId="22" type="noConversion"/>
  </si>
  <si>
    <t>9016252</t>
    <phoneticPr fontId="22" type="noConversion"/>
  </si>
  <si>
    <t>9016256</t>
    <phoneticPr fontId="22" type="noConversion"/>
  </si>
  <si>
    <t>重庆健隆双庆到付</t>
    <phoneticPr fontId="22" type="noConversion"/>
  </si>
  <si>
    <t>0000050</t>
    <phoneticPr fontId="22" type="noConversion"/>
  </si>
  <si>
    <t>重庆渝北回兴街道双湖路133号</t>
    <phoneticPr fontId="22" type="noConversion"/>
  </si>
  <si>
    <t>昆明吉盛恒商贸有限公司</t>
    <phoneticPr fontId="22" type="noConversion"/>
  </si>
  <si>
    <t>9016257</t>
    <phoneticPr fontId="22" type="noConversion"/>
  </si>
  <si>
    <t>王东</t>
    <phoneticPr fontId="22" type="noConversion"/>
  </si>
  <si>
    <t>昆明市人民西路508号</t>
    <phoneticPr fontId="22" type="noConversion"/>
  </si>
  <si>
    <t>81128363</t>
    <phoneticPr fontId="22" type="noConversion"/>
  </si>
  <si>
    <t>01758454</t>
    <phoneticPr fontId="22" type="noConversion"/>
  </si>
  <si>
    <t>718084812497</t>
    <phoneticPr fontId="22" type="noConversion"/>
  </si>
  <si>
    <t>巫溪县凯特汽车修配有限责任公司</t>
    <phoneticPr fontId="22" type="noConversion"/>
  </si>
  <si>
    <t>5015568</t>
    <phoneticPr fontId="22" type="noConversion"/>
  </si>
  <si>
    <t>重庆通渝州货运现付</t>
    <phoneticPr fontId="22" type="noConversion"/>
  </si>
  <si>
    <t>023-51330333</t>
    <phoneticPr fontId="22" type="noConversion"/>
  </si>
  <si>
    <t>巫溪县城厢镇太平路198号</t>
    <phoneticPr fontId="22" type="noConversion"/>
  </si>
  <si>
    <t>0018795</t>
    <phoneticPr fontId="22" type="noConversion"/>
  </si>
  <si>
    <t>00269134</t>
    <phoneticPr fontId="22" type="noConversion"/>
  </si>
  <si>
    <t>568111824922</t>
    <phoneticPr fontId="22" type="noConversion"/>
  </si>
  <si>
    <t xml:space="preserve">4510 </t>
    <phoneticPr fontId="22" type="noConversion"/>
  </si>
  <si>
    <t>4510</t>
    <phoneticPr fontId="22" type="noConversion"/>
  </si>
  <si>
    <t>5015569</t>
    <phoneticPr fontId="22" type="noConversion"/>
  </si>
  <si>
    <t>重庆力宏物流现付</t>
    <phoneticPr fontId="2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</si>
  <si>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2" type="noConversion"/>
  </si>
  <si>
    <t>贵阳市南明区花果园太升五金机电市场1层A区-B20号</t>
    <phoneticPr fontId="22" type="noConversion"/>
  </si>
  <si>
    <t>0007085</t>
    <phoneticPr fontId="22" type="noConversion"/>
  </si>
  <si>
    <t>01418125/26/27</t>
    <phoneticPr fontId="22" type="noConversion"/>
  </si>
  <si>
    <t>023159123263</t>
    <phoneticPr fontId="22" type="noConversion"/>
  </si>
  <si>
    <t>01418127</t>
    <phoneticPr fontId="22" type="noConversion"/>
  </si>
  <si>
    <t>贵阳麦迪科商贸有限公司</t>
    <phoneticPr fontId="22" type="noConversion"/>
  </si>
  <si>
    <t>5015570</t>
    <phoneticPr fontId="22" type="noConversion"/>
  </si>
  <si>
    <t>刘强胜</t>
    <phoneticPr fontId="22" type="noConversion"/>
  </si>
  <si>
    <t>13984866462</t>
    <phoneticPr fontId="22" type="noConversion"/>
  </si>
  <si>
    <t>贵阳市宝山南路27号凯尼大厦15楼1号</t>
    <phoneticPr fontId="22" type="noConversion"/>
  </si>
  <si>
    <t>023159123254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</si>
  <si>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</si>
  <si>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t>5015571</t>
    <phoneticPr fontId="22" type="noConversion"/>
  </si>
  <si>
    <t>重庆健隆双庆运输到付</t>
    <phoneticPr fontId="22" type="noConversion"/>
  </si>
  <si>
    <t>0001979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</si>
  <si>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042A</t>
    </r>
    <phoneticPr fontId="22" type="noConversion"/>
  </si>
  <si>
    <t>嘉烨19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</si>
  <si>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</si>
  <si>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昆明尧安经贸有限公司</t>
    <phoneticPr fontId="22" type="noConversion"/>
  </si>
  <si>
    <t>5015572</t>
    <phoneticPr fontId="22" type="noConversion"/>
  </si>
  <si>
    <t>德邦到付</t>
    <phoneticPr fontId="22" type="noConversion"/>
  </si>
  <si>
    <t>魏巍</t>
    <phoneticPr fontId="22" type="noConversion"/>
  </si>
  <si>
    <t>13888336433</t>
    <phoneticPr fontId="22" type="noConversion"/>
  </si>
  <si>
    <t>云南省昆明市盘龙区颐华路132号桃李家园南厢苑A座1810号（盘龙区德邦）</t>
    <phoneticPr fontId="22" type="noConversion"/>
  </si>
  <si>
    <t>81135540</t>
    <phoneticPr fontId="22" type="noConversion"/>
  </si>
  <si>
    <t>01299190</t>
    <phoneticPr fontId="22" type="noConversion"/>
  </si>
  <si>
    <t>761064858187</t>
    <phoneticPr fontId="22" type="noConversion"/>
  </si>
  <si>
    <t>5015573</t>
    <phoneticPr fontId="22" type="noConversion"/>
  </si>
  <si>
    <t>023159123651</t>
    <phoneticPr fontId="22" type="noConversion"/>
  </si>
  <si>
    <t>重庆贝斯康医疗器械有限公司</t>
    <phoneticPr fontId="22" type="noConversion"/>
  </si>
  <si>
    <t>5015574</t>
    <phoneticPr fontId="22" type="noConversion"/>
  </si>
  <si>
    <t>刘洪云</t>
    <phoneticPr fontId="22" type="noConversion"/>
  </si>
  <si>
    <t>13635421170</t>
    <phoneticPr fontId="22" type="noConversion"/>
  </si>
  <si>
    <t>00269124</t>
    <phoneticPr fontId="22" type="noConversion"/>
  </si>
  <si>
    <t>梁平县屏锦镇板桥石膏厂</t>
    <phoneticPr fontId="22" type="noConversion"/>
  </si>
  <si>
    <t>9016258</t>
    <phoneticPr fontId="22" type="noConversion"/>
  </si>
  <si>
    <t>重庆中友货运到付</t>
    <phoneticPr fontId="22" type="noConversion"/>
  </si>
  <si>
    <t>李时建</t>
    <phoneticPr fontId="22" type="noConversion"/>
  </si>
  <si>
    <t>15870535218</t>
    <phoneticPr fontId="22" type="noConversion"/>
  </si>
  <si>
    <t>梁平县屏锦镇</t>
    <phoneticPr fontId="22" type="noConversion"/>
  </si>
  <si>
    <t>0009134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</si>
  <si>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11-1101</t>
    </r>
    <phoneticPr fontId="22" type="noConversion"/>
  </si>
  <si>
    <t>重庆海电风能集团有限公司</t>
    <phoneticPr fontId="22" type="noConversion"/>
  </si>
  <si>
    <t>9016259</t>
    <phoneticPr fontId="22" type="noConversion"/>
  </si>
  <si>
    <t>谭利华</t>
    <phoneticPr fontId="22" type="noConversion"/>
  </si>
  <si>
    <t>18696989333</t>
    <phoneticPr fontId="22" type="noConversion"/>
  </si>
  <si>
    <t>01758440</t>
    <phoneticPr fontId="22" type="noConversion"/>
  </si>
  <si>
    <t>023162172409</t>
    <phoneticPr fontId="22" type="noConversion"/>
  </si>
  <si>
    <t>嘉烨-10</t>
    <phoneticPr fontId="22" type="noConversion"/>
  </si>
  <si>
    <t>重庆亿捷通工业品股份有限公司</t>
    <phoneticPr fontId="22" type="noConversion"/>
  </si>
  <si>
    <t>9016264</t>
    <phoneticPr fontId="22" type="noConversion"/>
  </si>
  <si>
    <t>王静</t>
    <phoneticPr fontId="22" type="noConversion"/>
  </si>
  <si>
    <t>01299192</t>
    <phoneticPr fontId="22" type="noConversion"/>
  </si>
  <si>
    <t>9016260</t>
    <phoneticPr fontId="22" type="noConversion"/>
  </si>
  <si>
    <t>陈晓兰</t>
    <phoneticPr fontId="22" type="noConversion"/>
  </si>
  <si>
    <t>023-62837132</t>
    <phoneticPr fontId="22" type="noConversion"/>
  </si>
  <si>
    <t>南岸区金山支路21号附4号</t>
    <phoneticPr fontId="22" type="noConversion"/>
  </si>
  <si>
    <t>023159123660</t>
    <phoneticPr fontId="22" type="noConversion"/>
  </si>
  <si>
    <t>01799329</t>
    <phoneticPr fontId="22" type="noConversion"/>
  </si>
  <si>
    <t>023000438485</t>
    <phoneticPr fontId="22" type="noConversion"/>
  </si>
  <si>
    <t>重庆市恒升建材有限公司</t>
    <phoneticPr fontId="22" type="noConversion"/>
  </si>
  <si>
    <t>5015576</t>
    <phoneticPr fontId="22" type="noConversion"/>
  </si>
  <si>
    <t>王顺英</t>
    <phoneticPr fontId="22" type="noConversion"/>
  </si>
  <si>
    <t>13996372462</t>
    <phoneticPr fontId="22" type="noConversion"/>
  </si>
  <si>
    <r>
      <t>3301</t>
    </r>
    <r>
      <rPr>
        <sz val="10"/>
        <color indexed="8"/>
        <rFont val="宋体"/>
        <family val="3"/>
        <charset val="134"/>
      </rPr>
      <t>CN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</si>
  <si>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85CN</t>
    </r>
    <phoneticPr fontId="22" type="noConversion"/>
  </si>
  <si>
    <t>9016262</t>
    <phoneticPr fontId="22" type="noConversion"/>
  </si>
  <si>
    <t>15084321018</t>
    <phoneticPr fontId="22" type="noConversion"/>
  </si>
  <si>
    <t>0036063</t>
    <phoneticPr fontId="22" type="noConversion"/>
  </si>
  <si>
    <t>01758446-01758445</t>
    <phoneticPr fontId="22" type="noConversion"/>
  </si>
  <si>
    <t>751802767618</t>
    <phoneticPr fontId="22" type="noConversion"/>
  </si>
  <si>
    <r>
      <t>6001</t>
    </r>
    <r>
      <rPr>
        <sz val="10"/>
        <color indexed="8"/>
        <rFont val="宋体"/>
        <family val="3"/>
        <charset val="134"/>
      </rPr>
      <t>CN</t>
    </r>
    <phoneticPr fontId="22" type="noConversion"/>
  </si>
  <si>
    <t>重庆万州王牌路924号国腾实业集团</t>
    <phoneticPr fontId="22" type="noConversion"/>
  </si>
  <si>
    <t>5015577</t>
    <phoneticPr fontId="22" type="noConversion"/>
  </si>
  <si>
    <t>0035612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</si>
  <si>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744K</t>
    </r>
    <phoneticPr fontId="22" type="noConversion"/>
  </si>
  <si>
    <t>重庆信友达日化有限公司</t>
    <phoneticPr fontId="22" type="noConversion"/>
  </si>
  <si>
    <t>9016263</t>
    <phoneticPr fontId="22" type="noConversion"/>
  </si>
  <si>
    <t>刘孝军</t>
    <phoneticPr fontId="22" type="noConversion"/>
  </si>
  <si>
    <t>13452404526</t>
    <phoneticPr fontId="22" type="noConversion"/>
  </si>
  <si>
    <t>重庆市长寿区晏安工业园区和泉南路3号</t>
    <phoneticPr fontId="22" type="noConversion"/>
  </si>
  <si>
    <t>023158294043</t>
    <phoneticPr fontId="22" type="noConversion"/>
  </si>
  <si>
    <t>01758443</t>
    <phoneticPr fontId="22" type="noConversion"/>
  </si>
  <si>
    <t>023162172436</t>
    <phoneticPr fontId="22" type="noConversion"/>
  </si>
  <si>
    <t>5015579</t>
    <phoneticPr fontId="22" type="noConversion"/>
  </si>
  <si>
    <t>01758455</t>
    <phoneticPr fontId="22" type="noConversion"/>
  </si>
  <si>
    <r>
      <t>385</t>
    </r>
    <r>
      <rPr>
        <sz val="10"/>
        <color indexed="8"/>
        <rFont val="宋体"/>
        <family val="3"/>
        <charset val="134"/>
      </rPr>
      <t>CN</t>
    </r>
    <phoneticPr fontId="22" type="noConversion"/>
  </si>
  <si>
    <t>5015578</t>
    <phoneticPr fontId="22" type="noConversion"/>
  </si>
  <si>
    <t>朱伟华</t>
    <phoneticPr fontId="22" type="noConversion"/>
  </si>
  <si>
    <t>13650569368</t>
    <phoneticPr fontId="22" type="noConversion"/>
  </si>
  <si>
    <t>重庆建工工业有限公司</t>
    <phoneticPr fontId="22" type="noConversion"/>
  </si>
  <si>
    <t>01758452</t>
    <phoneticPr fontId="22" type="noConversion"/>
  </si>
  <si>
    <t>718076524558</t>
    <phoneticPr fontId="22" type="noConversion"/>
  </si>
  <si>
    <t>01758450</t>
    <phoneticPr fontId="22" type="noConversion"/>
  </si>
  <si>
    <t>01758452-01758451</t>
    <phoneticPr fontId="22" type="noConversion"/>
  </si>
  <si>
    <t>10700-11550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</si>
  <si>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001CN</t>
    </r>
    <phoneticPr fontId="22" type="noConversion"/>
  </si>
  <si>
    <r>
      <t>5</t>
    </r>
    <r>
      <rPr>
        <sz val="10"/>
        <color indexed="8"/>
        <rFont val="宋体"/>
        <family val="3"/>
        <charset val="134"/>
      </rPr>
      <t>N11</t>
    </r>
    <phoneticPr fontId="22" type="noConversion"/>
  </si>
  <si>
    <t>永川个体经销商</t>
    <phoneticPr fontId="22" type="noConversion"/>
  </si>
  <si>
    <t>delte plus</t>
    <phoneticPr fontId="22" type="noConversion"/>
  </si>
  <si>
    <t>9016265</t>
    <phoneticPr fontId="22" type="noConversion"/>
  </si>
  <si>
    <t>黄老师</t>
    <phoneticPr fontId="22" type="noConversion"/>
  </si>
  <si>
    <t>13996007717</t>
    <phoneticPr fontId="22" type="noConversion"/>
  </si>
  <si>
    <t>重庆市长寿区江南镇重钢新区</t>
    <phoneticPr fontId="22" type="noConversion"/>
  </si>
  <si>
    <t>023162231187</t>
    <phoneticPr fontId="22" type="noConversion"/>
  </si>
  <si>
    <t>重庆贝浪物资有限公司</t>
    <phoneticPr fontId="22" type="noConversion"/>
  </si>
  <si>
    <r>
      <t>6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</si>
  <si>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68608434</t>
    <phoneticPr fontId="22" type="noConversion"/>
  </si>
  <si>
    <t>渝州新城C区128号</t>
    <phoneticPr fontId="22" type="noConversion"/>
  </si>
  <si>
    <t>9016301</t>
    <phoneticPr fontId="22" type="noConversion"/>
  </si>
  <si>
    <t>顺丰现付</t>
    <phoneticPr fontId="22" type="noConversion"/>
  </si>
  <si>
    <t>江芳</t>
    <phoneticPr fontId="22" type="noConversion"/>
  </si>
  <si>
    <t>18208753585</t>
    <phoneticPr fontId="22" type="noConversion"/>
  </si>
  <si>
    <t>昆明市官渡区菊花机电市场9栋37号</t>
    <phoneticPr fontId="22" type="noConversion"/>
  </si>
  <si>
    <t>023162231196</t>
    <phoneticPr fontId="22" type="noConversion"/>
  </si>
  <si>
    <t>9016303</t>
    <phoneticPr fontId="22" type="noConversion"/>
  </si>
  <si>
    <t>01758444</t>
    <phoneticPr fontId="22" type="noConversion"/>
  </si>
  <si>
    <t>重庆冠淦商贸有限公司</t>
    <phoneticPr fontId="22" type="noConversion"/>
  </si>
  <si>
    <t>9016304</t>
    <phoneticPr fontId="22" type="noConversion"/>
  </si>
  <si>
    <t>周晓娥</t>
    <phoneticPr fontId="22" type="noConversion"/>
  </si>
  <si>
    <t>18996330888</t>
    <phoneticPr fontId="22" type="noConversion"/>
  </si>
  <si>
    <t>九龙坡区走马镇</t>
    <phoneticPr fontId="22" type="noConversion"/>
  </si>
  <si>
    <t>9016305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</si>
  <si>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</si>
  <si>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t>9016302</t>
    <phoneticPr fontId="22" type="noConversion"/>
  </si>
  <si>
    <t>13984866162</t>
    <phoneticPr fontId="22" type="noConversion"/>
  </si>
  <si>
    <t>贵阳市南明区红岩路2-8#</t>
    <phoneticPr fontId="22" type="noConversion"/>
  </si>
  <si>
    <t>0002235</t>
    <phoneticPr fontId="22" type="noConversion"/>
  </si>
  <si>
    <t>568105803542</t>
    <phoneticPr fontId="22" type="noConversion"/>
  </si>
  <si>
    <t>自贡市正信物资有限公司</t>
    <phoneticPr fontId="22" type="noConversion"/>
  </si>
  <si>
    <t>9016268</t>
    <phoneticPr fontId="22" type="noConversion"/>
  </si>
  <si>
    <t>重庆乾智（原飞达）货运有限公司</t>
    <phoneticPr fontId="22" type="noConversion"/>
  </si>
  <si>
    <t>凌莉英</t>
    <phoneticPr fontId="22" type="noConversion"/>
  </si>
  <si>
    <t>18990016852 / 0813-3212116</t>
    <phoneticPr fontId="22" type="noConversion"/>
  </si>
  <si>
    <t>0003080</t>
    <phoneticPr fontId="22" type="noConversion"/>
  </si>
  <si>
    <t>9016307</t>
    <phoneticPr fontId="22" type="noConversion"/>
  </si>
  <si>
    <t>13508353157</t>
    <phoneticPr fontId="22" type="noConversion"/>
  </si>
  <si>
    <t>嘉烨-16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</si>
  <si>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701CN</t>
    </r>
    <phoneticPr fontId="22" type="noConversion"/>
  </si>
  <si>
    <t>9016270</t>
    <phoneticPr fontId="22" type="noConversion"/>
  </si>
  <si>
    <t>陈小兰</t>
    <phoneticPr fontId="22" type="noConversion"/>
  </si>
  <si>
    <t>重庆市南岸区金山支路21号附4号</t>
    <phoneticPr fontId="22" type="noConversion"/>
  </si>
  <si>
    <t>023162231257</t>
    <phoneticPr fontId="22" type="noConversion"/>
  </si>
  <si>
    <t>重庆远东门窗有限公司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</si>
  <si>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</si>
  <si>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9016309</t>
    <phoneticPr fontId="22" type="noConversion"/>
  </si>
  <si>
    <t>重庆高新物流配送中心</t>
    <phoneticPr fontId="22" type="noConversion"/>
  </si>
  <si>
    <t>王念</t>
    <phoneticPr fontId="22" type="noConversion"/>
  </si>
  <si>
    <t>13983302585</t>
    <phoneticPr fontId="22" type="noConversion"/>
  </si>
  <si>
    <t>0030026</t>
    <phoneticPr fontId="22" type="noConversion"/>
  </si>
  <si>
    <t>01758441</t>
    <phoneticPr fontId="22" type="noConversion"/>
  </si>
  <si>
    <t>568111824921</t>
    <phoneticPr fontId="22" type="noConversion"/>
  </si>
  <si>
    <t>永安</t>
    <phoneticPr fontId="22" type="noConversion"/>
  </si>
  <si>
    <t>重庆宇立金属化工有限公司</t>
    <phoneticPr fontId="22" type="noConversion"/>
  </si>
  <si>
    <t>9016308</t>
    <phoneticPr fontId="22" type="noConversion"/>
  </si>
  <si>
    <t>刘秋静</t>
    <phoneticPr fontId="22" type="noConversion"/>
  </si>
  <si>
    <t>13983418436</t>
    <phoneticPr fontId="22" type="noConversion"/>
  </si>
  <si>
    <t>0030416</t>
    <phoneticPr fontId="22" type="noConversion"/>
  </si>
  <si>
    <t>01758435</t>
    <phoneticPr fontId="22" type="noConversion"/>
  </si>
  <si>
    <t>023162231211</t>
    <phoneticPr fontId="22" type="noConversion"/>
  </si>
  <si>
    <t>37-175</t>
    <phoneticPr fontId="22" type="noConversion"/>
  </si>
  <si>
    <t>9016271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</si>
  <si>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301CN</t>
    </r>
    <phoneticPr fontId="22" type="noConversion"/>
  </si>
  <si>
    <t>9016272</t>
    <phoneticPr fontId="22" type="noConversion"/>
  </si>
  <si>
    <t>长沙鑫创亿汽配有限责任公司</t>
    <phoneticPr fontId="22" type="noConversion"/>
  </si>
  <si>
    <t>张文杰</t>
    <phoneticPr fontId="22" type="noConversion"/>
  </si>
  <si>
    <t>18680896120</t>
    <phoneticPr fontId="22" type="noConversion"/>
  </si>
  <si>
    <t>重庆市南岸区茶园工业园区长电路8号</t>
    <phoneticPr fontId="22" type="noConversion"/>
  </si>
  <si>
    <t>023162420302</t>
    <phoneticPr fontId="22" type="noConversion"/>
  </si>
  <si>
    <t>4650A</t>
    <phoneticPr fontId="22" type="noConversion"/>
  </si>
  <si>
    <t>90162973</t>
    <phoneticPr fontId="22" type="noConversion"/>
  </si>
  <si>
    <t>乾智货运到付</t>
    <phoneticPr fontId="22" type="noConversion"/>
  </si>
  <si>
    <t>01758448</t>
    <phoneticPr fontId="22" type="noConversion"/>
  </si>
  <si>
    <t>重庆雄业玩具制衣有限公司</t>
    <phoneticPr fontId="22" type="noConversion"/>
  </si>
  <si>
    <t>9016311</t>
    <phoneticPr fontId="22" type="noConversion"/>
  </si>
  <si>
    <t>秋实货运到付</t>
    <phoneticPr fontId="22" type="noConversion"/>
  </si>
  <si>
    <t>9016274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</si>
  <si>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N11CN</t>
    </r>
    <phoneticPr fontId="22" type="noConversion"/>
  </si>
  <si>
    <t>百年实木家具</t>
    <phoneticPr fontId="22" type="noConversion"/>
  </si>
  <si>
    <t>9016312</t>
    <phoneticPr fontId="22" type="noConversion"/>
  </si>
  <si>
    <t>申通快递现付</t>
    <phoneticPr fontId="22" type="noConversion"/>
  </si>
  <si>
    <t>重庆川田门厂有限责任公司</t>
    <phoneticPr fontId="22" type="noConversion"/>
  </si>
  <si>
    <t>9016313</t>
    <phoneticPr fontId="22" type="noConversion"/>
  </si>
  <si>
    <t>9016275</t>
    <phoneticPr fontId="22" type="noConversion"/>
  </si>
  <si>
    <t>重庆大宁河塑胶有限公司</t>
    <phoneticPr fontId="22" type="noConversion"/>
  </si>
  <si>
    <t>9016314</t>
    <phoneticPr fontId="22" type="noConversion"/>
  </si>
  <si>
    <t>重庆通渝货运到付</t>
    <phoneticPr fontId="22" type="noConversion"/>
  </si>
  <si>
    <t>311-1101</t>
    <phoneticPr fontId="22" type="noConversion"/>
  </si>
  <si>
    <t>9016315</t>
    <phoneticPr fontId="22" type="noConversion"/>
  </si>
  <si>
    <t>重庆宝川矿山机电有限公司</t>
    <phoneticPr fontId="22" type="noConversion"/>
  </si>
  <si>
    <t>9016277</t>
    <phoneticPr fontId="22" type="noConversion"/>
  </si>
  <si>
    <t>重庆中山劳保用品有限公司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</si>
  <si>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2700 W96</t>
    </r>
    <phoneticPr fontId="22" type="noConversion"/>
  </si>
  <si>
    <t>01758433</t>
    <phoneticPr fontId="22" type="noConversion"/>
  </si>
  <si>
    <t>391-1000</t>
    <phoneticPr fontId="22" type="noConversion"/>
  </si>
  <si>
    <t>391-1001</t>
    <phoneticPr fontId="22" type="noConversion"/>
  </si>
  <si>
    <t>01758447</t>
    <phoneticPr fontId="22" type="noConversion"/>
  </si>
  <si>
    <t>刘飞俭</t>
    <phoneticPr fontId="22" type="noConversion"/>
  </si>
  <si>
    <t>13885124173</t>
    <phoneticPr fontId="22" type="noConversion"/>
  </si>
  <si>
    <t>贵阳市</t>
    <phoneticPr fontId="22" type="noConversion"/>
  </si>
  <si>
    <t>0010915</t>
    <phoneticPr fontId="22" type="noConversion"/>
  </si>
  <si>
    <t>9016276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</si>
  <si>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711AF</t>
    </r>
    <phoneticPr fontId="22" type="noConversion"/>
  </si>
  <si>
    <t>9016278</t>
    <phoneticPr fontId="22" type="noConversion"/>
  </si>
  <si>
    <t>重庆市渝北区</t>
    <phoneticPr fontId="22" type="noConversion"/>
  </si>
  <si>
    <t>023162231239</t>
    <phoneticPr fontId="22" type="noConversion"/>
  </si>
  <si>
    <t>9016279</t>
    <phoneticPr fontId="22" type="noConversion"/>
  </si>
  <si>
    <t>严隆进个人</t>
    <phoneticPr fontId="22" type="noConversion"/>
  </si>
  <si>
    <t>9016316</t>
    <phoneticPr fontId="22" type="noConversion"/>
  </si>
  <si>
    <t>9016280</t>
    <phoneticPr fontId="22" type="noConversion"/>
  </si>
  <si>
    <t>云南劳保批发部</t>
    <phoneticPr fontId="22" type="noConversion"/>
  </si>
  <si>
    <t>9016320</t>
    <phoneticPr fontId="22" type="noConversion"/>
  </si>
  <si>
    <t>顾萍</t>
    <phoneticPr fontId="22" type="noConversion"/>
  </si>
  <si>
    <t>13529844884  0873-7131419</t>
    <phoneticPr fontId="22" type="noConversion"/>
  </si>
  <si>
    <t>云南省红河州开远市西北路17号</t>
    <phoneticPr fontId="22" type="noConversion"/>
  </si>
  <si>
    <t>023162172084</t>
    <phoneticPr fontId="22" type="noConversion"/>
  </si>
  <si>
    <t>云南省红河州开远市西北路19号</t>
    <phoneticPr fontId="22" type="noConversion"/>
  </si>
  <si>
    <t>重庆海兰服装劳保有限公司</t>
    <phoneticPr fontId="22" type="noConversion"/>
  </si>
  <si>
    <t>5016021</t>
    <phoneticPr fontId="22" type="noConversion"/>
  </si>
  <si>
    <t>钱开兰</t>
    <phoneticPr fontId="22" type="noConversion"/>
  </si>
  <si>
    <t>15320381097</t>
    <phoneticPr fontId="22" type="noConversion"/>
  </si>
  <si>
    <t>5016022</t>
    <phoneticPr fontId="22" type="noConversion"/>
  </si>
  <si>
    <t>高新物流到付</t>
    <phoneticPr fontId="22" type="noConversion"/>
  </si>
  <si>
    <t>0027672</t>
    <phoneticPr fontId="22" type="noConversion"/>
  </si>
  <si>
    <t>5016023</t>
    <phoneticPr fontId="22" type="noConversion"/>
  </si>
  <si>
    <t>15215005836</t>
    <phoneticPr fontId="22" type="noConversion"/>
  </si>
  <si>
    <t>023162172093</t>
    <phoneticPr fontId="22" type="noConversion"/>
  </si>
  <si>
    <t>00269126</t>
    <phoneticPr fontId="22" type="noConversion"/>
  </si>
  <si>
    <t>重庆朕尔科技有限公司</t>
    <phoneticPr fontId="22" type="noConversion"/>
  </si>
  <si>
    <t>5016024</t>
    <phoneticPr fontId="22" type="noConversion"/>
  </si>
  <si>
    <t>01911447</t>
    <phoneticPr fontId="22" type="noConversion"/>
  </si>
  <si>
    <t>重庆开元松下焊机销售有限公司</t>
    <phoneticPr fontId="22" type="noConversion"/>
  </si>
  <si>
    <t>5016025</t>
    <phoneticPr fontId="22" type="noConversion"/>
  </si>
  <si>
    <t>左雪莲</t>
    <phoneticPr fontId="22" type="noConversion"/>
  </si>
  <si>
    <t>13696487831</t>
    <phoneticPr fontId="22" type="noConversion"/>
  </si>
  <si>
    <t>重庆市九龙坡区杨家坪直港大道18号</t>
    <phoneticPr fontId="22" type="noConversion"/>
  </si>
  <si>
    <t>01799332</t>
    <phoneticPr fontId="22" type="noConversion"/>
  </si>
  <si>
    <t>023000438488</t>
    <phoneticPr fontId="22" type="noConversion"/>
  </si>
  <si>
    <t>5016041</t>
    <phoneticPr fontId="22" type="noConversion"/>
  </si>
  <si>
    <t>力宏物流到付</t>
    <phoneticPr fontId="22" type="noConversion"/>
  </si>
  <si>
    <t>0008394</t>
    <phoneticPr fontId="22" type="noConversion"/>
  </si>
  <si>
    <t>01799328</t>
    <phoneticPr fontId="22" type="noConversion"/>
  </si>
  <si>
    <t>761064858175</t>
    <phoneticPr fontId="22" type="noConversion"/>
  </si>
  <si>
    <t>重庆和平制药有限公司</t>
    <phoneticPr fontId="22" type="noConversion"/>
  </si>
  <si>
    <t>5016026</t>
    <phoneticPr fontId="22" type="noConversion"/>
  </si>
  <si>
    <t>刘春</t>
    <phoneticPr fontId="22" type="noConversion"/>
  </si>
  <si>
    <t>15998983216</t>
    <phoneticPr fontId="22" type="noConversion"/>
  </si>
  <si>
    <t>重庆市铜梁县白龙三路9号</t>
    <phoneticPr fontId="22" type="noConversion"/>
  </si>
  <si>
    <t>023162172190</t>
    <phoneticPr fontId="22" type="noConversion"/>
  </si>
  <si>
    <t>01799330</t>
    <phoneticPr fontId="22" type="noConversion"/>
  </si>
  <si>
    <t>761064858114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</si>
  <si>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11-1250</t>
    </r>
    <phoneticPr fontId="22" type="noConversion"/>
  </si>
  <si>
    <t>玉土五金劳保消防</t>
    <phoneticPr fontId="22" type="noConversion"/>
  </si>
  <si>
    <t>5016042</t>
    <phoneticPr fontId="22" type="noConversion"/>
  </si>
  <si>
    <t>龚玉奎</t>
    <phoneticPr fontId="22" type="noConversion"/>
  </si>
  <si>
    <t>15923728653</t>
    <phoneticPr fontId="22" type="noConversion"/>
  </si>
  <si>
    <t>重庆市涪陵区</t>
    <phoneticPr fontId="22" type="noConversion"/>
  </si>
  <si>
    <t>0018047</t>
    <phoneticPr fontId="22" type="noConversion"/>
  </si>
  <si>
    <r>
      <t>9002</t>
    </r>
    <r>
      <rPr>
        <sz val="10"/>
        <color indexed="8"/>
        <rFont val="宋体"/>
        <family val="3"/>
        <charset val="134"/>
      </rPr>
      <t>A</t>
    </r>
    <phoneticPr fontId="22" type="noConversion"/>
  </si>
  <si>
    <t>中通快递现付</t>
    <phoneticPr fontId="22" type="noConversion"/>
  </si>
  <si>
    <t>昆明市环城南路666号云纺国际商厦4F-65</t>
    <phoneticPr fontId="22" type="noConversion"/>
  </si>
  <si>
    <t>751802767647</t>
    <phoneticPr fontId="22" type="noConversion"/>
  </si>
  <si>
    <t>重庆西亭科技有限公司</t>
    <phoneticPr fontId="22" type="noConversion"/>
  </si>
  <si>
    <t>5016043</t>
    <phoneticPr fontId="22" type="noConversion"/>
  </si>
  <si>
    <t>李金穗</t>
    <phoneticPr fontId="22" type="noConversion"/>
  </si>
  <si>
    <t>13101396026</t>
    <phoneticPr fontId="22" type="noConversion"/>
  </si>
  <si>
    <t>重庆市渝北区新南路168号龙湖MOCO二栋613室</t>
    <phoneticPr fontId="22" type="noConversion"/>
  </si>
  <si>
    <t>5016027</t>
    <phoneticPr fontId="22" type="noConversion"/>
  </si>
  <si>
    <t>顺昌建辉到付</t>
    <phoneticPr fontId="22" type="noConversion"/>
  </si>
  <si>
    <t>渝北区</t>
    <phoneticPr fontId="22" type="noConversion"/>
  </si>
  <si>
    <t>0022130</t>
    <phoneticPr fontId="22" type="noConversion"/>
  </si>
  <si>
    <t>5016047</t>
    <phoneticPr fontId="22" type="noConversion"/>
  </si>
  <si>
    <t>5016045</t>
    <phoneticPr fontId="22" type="noConversion"/>
  </si>
  <si>
    <t>5016028</t>
    <phoneticPr fontId="22" type="noConversion"/>
  </si>
  <si>
    <t>023162172118</t>
    <phoneticPr fontId="22" type="noConversion"/>
  </si>
  <si>
    <t>023162172127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</si>
  <si>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</si>
  <si>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5016048</t>
    <phoneticPr fontId="22" type="noConversion"/>
  </si>
  <si>
    <t>李光银</t>
    <phoneticPr fontId="22" type="noConversion"/>
  </si>
  <si>
    <t>18725666444</t>
    <phoneticPr fontId="22" type="noConversion"/>
  </si>
  <si>
    <t>合川</t>
    <phoneticPr fontId="22" type="noConversion"/>
  </si>
  <si>
    <t>重庆市东部水务技术开发有限公司</t>
    <phoneticPr fontId="22" type="noConversion"/>
  </si>
  <si>
    <t>tychem-F</t>
    <phoneticPr fontId="22" type="noConversion"/>
  </si>
  <si>
    <t>0003203</t>
    <phoneticPr fontId="22" type="noConversion"/>
  </si>
  <si>
    <t>00269127</t>
    <phoneticPr fontId="22" type="noConversion"/>
  </si>
  <si>
    <t>751802767646</t>
    <phoneticPr fontId="22" type="noConversion"/>
  </si>
  <si>
    <t>K-1001B</t>
    <phoneticPr fontId="22" type="noConversion"/>
  </si>
  <si>
    <t>箱</t>
    <phoneticPr fontId="22" type="noConversion"/>
  </si>
  <si>
    <t>条</t>
    <phoneticPr fontId="22" type="noConversion"/>
  </si>
  <si>
    <t>重庆腾辉涪陵水泥有限公司合川分公司</t>
    <phoneticPr fontId="22" type="noConversion"/>
  </si>
  <si>
    <t>0003204</t>
    <phoneticPr fontId="22" type="noConversion"/>
  </si>
  <si>
    <t>01799331</t>
    <phoneticPr fontId="22" type="noConversion"/>
  </si>
  <si>
    <t>761064858115</t>
    <phoneticPr fontId="22" type="noConversion"/>
  </si>
  <si>
    <t>昆明腾祺商贸有限公司</t>
    <phoneticPr fontId="22" type="noConversion"/>
  </si>
  <si>
    <t>01799333-01799334-01799335-01799336-01799337</t>
    <phoneticPr fontId="22" type="noConversion"/>
  </si>
  <si>
    <t>11400-11400-11400-11400-11400</t>
    <phoneticPr fontId="22" type="noConversion"/>
  </si>
  <si>
    <t>761064858113</t>
    <phoneticPr fontId="22" type="noConversion"/>
  </si>
  <si>
    <t>重庆拓扬机电有限公司</t>
    <phoneticPr fontId="22" type="noConversion"/>
  </si>
  <si>
    <t>5016049</t>
    <phoneticPr fontId="22" type="noConversion"/>
  </si>
  <si>
    <t>毛老师</t>
    <phoneticPr fontId="22" type="noConversion"/>
  </si>
  <si>
    <t>13883888699</t>
    <phoneticPr fontId="22" type="noConversion"/>
  </si>
  <si>
    <t>巴南区龙洲大道99号龙洲花园9栋2-6-1</t>
    <phoneticPr fontId="22" type="noConversion"/>
  </si>
  <si>
    <t>01299204</t>
    <phoneticPr fontId="22" type="noConversion"/>
  </si>
  <si>
    <t>761064858186</t>
    <phoneticPr fontId="22" type="noConversion"/>
  </si>
  <si>
    <t>宜宾市上走马街28号3楼A座</t>
    <phoneticPr fontId="22" type="noConversion"/>
  </si>
  <si>
    <t>023162172781</t>
    <phoneticPr fontId="22" type="noConversion"/>
  </si>
  <si>
    <t>01299193-01299194-01299195-01299196-01299197-01299198-01299199-01299200</t>
    <phoneticPr fontId="22" type="noConversion"/>
  </si>
  <si>
    <t>11160-11408-11614.44-11000-11000-11000-11000-11000</t>
    <phoneticPr fontId="22" type="noConversion"/>
  </si>
  <si>
    <t>023000458879</t>
    <phoneticPr fontId="22" type="noConversion"/>
  </si>
  <si>
    <t>5016031</t>
    <phoneticPr fontId="22" type="noConversion"/>
  </si>
  <si>
    <t>刘玲</t>
    <phoneticPr fontId="22" type="noConversion"/>
  </si>
  <si>
    <t>15213290147/139838385CN15</t>
    <phoneticPr fontId="22" type="noConversion"/>
  </si>
  <si>
    <t>重庆市合川区上什字西路74号</t>
    <phoneticPr fontId="22" type="noConversion"/>
  </si>
  <si>
    <t>761064858116</t>
    <phoneticPr fontId="22" type="noConversion"/>
  </si>
  <si>
    <t>5016050</t>
    <phoneticPr fontId="22" type="noConversion"/>
  </si>
  <si>
    <t>黎安平</t>
    <phoneticPr fontId="22" type="noConversion"/>
  </si>
  <si>
    <t>13896055976</t>
    <phoneticPr fontId="22" type="noConversion"/>
  </si>
  <si>
    <t>0057525</t>
    <phoneticPr fontId="22" type="noConversion"/>
  </si>
  <si>
    <t>重庆市豪安家具有限公司</t>
    <phoneticPr fontId="22" type="noConversion"/>
  </si>
  <si>
    <t>5016029</t>
    <phoneticPr fontId="22" type="noConversion"/>
  </si>
  <si>
    <t>金喷货运现付</t>
    <phoneticPr fontId="22" type="noConversion"/>
  </si>
  <si>
    <t>张善元</t>
    <phoneticPr fontId="22" type="noConversion"/>
  </si>
  <si>
    <t>13212370503</t>
    <phoneticPr fontId="22" type="noConversion"/>
  </si>
  <si>
    <t>开县</t>
    <phoneticPr fontId="22" type="noConversion"/>
  </si>
  <si>
    <t>0019130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</si>
  <si>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7-175</t>
    </r>
    <phoneticPr fontId="22" type="noConversion"/>
  </si>
  <si>
    <r>
      <t>9</t>
    </r>
    <r>
      <rPr>
        <sz val="10"/>
        <color indexed="8"/>
        <rFont val="宋体"/>
        <family val="3"/>
        <charset val="134"/>
      </rPr>
      <t>041A</t>
    </r>
    <phoneticPr fontId="22" type="noConversion"/>
  </si>
  <si>
    <t>5016051</t>
    <phoneticPr fontId="22" type="noConversion"/>
  </si>
  <si>
    <t>0057696</t>
    <phoneticPr fontId="22" type="noConversion"/>
  </si>
  <si>
    <t>贵州宏都医疗机械有限公司</t>
    <phoneticPr fontId="22" type="noConversion"/>
  </si>
  <si>
    <t>张健</t>
    <phoneticPr fontId="22" type="noConversion"/>
  </si>
  <si>
    <t>13885615523</t>
    <phoneticPr fontId="22" type="noConversion"/>
  </si>
  <si>
    <t>贵州省铜仁市大江南路官地湾小区门米昂</t>
    <phoneticPr fontId="22" type="noConversion"/>
  </si>
  <si>
    <t>023162172136</t>
    <phoneticPr fontId="22" type="noConversion"/>
  </si>
  <si>
    <t>贵州宏达诚商贸有限公司</t>
    <phoneticPr fontId="22" type="noConversion"/>
  </si>
  <si>
    <t>鸿泽货运到付</t>
    <phoneticPr fontId="22" type="noConversion"/>
  </si>
  <si>
    <t>颜汀</t>
    <phoneticPr fontId="22" type="noConversion"/>
  </si>
  <si>
    <t>13809487745</t>
    <phoneticPr fontId="22" type="noConversion"/>
  </si>
  <si>
    <t>0019321</t>
    <phoneticPr fontId="22" type="noConversion"/>
  </si>
  <si>
    <t>01299186-01299187</t>
    <phoneticPr fontId="22" type="noConversion"/>
  </si>
  <si>
    <t>10780-7677.6</t>
    <phoneticPr fontId="22" type="noConversion"/>
  </si>
  <si>
    <t>718096013736</t>
    <phoneticPr fontId="22" type="noConversion"/>
  </si>
  <si>
    <t>5015055</t>
    <phoneticPr fontId="22" type="noConversion"/>
  </si>
  <si>
    <t>渝北</t>
    <phoneticPr fontId="22" type="noConversion"/>
  </si>
  <si>
    <t>0020320</t>
    <phoneticPr fontId="22" type="noConversion"/>
  </si>
  <si>
    <t>重庆煌辉化学危险品销售有限公司</t>
    <phoneticPr fontId="22" type="noConversion"/>
  </si>
  <si>
    <t>5016057</t>
    <phoneticPr fontId="22" type="noConversion"/>
  </si>
  <si>
    <t>付强</t>
    <phoneticPr fontId="22" type="noConversion"/>
  </si>
  <si>
    <t>13627687245</t>
    <phoneticPr fontId="22" type="noConversion"/>
  </si>
  <si>
    <t>01799327</t>
    <phoneticPr fontId="22" type="noConversion"/>
  </si>
  <si>
    <r>
      <t>C</t>
    </r>
    <r>
      <rPr>
        <sz val="10"/>
        <color indexed="8"/>
        <rFont val="宋体"/>
        <family val="3"/>
        <charset val="134"/>
      </rPr>
      <t>_FL550DD</t>
    </r>
    <phoneticPr fontId="22" type="noConversion"/>
  </si>
  <si>
    <t>盒</t>
    <phoneticPr fontId="22" type="noConversion"/>
  </si>
  <si>
    <t>有机蒸汽异味及颗粒物滤棉</t>
    <phoneticPr fontId="22" type="noConversion"/>
  </si>
  <si>
    <t>0003206</t>
    <phoneticPr fontId="22" type="noConversion"/>
  </si>
  <si>
    <t>温雷</t>
    <phoneticPr fontId="22" type="noConversion"/>
  </si>
  <si>
    <t>18602381812</t>
    <phoneticPr fontId="22" type="noConversion"/>
  </si>
  <si>
    <t>01799326</t>
    <phoneticPr fontId="22" type="noConversion"/>
  </si>
  <si>
    <t>中通现付</t>
    <phoneticPr fontId="22" type="noConversion"/>
  </si>
  <si>
    <t>761064858112</t>
    <phoneticPr fontId="22" type="noConversion"/>
  </si>
  <si>
    <t>荣昌县远达建材有限公司</t>
    <phoneticPr fontId="22" type="noConversion"/>
  </si>
  <si>
    <t>5016059</t>
    <phoneticPr fontId="22" type="noConversion"/>
  </si>
  <si>
    <t>陈建</t>
    <phoneticPr fontId="22" type="noConversion"/>
  </si>
  <si>
    <t>13018348776</t>
    <phoneticPr fontId="22" type="noConversion"/>
  </si>
  <si>
    <t>荣昌</t>
    <phoneticPr fontId="22" type="noConversion"/>
  </si>
  <si>
    <t>0039300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</si>
  <si>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</si>
  <si>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5016052</t>
    <phoneticPr fontId="22" type="noConversion"/>
  </si>
  <si>
    <t>01299205</t>
    <phoneticPr fontId="22" type="noConversion"/>
  </si>
  <si>
    <t>终端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</si>
  <si>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M</t>
    </r>
    <phoneticPr fontId="22" type="noConversion"/>
  </si>
  <si>
    <t>白色带帽连体防护服</t>
    <phoneticPr fontId="22" type="noConversion"/>
  </si>
  <si>
    <t>件</t>
    <phoneticPr fontId="22" type="noConversion"/>
  </si>
  <si>
    <t>5016052</t>
    <phoneticPr fontId="22" type="noConversion"/>
  </si>
  <si>
    <t>自提</t>
    <phoneticPr fontId="22" type="noConversion"/>
  </si>
  <si>
    <t>轻便型防护眼镜（透明镜片，防雾）</t>
    <phoneticPr fontId="22" type="noConversion"/>
  </si>
  <si>
    <t>付</t>
    <phoneticPr fontId="22" type="noConversion"/>
  </si>
  <si>
    <t>重庆创新劳动防护用品有限公司</t>
    <phoneticPr fontId="22" type="noConversion"/>
  </si>
  <si>
    <t>片</t>
    <phoneticPr fontId="22" type="noConversion"/>
  </si>
  <si>
    <t>5016058</t>
    <phoneticPr fontId="22" type="noConversion"/>
  </si>
  <si>
    <t>刘永刚</t>
    <phoneticPr fontId="22" type="noConversion"/>
  </si>
  <si>
    <t>15909319509</t>
    <phoneticPr fontId="22" type="noConversion"/>
  </si>
  <si>
    <t>01799346-01799347</t>
    <phoneticPr fontId="22" type="noConversion"/>
  </si>
  <si>
    <t>11697-11698.6</t>
    <phoneticPr fontId="22" type="noConversion"/>
  </si>
  <si>
    <t>718096013741</t>
    <phoneticPr fontId="22" type="noConversion"/>
  </si>
  <si>
    <t>渠道</t>
    <phoneticPr fontId="22" type="noConversion"/>
  </si>
  <si>
    <t>渝北区广源劳保用品经营部</t>
    <phoneticPr fontId="22" type="noConversion"/>
  </si>
  <si>
    <t>个</t>
    <phoneticPr fontId="22" type="noConversion"/>
  </si>
  <si>
    <t>农行对私</t>
    <phoneticPr fontId="22" type="noConversion"/>
  </si>
  <si>
    <t>5016044</t>
    <phoneticPr fontId="22" type="noConversion"/>
  </si>
  <si>
    <t>顺丰到付</t>
    <phoneticPr fontId="22" type="noConversion"/>
  </si>
  <si>
    <t>刘军</t>
    <phoneticPr fontId="22" type="noConversion"/>
  </si>
  <si>
    <t>13452102967</t>
    <phoneticPr fontId="22" type="noConversion"/>
  </si>
  <si>
    <t>重庆渝北回兴街道双湖路133号</t>
    <phoneticPr fontId="22" type="noConversion"/>
  </si>
  <si>
    <t>023167333459</t>
    <phoneticPr fontId="22" type="noConversion"/>
  </si>
  <si>
    <t>手提挂墙急救箱</t>
    <phoneticPr fontId="22" type="noConversion"/>
  </si>
  <si>
    <t>K-014B</t>
    <phoneticPr fontId="22" type="noConversion"/>
  </si>
  <si>
    <t>箱</t>
    <phoneticPr fontId="22" type="noConversion"/>
  </si>
  <si>
    <t>高新物流到付</t>
    <phoneticPr fontId="22" type="noConversion"/>
  </si>
  <si>
    <t>0016669</t>
    <phoneticPr fontId="22" type="noConversion"/>
  </si>
  <si>
    <t>重庆永荣矿业有限公司洗选厂</t>
    <phoneticPr fontId="22" type="noConversion"/>
  </si>
  <si>
    <t>现金</t>
    <phoneticPr fontId="22" type="noConversion"/>
  </si>
  <si>
    <t>5016033</t>
    <phoneticPr fontId="22" type="noConversion"/>
  </si>
  <si>
    <t>刘老师</t>
    <phoneticPr fontId="22" type="noConversion"/>
  </si>
  <si>
    <t>13996463557</t>
    <phoneticPr fontId="22" type="noConversion"/>
  </si>
  <si>
    <t>重庆大足邮亭工业园区</t>
    <phoneticPr fontId="22" type="noConversion"/>
  </si>
  <si>
    <t>00269128</t>
    <phoneticPr fontId="22" type="noConversion"/>
  </si>
  <si>
    <t>普票</t>
    <phoneticPr fontId="22" type="noConversion"/>
  </si>
  <si>
    <t>贵州久煜物资有限公司</t>
    <phoneticPr fontId="22" type="noConversion"/>
  </si>
  <si>
    <t>酸性气体防护口罩</t>
    <phoneticPr fontId="22" type="noConversion"/>
  </si>
  <si>
    <t>中行对公3323  农行对私1176</t>
    <phoneticPr fontId="22" type="noConversion"/>
  </si>
  <si>
    <t>力宏物流到付</t>
    <phoneticPr fontId="22" type="noConversion"/>
  </si>
  <si>
    <t>李平</t>
    <phoneticPr fontId="22" type="noConversion"/>
  </si>
  <si>
    <t>13985105894</t>
    <phoneticPr fontId="22" type="noConversion"/>
  </si>
  <si>
    <t>贵阳</t>
    <phoneticPr fontId="22" type="noConversion"/>
  </si>
  <si>
    <t>0004230</t>
    <phoneticPr fontId="22" type="noConversion"/>
  </si>
  <si>
    <t>01799328</t>
    <phoneticPr fontId="22" type="noConversion"/>
  </si>
  <si>
    <t>761064858175</t>
    <phoneticPr fontId="22" type="noConversion"/>
  </si>
  <si>
    <t>双滤盒半面罩</t>
    <phoneticPr fontId="22" type="noConversion"/>
  </si>
  <si>
    <t>B209</t>
    <phoneticPr fontId="22" type="noConversion"/>
  </si>
  <si>
    <t>滤毒盒</t>
    <phoneticPr fontId="22" type="noConversion"/>
  </si>
  <si>
    <t>G104</t>
    <phoneticPr fontId="22" type="noConversion"/>
  </si>
  <si>
    <t>重庆市港腾科技有限公司</t>
    <phoneticPr fontId="22" type="noConversion"/>
  </si>
  <si>
    <t>5016032</t>
    <phoneticPr fontId="22" type="noConversion"/>
  </si>
  <si>
    <t>中通现付</t>
    <phoneticPr fontId="22" type="noConversion"/>
  </si>
  <si>
    <t>张秀英</t>
    <phoneticPr fontId="22" type="noConversion"/>
  </si>
  <si>
    <t>13452968271</t>
    <phoneticPr fontId="22" type="noConversion"/>
  </si>
  <si>
    <t>西彭工业园</t>
    <phoneticPr fontId="22" type="noConversion"/>
  </si>
  <si>
    <t>751803064395</t>
    <phoneticPr fontId="22" type="noConversion"/>
  </si>
  <si>
    <t>01799338</t>
    <phoneticPr fontId="22" type="noConversion"/>
  </si>
  <si>
    <t>中国款流线型防护眼镜（透明镜片，防雾）</t>
    <phoneticPr fontId="22" type="noConversion"/>
  </si>
  <si>
    <t>重庆建工工业有限公司</t>
    <phoneticPr fontId="22" type="noConversion"/>
  </si>
  <si>
    <t>0003208</t>
    <phoneticPr fontId="22" type="noConversion"/>
  </si>
  <si>
    <t>送货上门</t>
    <phoneticPr fontId="22" type="noConversion"/>
  </si>
  <si>
    <t>刘均</t>
    <phoneticPr fontId="22" type="noConversion"/>
  </si>
  <si>
    <t>18696611456</t>
    <phoneticPr fontId="22" type="noConversion"/>
  </si>
  <si>
    <t>江津</t>
    <phoneticPr fontId="22" type="noConversion"/>
  </si>
  <si>
    <t>01799350-01799349-01799348</t>
    <phoneticPr fontId="22" type="noConversion"/>
  </si>
  <si>
    <t>11325-11000-11655</t>
    <phoneticPr fontId="22" type="noConversion"/>
  </si>
  <si>
    <t>761064858174</t>
    <phoneticPr fontId="22" type="noConversion"/>
  </si>
  <si>
    <t>全面具视窗保护膜</t>
    <phoneticPr fontId="22" type="noConversion"/>
  </si>
  <si>
    <t>100V自动变光焊接面罩</t>
    <phoneticPr fontId="22" type="noConversion"/>
  </si>
  <si>
    <t>送票上门</t>
    <phoneticPr fontId="22" type="noConversion"/>
  </si>
  <si>
    <t>重庆川仪自动化股份有限公司执行器分公司</t>
    <phoneticPr fontId="22" type="noConversion"/>
  </si>
  <si>
    <t>子弹型带线耳塞</t>
    <phoneticPr fontId="22" type="noConversion"/>
  </si>
  <si>
    <t>5016060</t>
    <phoneticPr fontId="22" type="noConversion"/>
  </si>
  <si>
    <t>重庆三恩科技发展有限公司</t>
    <phoneticPr fontId="22" type="noConversion"/>
  </si>
  <si>
    <t>9015381</t>
    <phoneticPr fontId="22" type="noConversion"/>
  </si>
  <si>
    <t>01799340</t>
    <phoneticPr fontId="22" type="noConversion"/>
  </si>
  <si>
    <t>023000438487</t>
    <phoneticPr fontId="22" type="noConversion"/>
  </si>
  <si>
    <t>9015383</t>
    <phoneticPr fontId="22" type="noConversion"/>
  </si>
  <si>
    <t>0003426</t>
    <phoneticPr fontId="22" type="noConversion"/>
  </si>
  <si>
    <t>3N11CN</t>
    <phoneticPr fontId="22" type="noConversion"/>
  </si>
  <si>
    <t>重庆长安跨越车辆有限公司</t>
    <phoneticPr fontId="22" type="noConversion"/>
  </si>
  <si>
    <t>焊接防护眼罩</t>
    <phoneticPr fontId="22" type="noConversion"/>
  </si>
  <si>
    <t>5016034</t>
    <phoneticPr fontId="22" type="noConversion"/>
  </si>
  <si>
    <t>周昌勤</t>
    <phoneticPr fontId="22" type="noConversion"/>
  </si>
  <si>
    <t>18623520833</t>
    <phoneticPr fontId="22" type="noConversion"/>
  </si>
  <si>
    <t>重庆市万州区申明北路77号</t>
    <phoneticPr fontId="22" type="noConversion"/>
  </si>
  <si>
    <t>718096013788</t>
    <phoneticPr fontId="22" type="noConversion"/>
  </si>
  <si>
    <t>01911464</t>
    <phoneticPr fontId="22" type="noConversion"/>
  </si>
  <si>
    <t>718102646480</t>
    <phoneticPr fontId="22" type="noConversion"/>
  </si>
  <si>
    <t>重庆煌辉化学危险品销售有限公司</t>
    <phoneticPr fontId="22" type="noConversion"/>
  </si>
  <si>
    <t>爱护佳免洗手消毒液</t>
    <phoneticPr fontId="22" type="noConversion"/>
  </si>
  <si>
    <t>9250P</t>
    <phoneticPr fontId="22" type="noConversion"/>
  </si>
  <si>
    <t>瓶</t>
    <phoneticPr fontId="22" type="noConversion"/>
  </si>
  <si>
    <t>9016384</t>
    <phoneticPr fontId="22" type="noConversion"/>
  </si>
  <si>
    <t>付强</t>
    <phoneticPr fontId="22" type="noConversion"/>
  </si>
  <si>
    <t>13627687245</t>
    <phoneticPr fontId="22" type="noConversion"/>
  </si>
  <si>
    <t>01799341</t>
    <phoneticPr fontId="22" type="noConversion"/>
  </si>
  <si>
    <t>023000404159</t>
    <phoneticPr fontId="22" type="noConversion"/>
  </si>
  <si>
    <t>已付款2493</t>
    <phoneticPr fontId="22" type="noConversion"/>
  </si>
  <si>
    <t>垫江伟泰家具</t>
    <phoneticPr fontId="22" type="noConversion"/>
  </si>
  <si>
    <t>5016038</t>
    <phoneticPr fontId="22" type="noConversion"/>
  </si>
  <si>
    <t>5016038</t>
    <phoneticPr fontId="22" type="noConversion"/>
  </si>
  <si>
    <t>垫江伟泰家具</t>
    <phoneticPr fontId="22" type="noConversion"/>
  </si>
  <si>
    <t>9001V</t>
    <phoneticPr fontId="22" type="noConversion"/>
  </si>
  <si>
    <t>重庆市港腾科技有限公司</t>
    <phoneticPr fontId="22" type="noConversion"/>
  </si>
  <si>
    <t>5016039</t>
    <phoneticPr fontId="22" type="noConversion"/>
  </si>
  <si>
    <t>张秀英</t>
    <phoneticPr fontId="22" type="noConversion"/>
  </si>
  <si>
    <t>13452968271</t>
    <phoneticPr fontId="22" type="noConversion"/>
  </si>
  <si>
    <t>重庆市西彭工业园</t>
    <phoneticPr fontId="22" type="noConversion"/>
  </si>
  <si>
    <t>751803064396</t>
    <phoneticPr fontId="22" type="noConversion"/>
  </si>
  <si>
    <t>01799346-01799347</t>
    <phoneticPr fontId="22" type="noConversion"/>
  </si>
  <si>
    <t>11697-11698.6</t>
    <phoneticPr fontId="22" type="noConversion"/>
  </si>
  <si>
    <t>718096013741</t>
    <phoneticPr fontId="22" type="noConversion"/>
  </si>
  <si>
    <t>9015382</t>
    <phoneticPr fontId="22" type="noConversion"/>
  </si>
  <si>
    <t>两路</t>
    <phoneticPr fontId="22" type="noConversion"/>
  </si>
  <si>
    <t>0009664</t>
    <phoneticPr fontId="22" type="noConversion"/>
  </si>
  <si>
    <t>9015385</t>
    <phoneticPr fontId="22" type="noConversion"/>
  </si>
  <si>
    <t>斯博瑞安</t>
    <phoneticPr fontId="22" type="noConversion"/>
  </si>
  <si>
    <t>BC6240470</t>
    <phoneticPr fontId="22" type="noConversion"/>
  </si>
  <si>
    <t>9015361</t>
    <phoneticPr fontId="22" type="noConversion"/>
  </si>
  <si>
    <t>0006394</t>
    <phoneticPr fontId="22" type="noConversion"/>
  </si>
  <si>
    <t>01799339</t>
    <phoneticPr fontId="22" type="noConversion"/>
  </si>
  <si>
    <t>761064858188</t>
    <phoneticPr fontId="22" type="noConversion"/>
  </si>
  <si>
    <t>代尔塔</t>
    <phoneticPr fontId="22" type="noConversion"/>
  </si>
  <si>
    <t>9015364</t>
    <phoneticPr fontId="22" type="noConversion"/>
  </si>
  <si>
    <t>刘均</t>
    <phoneticPr fontId="22" type="noConversion"/>
  </si>
  <si>
    <t>18696611456</t>
    <phoneticPr fontId="22" type="noConversion"/>
  </si>
  <si>
    <t>江津珞璜工业园</t>
    <phoneticPr fontId="22" type="noConversion"/>
  </si>
  <si>
    <t>01911448-01911449-01911450-01911451-01911451-01911452-01911453</t>
    <phoneticPr fontId="22" type="noConversion"/>
  </si>
  <si>
    <t>9015363</t>
    <phoneticPr fontId="22" type="noConversion"/>
  </si>
  <si>
    <t>0006395</t>
    <phoneticPr fontId="22" type="noConversion"/>
  </si>
  <si>
    <t>昆明瀚德经贸有限公司</t>
    <phoneticPr fontId="22" type="noConversion"/>
  </si>
  <si>
    <t>9015365</t>
    <phoneticPr fontId="22" type="noConversion"/>
  </si>
  <si>
    <t>金顺达到付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</si>
  <si>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</si>
  <si>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</si>
  <si>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</si>
  <si>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0001014</t>
    <phoneticPr fontId="22" type="noConversion"/>
  </si>
  <si>
    <t>01299203</t>
    <phoneticPr fontId="22" type="noConversion"/>
  </si>
  <si>
    <t>718100256388</t>
    <phoneticPr fontId="22" type="noConversion"/>
  </si>
  <si>
    <t>9015387</t>
    <phoneticPr fontId="22" type="noConversion"/>
  </si>
  <si>
    <t>13990081003</t>
    <phoneticPr fontId="22" type="noConversion"/>
  </si>
  <si>
    <t>0004866</t>
    <phoneticPr fontId="22" type="noConversion"/>
  </si>
  <si>
    <t>9015386</t>
    <phoneticPr fontId="22" type="noConversion"/>
  </si>
  <si>
    <t>1790G</t>
    <phoneticPr fontId="22" type="noConversion"/>
  </si>
  <si>
    <t>9嘉烨</t>
    <phoneticPr fontId="22" type="noConversion"/>
  </si>
  <si>
    <t>9015366</t>
    <phoneticPr fontId="22" type="noConversion"/>
  </si>
  <si>
    <t>71809613785</t>
    <phoneticPr fontId="22" type="noConversion"/>
  </si>
  <si>
    <t>01911469</t>
    <phoneticPr fontId="22" type="noConversion"/>
  </si>
  <si>
    <t>顺畅建辉到付</t>
    <phoneticPr fontId="22" type="noConversion"/>
  </si>
  <si>
    <t>0009673</t>
    <phoneticPr fontId="22" type="noConversion"/>
  </si>
  <si>
    <t>重庆国俊物资有限公司</t>
    <phoneticPr fontId="22" type="noConversion"/>
  </si>
  <si>
    <t>01799344-01799343-01799342</t>
    <phoneticPr fontId="22" type="noConversion"/>
  </si>
  <si>
    <t>10100-10100-5050</t>
    <phoneticPr fontId="22" type="noConversion"/>
  </si>
  <si>
    <t>送票上门</t>
    <phoneticPr fontId="22" type="noConversion"/>
  </si>
  <si>
    <t>付</t>
    <phoneticPr fontId="40" type="noConversion"/>
  </si>
  <si>
    <t>9015372</t>
    <phoneticPr fontId="22" type="noConversion"/>
  </si>
  <si>
    <t>13996643671</t>
    <phoneticPr fontId="22" type="noConversion"/>
  </si>
  <si>
    <t>重庆市巫溪县厢镇太平路198号</t>
    <phoneticPr fontId="22" type="noConversion"/>
  </si>
  <si>
    <t>588046669585</t>
    <phoneticPr fontId="22" type="noConversion"/>
  </si>
  <si>
    <t>重庆市俊成化工有限责任公司</t>
    <phoneticPr fontId="22" type="noConversion"/>
  </si>
  <si>
    <t>9015367</t>
    <phoneticPr fontId="22" type="noConversion"/>
  </si>
  <si>
    <t>谢成玖</t>
    <phoneticPr fontId="22" type="noConversion"/>
  </si>
  <si>
    <t>15025760998</t>
    <phoneticPr fontId="22" type="noConversion"/>
  </si>
  <si>
    <t>彭水</t>
    <phoneticPr fontId="22" type="noConversion"/>
  </si>
  <si>
    <t>重庆綦江区四方建材有限公司</t>
    <phoneticPr fontId="22" type="noConversion"/>
  </si>
  <si>
    <t>5016040</t>
    <phoneticPr fontId="22" type="noConversion"/>
  </si>
  <si>
    <t>重庆市綦江区四方建材有限公司</t>
    <phoneticPr fontId="22" type="noConversion"/>
  </si>
  <si>
    <t>023162172806</t>
    <phoneticPr fontId="22" type="noConversion"/>
  </si>
  <si>
    <t>00269129</t>
    <phoneticPr fontId="22" type="noConversion"/>
  </si>
  <si>
    <t>重庆弘扬建材有限公司混泥土搅拌站采石场</t>
    <phoneticPr fontId="22" type="noConversion"/>
  </si>
  <si>
    <t>9015371</t>
    <phoneticPr fontId="22" type="noConversion"/>
  </si>
  <si>
    <t>何老师</t>
    <phoneticPr fontId="22" type="noConversion"/>
  </si>
  <si>
    <t>13638217888</t>
    <phoneticPr fontId="22" type="noConversion"/>
  </si>
  <si>
    <t>重庆市黔江区正阳街道办事处桐坪居委2组</t>
    <phoneticPr fontId="22" type="noConversion"/>
  </si>
  <si>
    <t>0021122</t>
    <phoneticPr fontId="22" type="noConversion"/>
  </si>
  <si>
    <t>00269131</t>
    <phoneticPr fontId="22" type="noConversion"/>
  </si>
  <si>
    <t>重庆市神安化工建材有限公司溶解乙炔气分公司</t>
    <phoneticPr fontId="22" type="noConversion"/>
  </si>
  <si>
    <t>9015368</t>
    <phoneticPr fontId="22" type="noConversion"/>
  </si>
  <si>
    <t>康建忠</t>
    <phoneticPr fontId="22" type="noConversion"/>
  </si>
  <si>
    <t>18996604666</t>
    <phoneticPr fontId="22" type="noConversion"/>
  </si>
  <si>
    <t>黔江</t>
    <phoneticPr fontId="22" type="noConversion"/>
  </si>
  <si>
    <t>00269130</t>
    <phoneticPr fontId="22" type="noConversion"/>
  </si>
  <si>
    <t>重庆银象木业有限责任公司</t>
    <phoneticPr fontId="22" type="noConversion"/>
  </si>
  <si>
    <t>9015369</t>
    <phoneticPr fontId="22" type="noConversion"/>
  </si>
  <si>
    <t>中通到付</t>
    <phoneticPr fontId="22" type="noConversion"/>
  </si>
  <si>
    <t>李民</t>
    <phoneticPr fontId="22" type="noConversion"/>
  </si>
  <si>
    <t>15223930066</t>
    <phoneticPr fontId="22" type="noConversion"/>
  </si>
  <si>
    <t>重庆市黔江区正阳工业园庙儿坪</t>
    <phoneticPr fontId="22" type="noConversion"/>
  </si>
  <si>
    <t>751803064379</t>
    <phoneticPr fontId="22" type="noConversion"/>
  </si>
  <si>
    <t>00269132</t>
    <phoneticPr fontId="22" type="noConversion"/>
  </si>
  <si>
    <t>9015370</t>
    <phoneticPr fontId="22" type="noConversion"/>
  </si>
  <si>
    <t>重庆广博包装有限公司</t>
    <phoneticPr fontId="22" type="noConversion"/>
  </si>
  <si>
    <t>9015373</t>
    <phoneticPr fontId="22" type="noConversion"/>
  </si>
  <si>
    <t>秦银凤</t>
    <phoneticPr fontId="22" type="noConversion"/>
  </si>
  <si>
    <t>15223985142</t>
    <phoneticPr fontId="22" type="noConversion"/>
  </si>
  <si>
    <t>重庆市黔江区正阳工业园广博塑料袋有限公司</t>
    <phoneticPr fontId="22" type="noConversion"/>
  </si>
  <si>
    <t>0034856</t>
    <phoneticPr fontId="22" type="noConversion"/>
  </si>
  <si>
    <t>9015374</t>
    <phoneticPr fontId="22" type="noConversion"/>
  </si>
  <si>
    <t>0045798</t>
    <phoneticPr fontId="22" type="noConversion"/>
  </si>
  <si>
    <t>9015376</t>
    <phoneticPr fontId="22" type="noConversion"/>
  </si>
  <si>
    <t>00269133</t>
    <phoneticPr fontId="22" type="noConversion"/>
  </si>
  <si>
    <t>9015377</t>
    <phoneticPr fontId="22" type="noConversion"/>
  </si>
  <si>
    <t>申通现付</t>
    <phoneticPr fontId="22" type="noConversion"/>
  </si>
  <si>
    <t>重庆市巫溪县城厢太平路198号</t>
    <phoneticPr fontId="22" type="noConversion"/>
  </si>
  <si>
    <t>568111824920</t>
    <phoneticPr fontId="22" type="noConversion"/>
  </si>
  <si>
    <t>9015388</t>
    <phoneticPr fontId="22" type="noConversion"/>
  </si>
  <si>
    <t>伍亮</t>
    <phoneticPr fontId="22" type="noConversion"/>
  </si>
  <si>
    <t>02077322</t>
    <phoneticPr fontId="22" type="noConversion"/>
  </si>
  <si>
    <t>9015389</t>
    <phoneticPr fontId="22" type="noConversion"/>
  </si>
  <si>
    <t>合川区振兴路438号</t>
    <phoneticPr fontId="22" type="noConversion"/>
  </si>
  <si>
    <t>023167333468</t>
    <phoneticPr fontId="22" type="noConversion"/>
  </si>
  <si>
    <t>个人曲锐</t>
    <phoneticPr fontId="22" type="noConversion"/>
  </si>
  <si>
    <t>春秋货运到付</t>
    <phoneticPr fontId="22" type="noConversion"/>
  </si>
  <si>
    <t>曲锐</t>
    <phoneticPr fontId="22" type="noConversion"/>
  </si>
  <si>
    <t>15985630887</t>
    <phoneticPr fontId="22" type="noConversion"/>
  </si>
  <si>
    <t>贵州省铜仁市畜牧局</t>
    <phoneticPr fontId="22" type="noConversion"/>
  </si>
  <si>
    <t>0025090</t>
    <phoneticPr fontId="22" type="noConversion"/>
  </si>
  <si>
    <t>9015379</t>
    <phoneticPr fontId="22" type="noConversion"/>
  </si>
  <si>
    <t>龙国物流现付</t>
    <phoneticPr fontId="22" type="noConversion"/>
  </si>
  <si>
    <t>0212317</t>
    <phoneticPr fontId="22" type="noConversion"/>
  </si>
  <si>
    <t>01299188</t>
    <phoneticPr fontId="22" type="noConversion"/>
  </si>
  <si>
    <t>023167333440</t>
    <phoneticPr fontId="22" type="noConversion"/>
  </si>
  <si>
    <t>发票已作废</t>
    <phoneticPr fontId="22" type="noConversion"/>
  </si>
  <si>
    <t>个人朱兑芬</t>
    <phoneticPr fontId="22" type="noConversion"/>
  </si>
  <si>
    <t>9015390</t>
    <phoneticPr fontId="22" type="noConversion"/>
  </si>
  <si>
    <t>朱兑芬</t>
    <phoneticPr fontId="22" type="noConversion"/>
  </si>
  <si>
    <t>13708521966</t>
    <phoneticPr fontId="22" type="noConversion"/>
  </si>
  <si>
    <t>四川省泸州市九支赤水</t>
    <phoneticPr fontId="22" type="noConversion"/>
  </si>
  <si>
    <t>568111824919</t>
    <phoneticPr fontId="22" type="noConversion"/>
  </si>
  <si>
    <t>9015391</t>
    <phoneticPr fontId="22" type="noConversion"/>
  </si>
  <si>
    <t>9015392</t>
    <phoneticPr fontId="22" type="noConversion"/>
  </si>
  <si>
    <t>0041836</t>
    <phoneticPr fontId="22" type="noConversion"/>
  </si>
  <si>
    <t>9015380</t>
    <phoneticPr fontId="22" type="noConversion"/>
  </si>
  <si>
    <t>永德货运到付</t>
    <phoneticPr fontId="22" type="noConversion"/>
  </si>
  <si>
    <t>云阳</t>
    <phoneticPr fontId="22" type="noConversion"/>
  </si>
  <si>
    <t>1522794</t>
    <phoneticPr fontId="22" type="noConversion"/>
  </si>
  <si>
    <t>9015401</t>
    <phoneticPr fontId="22" type="noConversion"/>
  </si>
  <si>
    <t>0004831</t>
    <phoneticPr fontId="22" type="noConversion"/>
  </si>
  <si>
    <t>01911467</t>
    <phoneticPr fontId="22" type="noConversion"/>
  </si>
  <si>
    <t>9015402</t>
    <phoneticPr fontId="22" type="noConversion"/>
  </si>
  <si>
    <t>0004832</t>
    <phoneticPr fontId="22" type="noConversion"/>
  </si>
  <si>
    <t>01911466</t>
    <phoneticPr fontId="22" type="noConversion"/>
  </si>
  <si>
    <t>重庆川仪自动化股份有限公司金属功能材料分公司</t>
    <phoneticPr fontId="22" type="noConversion"/>
  </si>
  <si>
    <t>9015403</t>
    <phoneticPr fontId="22" type="noConversion"/>
  </si>
  <si>
    <t>方利</t>
    <phoneticPr fontId="22" type="noConversion"/>
  </si>
  <si>
    <t>13883820501</t>
    <phoneticPr fontId="22" type="noConversion"/>
  </si>
  <si>
    <t>重庆市北碚区三花石</t>
    <phoneticPr fontId="22" type="noConversion"/>
  </si>
  <si>
    <t>718096013734</t>
    <phoneticPr fontId="22" type="noConversion"/>
  </si>
  <si>
    <t>9015395</t>
    <phoneticPr fontId="22" type="noConversion"/>
  </si>
  <si>
    <t>023162172163</t>
    <phoneticPr fontId="22" type="noConversion"/>
  </si>
  <si>
    <t>9015393</t>
    <phoneticPr fontId="22" type="noConversion"/>
  </si>
  <si>
    <t>023162172172</t>
    <phoneticPr fontId="22" type="noConversion"/>
  </si>
  <si>
    <t>罗秋鸿</t>
    <phoneticPr fontId="22" type="noConversion"/>
  </si>
  <si>
    <t>13990081027</t>
    <phoneticPr fontId="22" type="noConversion"/>
  </si>
  <si>
    <t>0019007</t>
    <phoneticPr fontId="22" type="noConversion"/>
  </si>
  <si>
    <t>重庆中心机电设备有限公司</t>
    <phoneticPr fontId="22" type="noConversion"/>
  </si>
  <si>
    <t>9015396</t>
    <phoneticPr fontId="22" type="noConversion"/>
  </si>
  <si>
    <t>朱元祥</t>
    <phoneticPr fontId="22" type="noConversion"/>
  </si>
  <si>
    <t>13310208228</t>
    <phoneticPr fontId="22" type="noConversion"/>
  </si>
  <si>
    <t>E区3号</t>
    <phoneticPr fontId="22" type="noConversion"/>
  </si>
  <si>
    <t>重庆建工钢结构有限公司</t>
    <phoneticPr fontId="22" type="noConversion"/>
  </si>
  <si>
    <t>9015404</t>
    <phoneticPr fontId="22" type="noConversion"/>
  </si>
  <si>
    <t>01911454</t>
    <phoneticPr fontId="22" type="noConversion"/>
  </si>
  <si>
    <t>9015405</t>
    <phoneticPr fontId="22" type="noConversion"/>
  </si>
  <si>
    <t>艾诺斯（重庆）华达电源系统有限公司</t>
    <phoneticPr fontId="22" type="noConversion"/>
  </si>
  <si>
    <t>9015406</t>
    <phoneticPr fontId="22" type="noConversion"/>
  </si>
  <si>
    <t>飞毛腿货运到付</t>
    <phoneticPr fontId="22" type="noConversion"/>
  </si>
  <si>
    <t>陈小莉</t>
    <phoneticPr fontId="22" type="noConversion"/>
  </si>
  <si>
    <t>18883139216</t>
    <phoneticPr fontId="22" type="noConversion"/>
  </si>
  <si>
    <t>双桥</t>
    <phoneticPr fontId="22" type="noConversion"/>
  </si>
  <si>
    <t>0033028</t>
    <phoneticPr fontId="22" type="noConversion"/>
  </si>
  <si>
    <t>01299208</t>
    <phoneticPr fontId="22" type="noConversion"/>
  </si>
  <si>
    <t>718096013738</t>
    <phoneticPr fontId="22" type="noConversion"/>
  </si>
  <si>
    <t>7093 P100</t>
    <phoneticPr fontId="22" type="noConversion"/>
  </si>
  <si>
    <t>9015407</t>
    <phoneticPr fontId="22" type="noConversion"/>
  </si>
  <si>
    <t>飞达运货运现付</t>
    <phoneticPr fontId="22" type="noConversion"/>
  </si>
  <si>
    <t>0002658</t>
    <phoneticPr fontId="22" type="noConversion"/>
  </si>
  <si>
    <t>01911456-01911455</t>
    <phoneticPr fontId="22" type="noConversion"/>
  </si>
  <si>
    <t>718102646483</t>
    <phoneticPr fontId="22" type="noConversion"/>
  </si>
  <si>
    <t>9015397</t>
    <phoneticPr fontId="22" type="noConversion"/>
  </si>
  <si>
    <t>郑宏</t>
    <phoneticPr fontId="22" type="noConversion"/>
  </si>
  <si>
    <t>13983193484</t>
    <phoneticPr fontId="22" type="noConversion"/>
  </si>
  <si>
    <t>01911462</t>
    <phoneticPr fontId="22" type="noConversion"/>
  </si>
  <si>
    <t>023000458877</t>
    <phoneticPr fontId="22" type="noConversion"/>
  </si>
  <si>
    <t>鸿宝</t>
    <phoneticPr fontId="22" type="noConversion"/>
  </si>
  <si>
    <t>5KV</t>
    <phoneticPr fontId="22" type="noConversion"/>
  </si>
  <si>
    <t>9015398</t>
    <phoneticPr fontId="22" type="noConversion"/>
  </si>
  <si>
    <t>0048279</t>
    <phoneticPr fontId="22" type="noConversion"/>
  </si>
  <si>
    <t>送票上门（永安劳保）</t>
    <phoneticPr fontId="22" type="noConversion"/>
  </si>
  <si>
    <t>重庆拉法基瑞安地维水泥有限公司</t>
    <phoneticPr fontId="22" type="noConversion"/>
  </si>
  <si>
    <t>0006584</t>
    <phoneticPr fontId="22" type="noConversion"/>
  </si>
  <si>
    <t>程刚</t>
    <phoneticPr fontId="22" type="noConversion"/>
  </si>
  <si>
    <t>13983289460</t>
    <phoneticPr fontId="22" type="noConversion"/>
  </si>
  <si>
    <t>重庆市江津区珞璜工业园</t>
    <phoneticPr fontId="22" type="noConversion"/>
  </si>
  <si>
    <t>01911463</t>
    <phoneticPr fontId="22" type="noConversion"/>
  </si>
  <si>
    <t>023167333477</t>
    <phoneticPr fontId="22" type="noConversion"/>
  </si>
  <si>
    <t>9015409</t>
    <phoneticPr fontId="22" type="noConversion"/>
  </si>
  <si>
    <t>蒋老师</t>
    <phoneticPr fontId="22" type="noConversion"/>
  </si>
  <si>
    <t>13617674059</t>
    <phoneticPr fontId="22" type="noConversion"/>
  </si>
  <si>
    <t>9015410</t>
    <phoneticPr fontId="22" type="noConversion"/>
  </si>
  <si>
    <t>9015411</t>
    <phoneticPr fontId="22" type="noConversion"/>
  </si>
  <si>
    <t>9015412</t>
    <phoneticPr fontId="22" type="noConversion"/>
  </si>
  <si>
    <t>重庆川仪自动化股份有限公司电气成套分公司</t>
    <phoneticPr fontId="22" type="noConversion"/>
  </si>
  <si>
    <t>9015413</t>
    <phoneticPr fontId="22" type="noConversion"/>
  </si>
  <si>
    <t>潘光华</t>
    <phoneticPr fontId="22" type="noConversion"/>
  </si>
  <si>
    <t>13896101448</t>
    <phoneticPr fontId="22" type="noConversion"/>
  </si>
  <si>
    <t>重庆市北碚区龙凤三村</t>
    <phoneticPr fontId="22" type="noConversion"/>
  </si>
  <si>
    <t>718100256389</t>
    <phoneticPr fontId="22" type="noConversion"/>
  </si>
  <si>
    <t>9015414</t>
    <phoneticPr fontId="22" type="noConversion"/>
  </si>
  <si>
    <t>023167333495</t>
    <phoneticPr fontId="22" type="noConversion"/>
  </si>
  <si>
    <t>换货</t>
    <phoneticPr fontId="22" type="noConversion"/>
  </si>
  <si>
    <t>9015400</t>
    <phoneticPr fontId="22" type="noConversion"/>
  </si>
  <si>
    <t>023-68608434</t>
    <phoneticPr fontId="22" type="noConversion"/>
  </si>
  <si>
    <t>重庆永平劳保用品有限公司</t>
    <phoneticPr fontId="22" type="noConversion"/>
  </si>
  <si>
    <t>0001234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</si>
  <si>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</si>
  <si>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</si>
  <si>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</si>
  <si>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9015415</t>
    <phoneticPr fontId="22" type="noConversion"/>
  </si>
  <si>
    <t>戴建平</t>
    <phoneticPr fontId="22" type="noConversion"/>
  </si>
  <si>
    <t>15523662639</t>
    <phoneticPr fontId="22" type="noConversion"/>
  </si>
  <si>
    <t>垫江县</t>
    <phoneticPr fontId="22" type="noConversion"/>
  </si>
  <si>
    <t>3501CN</t>
    <phoneticPr fontId="22" type="noConversion"/>
  </si>
  <si>
    <t>9015416</t>
    <phoneticPr fontId="22" type="noConversion"/>
  </si>
  <si>
    <t>13508353157</t>
    <phoneticPr fontId="22" type="noConversion"/>
  </si>
  <si>
    <t>预过滤棉</t>
    <phoneticPr fontId="22" type="noConversion"/>
  </si>
  <si>
    <t>9015416</t>
    <phoneticPr fontId="22" type="noConversion"/>
  </si>
  <si>
    <t>重庆远新商贸有限责任公司</t>
    <phoneticPr fontId="22" type="noConversion"/>
  </si>
  <si>
    <t>3501CN</t>
    <phoneticPr fontId="22" type="noConversion"/>
  </si>
  <si>
    <t>0001235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</si>
  <si>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</si>
  <si>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</si>
  <si>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</si>
  <si>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01299207</t>
    <phoneticPr fontId="22" type="noConversion"/>
  </si>
  <si>
    <t>重庆乾鼎石材有限公司</t>
    <phoneticPr fontId="22" type="noConversion"/>
  </si>
  <si>
    <t>颗粒物防尘口罩-蓝色</t>
    <phoneticPr fontId="22" type="noConversion"/>
  </si>
  <si>
    <t>个</t>
    <phoneticPr fontId="57" type="noConversion"/>
  </si>
  <si>
    <t>9015417</t>
    <phoneticPr fontId="22" type="noConversion"/>
  </si>
  <si>
    <t>申通现付</t>
    <phoneticPr fontId="22" type="noConversion"/>
  </si>
  <si>
    <t>15123468489</t>
    <phoneticPr fontId="22" type="noConversion"/>
  </si>
  <si>
    <t>568134526874</t>
    <phoneticPr fontId="22" type="noConversion"/>
  </si>
  <si>
    <t>不开票</t>
    <phoneticPr fontId="22" type="noConversion"/>
  </si>
  <si>
    <t>终端</t>
    <phoneticPr fontId="22" type="noConversion"/>
  </si>
  <si>
    <t>渝北区广源劳保用品经营部</t>
    <phoneticPr fontId="22" type="noConversion"/>
  </si>
  <si>
    <t>3M</t>
    <phoneticPr fontId="22" type="noConversion"/>
  </si>
  <si>
    <t>折叠式防护口罩(环保包装)</t>
    <phoneticPr fontId="22" type="noConversion"/>
  </si>
  <si>
    <t>9002A</t>
    <phoneticPr fontId="22" type="noConversion"/>
  </si>
  <si>
    <t>片</t>
    <phoneticPr fontId="22" type="noConversion"/>
  </si>
  <si>
    <t>0001237</t>
    <phoneticPr fontId="22" type="noConversion"/>
  </si>
  <si>
    <t>顺昌建辉到付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</si>
  <si>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</si>
  <si>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</si>
  <si>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</si>
  <si>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0005546</t>
    <phoneticPr fontId="22" type="noConversion"/>
  </si>
  <si>
    <t>渠道</t>
    <phoneticPr fontId="22" type="noConversion"/>
  </si>
  <si>
    <t>9042A</t>
    <phoneticPr fontId="22" type="noConversion"/>
  </si>
  <si>
    <t>个</t>
    <phoneticPr fontId="22" type="noConversion"/>
  </si>
  <si>
    <t>重庆清创机械有限公司</t>
    <phoneticPr fontId="22" type="noConversion"/>
  </si>
  <si>
    <t>农行对私</t>
    <phoneticPr fontId="22" type="noConversion"/>
  </si>
  <si>
    <t>9015418</t>
    <phoneticPr fontId="22" type="noConversion"/>
  </si>
  <si>
    <t>申通现付</t>
    <phoneticPr fontId="22" type="noConversion"/>
  </si>
  <si>
    <t>詹经理</t>
    <phoneticPr fontId="22" type="noConversion"/>
  </si>
  <si>
    <t>18325001189</t>
    <phoneticPr fontId="22" type="noConversion"/>
  </si>
  <si>
    <t>武隆白马工业园</t>
    <phoneticPr fontId="22" type="noConversion"/>
  </si>
  <si>
    <t>568134526875</t>
    <phoneticPr fontId="22" type="noConversion"/>
  </si>
  <si>
    <t>重庆建工钢结构有限公司</t>
    <phoneticPr fontId="22" type="noConversion"/>
  </si>
  <si>
    <t>颗粒物防尘口罩-蓝色</t>
    <phoneticPr fontId="22" type="noConversion"/>
  </si>
  <si>
    <t>0006644</t>
    <phoneticPr fontId="22" type="noConversion"/>
  </si>
  <si>
    <t>送货上门</t>
    <phoneticPr fontId="22" type="noConversion"/>
  </si>
  <si>
    <t>/</t>
    <phoneticPr fontId="22" type="noConversion"/>
  </si>
  <si>
    <t>01911454</t>
    <phoneticPr fontId="22" type="noConversion"/>
  </si>
  <si>
    <t>圣诞树型带线耳塞</t>
    <phoneticPr fontId="22" type="noConversion"/>
  </si>
  <si>
    <t>付</t>
    <phoneticPr fontId="22" type="noConversion"/>
  </si>
  <si>
    <t>中国款流线型防护眼镜（透明镜片，防雾）</t>
    <phoneticPr fontId="22" type="noConversion"/>
  </si>
  <si>
    <t>荣昌县远达建材有限公司</t>
    <phoneticPr fontId="22" type="noConversion"/>
  </si>
  <si>
    <t>0001239</t>
    <phoneticPr fontId="22" type="noConversion"/>
  </si>
  <si>
    <t>顺丰到付</t>
    <phoneticPr fontId="22" type="noConversion"/>
  </si>
  <si>
    <t>陈建</t>
    <phoneticPr fontId="22" type="noConversion"/>
  </si>
  <si>
    <t>13018348776</t>
    <phoneticPr fontId="22" type="noConversion"/>
  </si>
  <si>
    <t>重庆市荣昌县广顺东大街50号</t>
    <phoneticPr fontId="22" type="noConversion"/>
  </si>
  <si>
    <t>023169020855</t>
    <phoneticPr fontId="22" type="noConversion"/>
  </si>
  <si>
    <t>重庆永平劳保用品有限公司</t>
    <phoneticPr fontId="22" type="noConversion"/>
  </si>
  <si>
    <t>现金</t>
    <phoneticPr fontId="22" type="noConversion"/>
  </si>
  <si>
    <t>0001241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</si>
  <si>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</si>
  <si>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</si>
  <si>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</si>
  <si>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01299209</t>
    <phoneticPr fontId="22" type="noConversion"/>
  </si>
  <si>
    <t>送票上门</t>
    <phoneticPr fontId="22" type="noConversion"/>
  </si>
  <si>
    <t>滤棉承接座</t>
    <phoneticPr fontId="22" type="noConversion"/>
  </si>
  <si>
    <t>3701CN</t>
    <phoneticPr fontId="22" type="noConversion"/>
  </si>
  <si>
    <t>艾诺斯（重庆）华达电源系统有限公司</t>
    <phoneticPr fontId="22" type="noConversion"/>
  </si>
  <si>
    <t>中国款防护眼镜</t>
    <phoneticPr fontId="22" type="noConversion"/>
  </si>
  <si>
    <t>中行对公</t>
    <phoneticPr fontId="22" type="noConversion"/>
  </si>
  <si>
    <t>9015420</t>
    <phoneticPr fontId="22" type="noConversion"/>
  </si>
  <si>
    <t>顺丰现付</t>
    <phoneticPr fontId="22" type="noConversion"/>
  </si>
  <si>
    <t>陈小莉</t>
    <phoneticPr fontId="22" type="noConversion"/>
  </si>
  <si>
    <t>18883139216</t>
    <phoneticPr fontId="22" type="noConversion"/>
  </si>
  <si>
    <t>重庆市大足区双桥经济开发区双钱路4号</t>
    <phoneticPr fontId="22" type="noConversion"/>
  </si>
  <si>
    <t>023169020846</t>
    <phoneticPr fontId="22" type="noConversion"/>
  </si>
  <si>
    <t>01299208</t>
    <phoneticPr fontId="22" type="noConversion"/>
  </si>
  <si>
    <t>718096013738</t>
    <phoneticPr fontId="22" type="noConversion"/>
  </si>
  <si>
    <t>311-1101</t>
    <phoneticPr fontId="22" type="noConversion"/>
  </si>
  <si>
    <t>颗粒物滤尘盒</t>
    <phoneticPr fontId="22" type="noConversion"/>
  </si>
  <si>
    <t>7093 P100</t>
    <phoneticPr fontId="22" type="noConversion"/>
  </si>
  <si>
    <t>重庆和平制药有限公司</t>
    <phoneticPr fontId="22" type="noConversion"/>
  </si>
  <si>
    <t>0006577</t>
    <phoneticPr fontId="22" type="noConversion"/>
  </si>
  <si>
    <t>游桥</t>
    <phoneticPr fontId="22" type="noConversion"/>
  </si>
  <si>
    <t>13696479154</t>
    <phoneticPr fontId="22" type="noConversion"/>
  </si>
  <si>
    <t>重庆市铜梁县白龙三路9号</t>
    <phoneticPr fontId="22" type="noConversion"/>
  </si>
  <si>
    <t>023163508983</t>
    <phoneticPr fontId="22" type="noConversion"/>
  </si>
  <si>
    <t>01911469</t>
    <phoneticPr fontId="22" type="noConversion"/>
  </si>
  <si>
    <t>重庆建工工业有限公司</t>
    <phoneticPr fontId="22" type="noConversion"/>
  </si>
  <si>
    <t>代尔塔安全鞋</t>
    <phoneticPr fontId="22" type="noConversion"/>
  </si>
  <si>
    <t>双</t>
    <phoneticPr fontId="22" type="noConversion"/>
  </si>
  <si>
    <t>0006645</t>
    <phoneticPr fontId="22" type="noConversion"/>
  </si>
  <si>
    <t>送货上门</t>
    <phoneticPr fontId="22" type="noConversion"/>
  </si>
  <si>
    <t>刘均</t>
    <phoneticPr fontId="22" type="noConversion"/>
  </si>
  <si>
    <t>18696611456</t>
    <phoneticPr fontId="22" type="noConversion"/>
  </si>
  <si>
    <t>江津</t>
    <phoneticPr fontId="22" type="noConversion"/>
  </si>
  <si>
    <t>/</t>
    <phoneticPr fontId="22" type="noConversion"/>
  </si>
  <si>
    <t>01911448-01911449-01911450-01911451-01911451-01911452-01911453</t>
    <phoneticPr fontId="22" type="noConversion"/>
  </si>
  <si>
    <t>终端</t>
    <phoneticPr fontId="22" type="noConversion"/>
  </si>
  <si>
    <t>重庆建工工业有限公司</t>
    <phoneticPr fontId="22" type="noConversion"/>
  </si>
  <si>
    <t>3M</t>
    <phoneticPr fontId="22" type="noConversion"/>
  </si>
  <si>
    <t>100V自动变光焊接面罩保护片</t>
    <phoneticPr fontId="22" type="noConversion"/>
  </si>
  <si>
    <t>片</t>
    <phoneticPr fontId="22" type="noConversion"/>
  </si>
  <si>
    <t>重庆建工工业有限公司（安全部）</t>
    <phoneticPr fontId="22" type="noConversion"/>
  </si>
  <si>
    <t>便携式洗眼器</t>
    <phoneticPr fontId="22" type="noConversion"/>
  </si>
  <si>
    <t>WG6001</t>
    <phoneticPr fontId="22" type="noConversion"/>
  </si>
  <si>
    <t>台</t>
    <phoneticPr fontId="22" type="noConversion"/>
  </si>
  <si>
    <t>现金</t>
    <phoneticPr fontId="22" type="noConversion"/>
  </si>
  <si>
    <t>0006646</t>
    <phoneticPr fontId="22" type="noConversion"/>
  </si>
  <si>
    <t>王宪忠</t>
    <phoneticPr fontId="22" type="noConversion"/>
  </si>
  <si>
    <t>18696772062</t>
    <phoneticPr fontId="22" type="noConversion"/>
  </si>
  <si>
    <t>00269137</t>
    <phoneticPr fontId="22" type="noConversion"/>
  </si>
  <si>
    <t>普票</t>
    <phoneticPr fontId="22" type="noConversion"/>
  </si>
  <si>
    <t>渝北区广源劳保用品经营部</t>
    <phoneticPr fontId="22" type="noConversion"/>
  </si>
  <si>
    <t>中国款流线型防护眼镜（透明镜片，防雾）</t>
    <phoneticPr fontId="22" type="noConversion"/>
  </si>
  <si>
    <t>付</t>
    <phoneticPr fontId="22" type="noConversion"/>
  </si>
  <si>
    <t>0001244</t>
    <phoneticPr fontId="22" type="noConversion"/>
  </si>
  <si>
    <t>顺昌辉到付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</si>
  <si>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</si>
  <si>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</si>
  <si>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</si>
  <si>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0022936</t>
    <phoneticPr fontId="22" type="noConversion"/>
  </si>
  <si>
    <t>不开票</t>
    <phoneticPr fontId="22" type="noConversion"/>
  </si>
  <si>
    <t>渠道</t>
    <phoneticPr fontId="22" type="noConversion"/>
  </si>
  <si>
    <t>0001245</t>
    <phoneticPr fontId="22" type="noConversion"/>
  </si>
  <si>
    <t>经济型焊接用防尘口罩</t>
    <phoneticPr fontId="22" type="noConversion"/>
  </si>
  <si>
    <t>0001238</t>
    <phoneticPr fontId="22" type="noConversion"/>
  </si>
  <si>
    <t>钱开兰</t>
    <phoneticPr fontId="22" type="noConversion"/>
  </si>
  <si>
    <t>15320381097</t>
    <phoneticPr fontId="22" type="noConversion"/>
  </si>
  <si>
    <t>昆明瀚德经贸有限公司</t>
    <phoneticPr fontId="22" type="noConversion"/>
  </si>
  <si>
    <t>391-1001</t>
    <phoneticPr fontId="22" type="noConversion"/>
  </si>
  <si>
    <t>中行对公</t>
    <phoneticPr fontId="22" type="noConversion"/>
  </si>
  <si>
    <t>0006579</t>
    <phoneticPr fontId="22" type="noConversion"/>
  </si>
  <si>
    <t>巨邦物流到付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</si>
  <si>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</si>
  <si>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</si>
  <si>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</si>
  <si>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0001100</t>
    <phoneticPr fontId="22" type="noConversion"/>
  </si>
  <si>
    <t>01911468</t>
    <phoneticPr fontId="22" type="noConversion"/>
  </si>
  <si>
    <t>1900338189314</t>
    <phoneticPr fontId="22" type="noConversion"/>
  </si>
  <si>
    <t>重庆市勘测院</t>
    <phoneticPr fontId="22" type="noConversion"/>
  </si>
  <si>
    <t>折叠式防护口罩(环保包装)</t>
    <phoneticPr fontId="22" type="noConversion"/>
  </si>
  <si>
    <r>
      <t>9</t>
    </r>
    <r>
      <rPr>
        <sz val="10"/>
        <color indexed="8"/>
        <rFont val="宋体"/>
        <family val="3"/>
        <charset val="134"/>
      </rPr>
      <t>002A</t>
    </r>
    <phoneticPr fontId="22" type="noConversion"/>
  </si>
  <si>
    <t>0001247</t>
    <phoneticPr fontId="22" type="noConversion"/>
  </si>
  <si>
    <t>顺丰现付</t>
    <phoneticPr fontId="22" type="noConversion"/>
  </si>
  <si>
    <t>薛松元</t>
    <phoneticPr fontId="22" type="noConversion"/>
  </si>
  <si>
    <t>15215005836</t>
    <phoneticPr fontId="22" type="noConversion"/>
  </si>
  <si>
    <t>重庆市江北区电测村231号</t>
    <phoneticPr fontId="22" type="noConversion"/>
  </si>
  <si>
    <t>023163507907</t>
    <phoneticPr fontId="22" type="noConversion"/>
  </si>
  <si>
    <t>00269136</t>
    <phoneticPr fontId="22" type="noConversion"/>
  </si>
  <si>
    <t>重庆市欧仑家具有限公司</t>
    <phoneticPr fontId="22" type="noConversion"/>
  </si>
  <si>
    <t>个</t>
    <phoneticPr fontId="22" type="noConversion"/>
  </si>
  <si>
    <t>0006578</t>
    <phoneticPr fontId="22" type="noConversion"/>
  </si>
  <si>
    <t>李林苍</t>
    <phoneticPr fontId="22" type="noConversion"/>
  </si>
  <si>
    <t>18623121133</t>
    <phoneticPr fontId="22" type="noConversion"/>
  </si>
  <si>
    <t>重庆市南岸区亚太商谷5栋27-10</t>
    <phoneticPr fontId="22" type="noConversion"/>
  </si>
  <si>
    <t>023163507943</t>
    <phoneticPr fontId="22" type="noConversion"/>
  </si>
  <si>
    <t>00269135</t>
    <phoneticPr fontId="22" type="noConversion"/>
  </si>
  <si>
    <t>重庆贝浪物资有限公司</t>
    <phoneticPr fontId="22" type="noConversion"/>
  </si>
  <si>
    <t>1621AF</t>
    <phoneticPr fontId="22" type="noConversion"/>
  </si>
  <si>
    <t>0001246</t>
    <phoneticPr fontId="22" type="noConversion"/>
  </si>
  <si>
    <t>李（交易城建行对面）</t>
    <phoneticPr fontId="22" type="noConversion"/>
  </si>
  <si>
    <t>023-68608434</t>
    <phoneticPr fontId="22" type="noConversion"/>
  </si>
  <si>
    <t>个人朱兑芬</t>
    <phoneticPr fontId="22" type="noConversion"/>
  </si>
  <si>
    <t>农行对私</t>
    <phoneticPr fontId="22" type="noConversion"/>
  </si>
  <si>
    <t>0001243</t>
    <phoneticPr fontId="22" type="noConversion"/>
  </si>
  <si>
    <t>力宏物流现付</t>
    <phoneticPr fontId="22" type="noConversion"/>
  </si>
  <si>
    <t>朱兑芬</t>
    <phoneticPr fontId="22" type="noConversion"/>
  </si>
  <si>
    <t>13708521966</t>
    <phoneticPr fontId="22" type="noConversion"/>
  </si>
  <si>
    <t>贵州省赤水市半天云小区</t>
    <phoneticPr fontId="22" type="noConversion"/>
  </si>
  <si>
    <t>0004607</t>
    <phoneticPr fontId="22" type="noConversion"/>
  </si>
  <si>
    <t>37-175</t>
    <phoneticPr fontId="22" type="noConversion"/>
  </si>
  <si>
    <t>白色带帽连体防护服L</t>
    <phoneticPr fontId="22" type="noConversion"/>
  </si>
  <si>
    <t>件</t>
    <phoneticPr fontId="22" type="noConversion"/>
  </si>
  <si>
    <t>重庆创新劳动防护用品有限公司</t>
    <phoneticPr fontId="22" type="noConversion"/>
  </si>
  <si>
    <t>9002A</t>
    <phoneticPr fontId="22" type="noConversion"/>
  </si>
  <si>
    <t>0001248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</si>
  <si>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</si>
  <si>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</si>
  <si>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</si>
  <si>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01911460-1</t>
    <phoneticPr fontId="22" type="noConversion"/>
  </si>
  <si>
    <t>颗粒物呼吸防护套装经济型</t>
    <phoneticPr fontId="22" type="noConversion"/>
  </si>
  <si>
    <t>广达货运现付</t>
    <phoneticPr fontId="22" type="noConversion"/>
  </si>
  <si>
    <t>沈首斐</t>
    <phoneticPr fontId="22" type="noConversion"/>
  </si>
  <si>
    <t>18784840055</t>
    <phoneticPr fontId="22" type="noConversion"/>
  </si>
  <si>
    <t>大竹</t>
    <phoneticPr fontId="22" type="noConversion"/>
  </si>
  <si>
    <t>0011743</t>
    <phoneticPr fontId="22" type="noConversion"/>
  </si>
  <si>
    <t xml:space="preserve">尘毒呼吸防护套装经济型 </t>
    <phoneticPr fontId="22" type="noConversion"/>
  </si>
  <si>
    <t>320P</t>
    <phoneticPr fontId="22" type="noConversion"/>
  </si>
  <si>
    <t>尘毒呼吸防护套装(MRO)舒适型</t>
    <phoneticPr fontId="22" type="noConversion"/>
  </si>
  <si>
    <t>尘毒呼吸防护套装实用性</t>
    <phoneticPr fontId="22" type="noConversion"/>
  </si>
  <si>
    <t>颗粒物防尘口罩-蓝色</t>
    <phoneticPr fontId="22" type="noConversion"/>
  </si>
  <si>
    <t>个</t>
    <phoneticPr fontId="57" type="noConversion"/>
  </si>
  <si>
    <t>颗粒物防护口罩-蓝色</t>
    <phoneticPr fontId="22" type="noConversion"/>
  </si>
  <si>
    <t xml:space="preserve">经济型耳罩 </t>
    <phoneticPr fontId="22" type="noConversion"/>
  </si>
  <si>
    <t>318-1005</t>
    <phoneticPr fontId="22" type="noConversion"/>
  </si>
  <si>
    <t>焊接防护眼罩</t>
    <phoneticPr fontId="22" type="noConversion"/>
  </si>
  <si>
    <t>大竹县竹阳镇欣宏副食门市</t>
    <phoneticPr fontId="22" type="noConversion"/>
  </si>
  <si>
    <t>中国款防护眼镜</t>
    <phoneticPr fontId="22" type="noConversion"/>
  </si>
  <si>
    <t>颗粒物滤棉</t>
    <phoneticPr fontId="22" type="noConversion"/>
  </si>
  <si>
    <t>有机蒸气滤毒盒</t>
    <phoneticPr fontId="22" type="noConversion"/>
  </si>
  <si>
    <t xml:space="preserve">3301CN </t>
    <phoneticPr fontId="22" type="noConversion"/>
  </si>
  <si>
    <t>预过滤棉</t>
    <phoneticPr fontId="22" type="noConversion"/>
  </si>
  <si>
    <t>5N11</t>
    <phoneticPr fontId="22" type="noConversion"/>
  </si>
  <si>
    <t>全面罩鼻罩组</t>
    <phoneticPr fontId="22" type="noConversion"/>
  </si>
  <si>
    <t>0001249</t>
    <phoneticPr fontId="22" type="noConversion"/>
  </si>
  <si>
    <t>宗明</t>
    <phoneticPr fontId="22" type="noConversion"/>
  </si>
  <si>
    <t>13990029388</t>
    <phoneticPr fontId="22" type="noConversion"/>
  </si>
  <si>
    <t>02077327</t>
    <phoneticPr fontId="22" type="noConversion"/>
  </si>
  <si>
    <t>面罩吸气阀</t>
    <phoneticPr fontId="22" type="noConversion"/>
  </si>
  <si>
    <t>0006647</t>
    <phoneticPr fontId="22" type="noConversion"/>
  </si>
  <si>
    <t>青岛日富科技有限公司</t>
    <phoneticPr fontId="22" type="noConversion"/>
  </si>
  <si>
    <t>西斯贝尔</t>
    <phoneticPr fontId="22" type="noConversion"/>
  </si>
  <si>
    <t>易燃液体安全储存柜</t>
    <phoneticPr fontId="22" type="noConversion"/>
  </si>
  <si>
    <t>WA810450</t>
    <phoneticPr fontId="22" type="noConversion"/>
  </si>
  <si>
    <t>供应商直接发往至需方</t>
    <phoneticPr fontId="22" type="noConversion"/>
  </si>
  <si>
    <t>石杰</t>
    <phoneticPr fontId="22" type="noConversion"/>
  </si>
  <si>
    <t>13969711596</t>
    <phoneticPr fontId="22" type="noConversion"/>
  </si>
  <si>
    <t>重庆市万州区申新劳保用品有限公司</t>
    <phoneticPr fontId="22" type="noConversion"/>
  </si>
  <si>
    <t>0001252</t>
    <phoneticPr fontId="22" type="noConversion"/>
  </si>
  <si>
    <t>飞达货运到付</t>
    <phoneticPr fontId="22" type="noConversion"/>
  </si>
  <si>
    <t>向传忠</t>
    <phoneticPr fontId="22" type="noConversion"/>
  </si>
  <si>
    <t>18996529017</t>
    <phoneticPr fontId="22" type="noConversion"/>
  </si>
  <si>
    <t>万州</t>
    <phoneticPr fontId="22" type="noConversion"/>
  </si>
  <si>
    <t>0002838</t>
    <phoneticPr fontId="22" type="noConversion"/>
  </si>
  <si>
    <t>01911446</t>
    <phoneticPr fontId="22" type="noConversion"/>
  </si>
  <si>
    <t>个人单子玲</t>
    <phoneticPr fontId="22" type="noConversion"/>
  </si>
  <si>
    <t>2012-12-13/2012-12-7</t>
    <phoneticPr fontId="22" type="noConversion"/>
  </si>
  <si>
    <t>0001250</t>
    <phoneticPr fontId="22" type="noConversion"/>
  </si>
  <si>
    <t>春秋运输现付</t>
    <phoneticPr fontId="22" type="noConversion"/>
  </si>
  <si>
    <t>单子玲</t>
    <phoneticPr fontId="22" type="noConversion"/>
  </si>
  <si>
    <t>13885034403</t>
    <phoneticPr fontId="22" type="noConversion"/>
  </si>
  <si>
    <t>贵阳</t>
    <phoneticPr fontId="22" type="noConversion"/>
  </si>
  <si>
    <t>0027275</t>
    <phoneticPr fontId="22" type="noConversion"/>
  </si>
  <si>
    <t>重庆市永川区金冠防护用品经营部</t>
    <phoneticPr fontId="22" type="noConversion"/>
  </si>
  <si>
    <t>0001251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</si>
  <si>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</si>
  <si>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</si>
  <si>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</si>
  <si>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0054932</t>
    <phoneticPr fontId="22" type="noConversion"/>
  </si>
  <si>
    <t>01911458</t>
    <phoneticPr fontId="22" type="noConversion"/>
  </si>
  <si>
    <t>送票上门（永安劳保）</t>
    <phoneticPr fontId="22" type="noConversion"/>
  </si>
  <si>
    <t>320D</t>
    <phoneticPr fontId="22" type="noConversion"/>
  </si>
  <si>
    <t>重庆冠淦商贸有限公司</t>
    <phoneticPr fontId="22" type="noConversion"/>
  </si>
  <si>
    <t>9002V</t>
    <phoneticPr fontId="22" type="noConversion"/>
  </si>
  <si>
    <t>0003137</t>
    <phoneticPr fontId="22" type="noConversion"/>
  </si>
  <si>
    <t>周晓娥</t>
    <phoneticPr fontId="22" type="noConversion"/>
  </si>
  <si>
    <t>石桥铺佰腾数码负一楼</t>
    <phoneticPr fontId="22" type="noConversion"/>
  </si>
  <si>
    <t>达州市胜友劳保用品有限公司</t>
    <phoneticPr fontId="22" type="noConversion"/>
  </si>
  <si>
    <t>套</t>
    <phoneticPr fontId="22" type="noConversion"/>
  </si>
  <si>
    <t>0006580</t>
    <phoneticPr fontId="22" type="noConversion"/>
  </si>
  <si>
    <t>顺丰到付</t>
    <phoneticPr fontId="22" type="noConversion"/>
  </si>
  <si>
    <t>刘扬胜</t>
    <phoneticPr fontId="22" type="noConversion"/>
  </si>
  <si>
    <t>达州市西外新区通锦国际新城30号</t>
    <phoneticPr fontId="22" type="noConversion"/>
  </si>
  <si>
    <t>023163507998</t>
    <phoneticPr fontId="22" type="noConversion"/>
  </si>
  <si>
    <t>0001255</t>
    <phoneticPr fontId="22" type="noConversion"/>
  </si>
  <si>
    <t>顺畅建辉到付</t>
    <phoneticPr fontId="22" type="noConversion"/>
  </si>
  <si>
    <t>0017671</t>
    <phoneticPr fontId="22" type="noConversion"/>
  </si>
  <si>
    <t>3701CN</t>
    <phoneticPr fontId="22" type="noConversion"/>
  </si>
  <si>
    <t>重庆国俊物资有限公司</t>
    <phoneticPr fontId="22" type="noConversion"/>
  </si>
  <si>
    <t>子弹型带线耳塞</t>
    <phoneticPr fontId="22" type="noConversion"/>
  </si>
  <si>
    <t>0001253</t>
    <phoneticPr fontId="22" type="noConversion"/>
  </si>
  <si>
    <t xml:space="preserve">送货上门 </t>
    <phoneticPr fontId="22" type="noConversion"/>
  </si>
  <si>
    <t>伍亮</t>
    <phoneticPr fontId="22" type="noConversion"/>
  </si>
  <si>
    <t>02077322</t>
    <phoneticPr fontId="22" type="noConversion"/>
  </si>
  <si>
    <t>送票上门</t>
    <phoneticPr fontId="22" type="noConversion"/>
  </si>
  <si>
    <t>重庆远新商贸有限责任公司</t>
    <phoneticPr fontId="22" type="noConversion"/>
  </si>
  <si>
    <t>0001256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</si>
  <si>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</si>
  <si>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</si>
  <si>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</si>
  <si>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01911457</t>
    <phoneticPr fontId="22" type="noConversion"/>
  </si>
  <si>
    <t>滤棉承接座</t>
    <phoneticPr fontId="22" type="noConversion"/>
  </si>
  <si>
    <t>0006581</t>
    <phoneticPr fontId="22" type="noConversion"/>
  </si>
  <si>
    <t>曹老师</t>
    <phoneticPr fontId="22" type="noConversion"/>
  </si>
  <si>
    <t>13110110180</t>
    <phoneticPr fontId="22" type="noConversion"/>
  </si>
  <si>
    <t>0001259</t>
    <phoneticPr fontId="22" type="noConversion"/>
  </si>
  <si>
    <t>15023078788</t>
    <phoneticPr fontId="22" type="noConversion"/>
  </si>
  <si>
    <t>石坪桥西郊医院对面</t>
    <phoneticPr fontId="22" type="noConversion"/>
  </si>
  <si>
    <t>0001259</t>
    <phoneticPr fontId="22" type="noConversion"/>
  </si>
  <si>
    <t>0001257</t>
    <phoneticPr fontId="22" type="noConversion"/>
  </si>
  <si>
    <t>01911459</t>
    <phoneticPr fontId="22" type="noConversion"/>
  </si>
  <si>
    <t>0001261</t>
    <phoneticPr fontId="22" type="noConversion"/>
  </si>
  <si>
    <t>0001260</t>
    <phoneticPr fontId="22" type="noConversion"/>
  </si>
  <si>
    <t>重庆市沙坪坝区石小路165号附4号</t>
    <phoneticPr fontId="22" type="noConversion"/>
  </si>
  <si>
    <t>76-501</t>
    <phoneticPr fontId="22" type="noConversion"/>
  </si>
  <si>
    <t>0001258</t>
    <phoneticPr fontId="22" type="noConversion"/>
  </si>
  <si>
    <t>0001263</t>
    <phoneticPr fontId="22" type="noConversion"/>
  </si>
  <si>
    <t>丰都崇兴花炮厂</t>
    <phoneticPr fontId="22" type="noConversion"/>
  </si>
  <si>
    <t>0006582</t>
    <phoneticPr fontId="22" type="noConversion"/>
  </si>
  <si>
    <t>贺丰</t>
    <phoneticPr fontId="22" type="noConversion"/>
  </si>
  <si>
    <t>18983313111</t>
    <phoneticPr fontId="22" type="noConversion"/>
  </si>
  <si>
    <t>3251CNS</t>
    <phoneticPr fontId="22" type="noConversion"/>
  </si>
  <si>
    <t>0001264</t>
    <phoneticPr fontId="22" type="noConversion"/>
  </si>
  <si>
    <t>张炼</t>
    <phoneticPr fontId="22" type="noConversion"/>
  </si>
  <si>
    <t>15528188777</t>
    <phoneticPr fontId="22" type="noConversion"/>
  </si>
  <si>
    <t>渝中区</t>
    <phoneticPr fontId="22" type="noConversion"/>
  </si>
  <si>
    <t>02077323-325</t>
    <phoneticPr fontId="22" type="noConversion"/>
  </si>
  <si>
    <t>0003071</t>
    <phoneticPr fontId="22" type="noConversion"/>
  </si>
  <si>
    <t xml:space="preserve">送货上门 </t>
    <phoneticPr fontId="22" type="noConversion"/>
  </si>
  <si>
    <t>0001266</t>
    <phoneticPr fontId="22" type="noConversion"/>
  </si>
  <si>
    <t>5*0.8</t>
    <phoneticPr fontId="22" type="noConversion"/>
  </si>
  <si>
    <t>平方米</t>
    <phoneticPr fontId="22" type="noConversion"/>
  </si>
  <si>
    <t>023169142471</t>
    <phoneticPr fontId="22" type="noConversion"/>
  </si>
  <si>
    <t>01911470</t>
    <phoneticPr fontId="22" type="noConversion"/>
  </si>
  <si>
    <t>1900338189295</t>
    <phoneticPr fontId="22" type="noConversion"/>
  </si>
  <si>
    <t>重庆市永川区金冠防护用品经营部</t>
    <phoneticPr fontId="22" type="noConversion"/>
  </si>
  <si>
    <t>颗粒物呼吸防护套装经济型</t>
    <phoneticPr fontId="22" type="noConversion"/>
  </si>
  <si>
    <t>320D</t>
    <phoneticPr fontId="22" type="noConversion"/>
  </si>
  <si>
    <t>套</t>
    <phoneticPr fontId="22" type="noConversion"/>
  </si>
  <si>
    <t>转账支票</t>
    <phoneticPr fontId="22" type="noConversion"/>
  </si>
  <si>
    <t>0003072</t>
    <phoneticPr fontId="22" type="noConversion"/>
  </si>
  <si>
    <t>百信货运到付</t>
    <phoneticPr fontId="22" type="noConversion"/>
  </si>
  <si>
    <t>黎安平</t>
    <phoneticPr fontId="58" type="noConversion"/>
  </si>
  <si>
    <t>永川</t>
    <phoneticPr fontId="22" type="noConversion"/>
  </si>
  <si>
    <t>0055489</t>
    <phoneticPr fontId="22" type="noConversion"/>
  </si>
  <si>
    <t>01911465</t>
    <phoneticPr fontId="22" type="noConversion"/>
  </si>
  <si>
    <t>送票上门</t>
    <phoneticPr fontId="22" type="noConversion"/>
  </si>
  <si>
    <t xml:space="preserve">尘毒呼吸防护套装经济型 </t>
    <phoneticPr fontId="22" type="noConversion"/>
  </si>
  <si>
    <t>320P</t>
    <phoneticPr fontId="22" type="noConversion"/>
  </si>
  <si>
    <t>中国款流线型防护眼镜（透明镜片，防雾）</t>
    <phoneticPr fontId="22" type="noConversion"/>
  </si>
  <si>
    <t>付</t>
    <phoneticPr fontId="22" type="noConversion"/>
  </si>
  <si>
    <t>中国款防护眼镜</t>
    <phoneticPr fontId="22" type="noConversion"/>
  </si>
  <si>
    <t>白色带帽连体防护服L</t>
    <phoneticPr fontId="22" type="noConversion"/>
  </si>
  <si>
    <t>件</t>
    <phoneticPr fontId="22" type="noConversion"/>
  </si>
  <si>
    <t>重庆创新劳动防护用品有限公司</t>
    <phoneticPr fontId="22" type="noConversion"/>
  </si>
  <si>
    <t>0003074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</si>
  <si>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</si>
  <si>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</si>
  <si>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</si>
  <si>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/</t>
    <phoneticPr fontId="22" type="noConversion"/>
  </si>
  <si>
    <t>02077333</t>
    <phoneticPr fontId="22" type="noConversion"/>
  </si>
  <si>
    <t>颗粒物滤棉</t>
    <phoneticPr fontId="22" type="noConversion"/>
  </si>
  <si>
    <t>3501CN</t>
    <phoneticPr fontId="22" type="noConversion"/>
  </si>
  <si>
    <t>重庆永平劳保用品有限公司</t>
    <phoneticPr fontId="22" type="noConversion"/>
  </si>
  <si>
    <t>现金</t>
    <phoneticPr fontId="22" type="noConversion"/>
  </si>
  <si>
    <t>0003073</t>
    <phoneticPr fontId="22" type="noConversion"/>
  </si>
  <si>
    <t>送货上门</t>
    <phoneticPr fontId="22" type="noConversion"/>
  </si>
  <si>
    <t>熊老师</t>
    <phoneticPr fontId="22" type="noConversion"/>
  </si>
  <si>
    <t>68691304</t>
    <phoneticPr fontId="22" type="noConversion"/>
  </si>
  <si>
    <t>渝州交易城D区</t>
    <phoneticPr fontId="22" type="noConversion"/>
  </si>
  <si>
    <t>不开票</t>
    <phoneticPr fontId="22" type="noConversion"/>
  </si>
  <si>
    <t>半面型防护面罩</t>
    <phoneticPr fontId="22" type="noConversion"/>
  </si>
  <si>
    <t>重庆国俊物资有限公司</t>
    <phoneticPr fontId="22" type="noConversion"/>
  </si>
  <si>
    <t>3M H-412 头罩组合</t>
    <phoneticPr fontId="22" type="noConversion"/>
  </si>
  <si>
    <t xml:space="preserve">送货上门 </t>
    <phoneticPr fontId="22" type="noConversion"/>
  </si>
  <si>
    <t>伍亮</t>
    <phoneticPr fontId="22" type="noConversion"/>
  </si>
  <si>
    <t>02077322</t>
    <phoneticPr fontId="22" type="noConversion"/>
  </si>
  <si>
    <t>3M BT-20S 呼吸管</t>
    <phoneticPr fontId="22" type="noConversion"/>
  </si>
  <si>
    <t>箱</t>
    <phoneticPr fontId="22" type="noConversion"/>
  </si>
  <si>
    <t>3M V-300 空气调节阀</t>
    <phoneticPr fontId="22" type="noConversion"/>
  </si>
  <si>
    <t>Ultrafit27 圣诞树型带线耳塞( 带把手)</t>
    <phoneticPr fontId="22" type="noConversion"/>
  </si>
  <si>
    <t>340-8002</t>
    <phoneticPr fontId="22" type="noConversion"/>
  </si>
  <si>
    <t>1621AF</t>
    <phoneticPr fontId="22" type="noConversion"/>
  </si>
  <si>
    <t>渝北区广源劳保用品经营部</t>
    <phoneticPr fontId="22" type="noConversion"/>
  </si>
  <si>
    <t>5N11</t>
    <phoneticPr fontId="22" type="noConversion"/>
  </si>
  <si>
    <t>0003076</t>
    <phoneticPr fontId="22" type="noConversion"/>
  </si>
  <si>
    <t>顺昌辉到付</t>
    <phoneticPr fontId="22" type="noConversion"/>
  </si>
  <si>
    <t>刘军</t>
    <phoneticPr fontId="22" type="noConversion"/>
  </si>
  <si>
    <t>13452102967</t>
    <phoneticPr fontId="22" type="noConversion"/>
  </si>
  <si>
    <t>两路</t>
    <phoneticPr fontId="22" type="noConversion"/>
  </si>
  <si>
    <t>0009679</t>
    <phoneticPr fontId="22" type="noConversion"/>
  </si>
  <si>
    <t>有机蒸气异味及颗粒物滤棉</t>
    <phoneticPr fontId="22" type="noConversion"/>
  </si>
  <si>
    <t>3744K</t>
    <phoneticPr fontId="22" type="noConversion"/>
  </si>
  <si>
    <t>折叠式防护口罩(环保包装)</t>
    <phoneticPr fontId="22" type="noConversion"/>
  </si>
  <si>
    <t>9002A</t>
    <phoneticPr fontId="22" type="noConversion"/>
  </si>
  <si>
    <r>
      <t>1</t>
    </r>
    <r>
      <rPr>
        <sz val="10"/>
        <color indexed="8"/>
        <rFont val="宋体"/>
        <family val="3"/>
        <charset val="134"/>
      </rPr>
      <t>621AF</t>
    </r>
    <phoneticPr fontId="22" type="noConversion"/>
  </si>
  <si>
    <t>巴伦支现付</t>
    <phoneticPr fontId="22" type="noConversion"/>
  </si>
  <si>
    <t>陈小兰</t>
    <phoneticPr fontId="22" type="noConversion"/>
  </si>
  <si>
    <t>023000458876</t>
    <phoneticPr fontId="22" type="noConversion"/>
  </si>
  <si>
    <t>02077321</t>
    <phoneticPr fontId="22" type="noConversion"/>
  </si>
  <si>
    <t>023000458879</t>
    <phoneticPr fontId="22" type="noConversion"/>
  </si>
  <si>
    <t>0003077</t>
    <phoneticPr fontId="22" type="noConversion"/>
  </si>
  <si>
    <t>自贡市正信物资有限公司</t>
    <phoneticPr fontId="22" type="noConversion"/>
  </si>
  <si>
    <t>子弹型带线耳塞</t>
    <phoneticPr fontId="22" type="noConversion"/>
  </si>
  <si>
    <t>0003078</t>
    <phoneticPr fontId="22" type="noConversion"/>
  </si>
  <si>
    <t>乾智货运到付</t>
    <phoneticPr fontId="22" type="noConversion"/>
  </si>
  <si>
    <t>凌莉英</t>
    <phoneticPr fontId="22" type="noConversion"/>
  </si>
  <si>
    <t>18990016852</t>
    <phoneticPr fontId="22" type="noConversion"/>
  </si>
  <si>
    <t>自贡市</t>
    <phoneticPr fontId="22" type="noConversion"/>
  </si>
  <si>
    <t>0000738</t>
    <phoneticPr fontId="22" type="noConversion"/>
  </si>
  <si>
    <t>重庆建工钢结构有限公司</t>
    <phoneticPr fontId="22" type="noConversion"/>
  </si>
  <si>
    <t>颗粒物防护口罩-蓝色</t>
    <phoneticPr fontId="22" type="noConversion"/>
  </si>
  <si>
    <t>0006648</t>
    <phoneticPr fontId="22" type="noConversion"/>
  </si>
  <si>
    <t>江津珞璜工业园</t>
    <phoneticPr fontId="22" type="noConversion"/>
  </si>
  <si>
    <t>终端</t>
    <phoneticPr fontId="22" type="noConversion"/>
  </si>
  <si>
    <t>圣诞树型带线耳塞</t>
    <phoneticPr fontId="22" type="noConversion"/>
  </si>
  <si>
    <t>6200</t>
    <phoneticPr fontId="22" type="noConversion"/>
  </si>
  <si>
    <t>0003079</t>
    <phoneticPr fontId="22" type="noConversion"/>
  </si>
  <si>
    <t>嘉烨</t>
    <phoneticPr fontId="22" type="noConversion"/>
  </si>
  <si>
    <t>6001CN</t>
    <phoneticPr fontId="22" type="noConversion"/>
  </si>
  <si>
    <t>滤棉盖</t>
    <phoneticPr fontId="22" type="noConversion"/>
  </si>
  <si>
    <t>重庆荣生人造板有限公司</t>
    <phoneticPr fontId="22" type="noConversion"/>
  </si>
  <si>
    <t>0003104</t>
    <phoneticPr fontId="22" type="noConversion"/>
  </si>
  <si>
    <t>自提</t>
    <phoneticPr fontId="45" type="noConversion"/>
  </si>
  <si>
    <t>何永刚</t>
    <phoneticPr fontId="22" type="noConversion"/>
  </si>
  <si>
    <t>13508397297</t>
    <phoneticPr fontId="22" type="noConversion"/>
  </si>
  <si>
    <t>沙坪坝区歌乐山镇</t>
    <phoneticPr fontId="22" type="noConversion"/>
  </si>
  <si>
    <t>终端</t>
    <phoneticPr fontId="45" type="noConversion"/>
  </si>
  <si>
    <t>有机气体防护口罩( 中文包装）</t>
    <phoneticPr fontId="60" type="noConversion"/>
  </si>
  <si>
    <t>三州物流到付</t>
    <phoneticPr fontId="45" type="noConversion"/>
  </si>
  <si>
    <t>13888956566</t>
    <phoneticPr fontId="22" type="noConversion"/>
  </si>
  <si>
    <t>昆明</t>
    <phoneticPr fontId="22" type="noConversion"/>
  </si>
  <si>
    <t>0004354</t>
    <phoneticPr fontId="22" type="noConversion"/>
  </si>
  <si>
    <t>渠道</t>
    <phoneticPr fontId="45" type="noConversion"/>
  </si>
  <si>
    <t>重庆嘉烨商贸有限公司</t>
    <phoneticPr fontId="22" type="noConversion"/>
  </si>
  <si>
    <t>镀铝防护面屏</t>
    <phoneticPr fontId="22" type="noConversion"/>
  </si>
  <si>
    <t>82518</t>
    <phoneticPr fontId="22" type="noConversion"/>
  </si>
  <si>
    <t>顺丰到付</t>
    <phoneticPr fontId="22" type="noConversion"/>
  </si>
  <si>
    <t>黄永琼</t>
    <phoneticPr fontId="22" type="noConversion"/>
  </si>
  <si>
    <t>13708434910</t>
    <phoneticPr fontId="22" type="noConversion"/>
  </si>
  <si>
    <t>昆明市小龙村万象城5栋1501号</t>
    <phoneticPr fontId="22" type="noConversion"/>
  </si>
  <si>
    <t>023169142499</t>
    <phoneticPr fontId="22" type="noConversion"/>
  </si>
  <si>
    <t>尘毒呼吸防护套装(MRO)舒适型</t>
    <phoneticPr fontId="22" type="noConversion"/>
  </si>
  <si>
    <t>720P</t>
    <phoneticPr fontId="22" type="noConversion"/>
  </si>
  <si>
    <t>尘毒呼吸防护套装实用性</t>
    <phoneticPr fontId="22" type="noConversion"/>
  </si>
  <si>
    <t>620P</t>
    <phoneticPr fontId="22" type="noConversion"/>
  </si>
  <si>
    <t>个</t>
    <phoneticPr fontId="57" type="noConversion"/>
  </si>
  <si>
    <t>经济型耳罩</t>
    <phoneticPr fontId="22" type="noConversion"/>
  </si>
  <si>
    <t>中国款流线型防护眼镜（灰色镜片，防雾）</t>
    <phoneticPr fontId="22" type="noConversion"/>
  </si>
  <si>
    <t>有机蒸气滤毒盒</t>
    <phoneticPr fontId="22" type="noConversion"/>
  </si>
  <si>
    <t>3301CN</t>
    <phoneticPr fontId="22" type="noConversion"/>
  </si>
  <si>
    <t>预过滤棉</t>
    <phoneticPr fontId="22" type="noConversion"/>
  </si>
  <si>
    <t>3N11CN</t>
    <phoneticPr fontId="22" type="noConversion"/>
  </si>
  <si>
    <t>昆明瀚德经贸有限公司</t>
    <phoneticPr fontId="22" type="noConversion"/>
  </si>
  <si>
    <t>0006589</t>
    <phoneticPr fontId="22" type="noConversion"/>
  </si>
  <si>
    <t>杨伟</t>
    <phoneticPr fontId="22" type="noConversion"/>
  </si>
  <si>
    <t>13888727973</t>
    <phoneticPr fontId="22" type="noConversion"/>
  </si>
  <si>
    <t>昆明市烟草路华龙人家41栋1单元602号</t>
    <phoneticPr fontId="22" type="noConversion"/>
  </si>
  <si>
    <t>0004558</t>
    <phoneticPr fontId="22" type="noConversion"/>
  </si>
  <si>
    <t>02196776-784</t>
    <phoneticPr fontId="22" type="noConversion"/>
  </si>
  <si>
    <t>1900338189314</t>
    <phoneticPr fontId="22" type="noConversion"/>
  </si>
  <si>
    <t>云南光裕工贸有限公司</t>
    <phoneticPr fontId="22" type="noConversion"/>
  </si>
  <si>
    <t>舒适型面屏支架</t>
    <phoneticPr fontId="22" type="noConversion"/>
  </si>
  <si>
    <t>0006585</t>
    <phoneticPr fontId="22" type="noConversion"/>
  </si>
  <si>
    <t>0004547</t>
    <phoneticPr fontId="22" type="noConversion"/>
  </si>
  <si>
    <t>02077335-337</t>
    <phoneticPr fontId="22" type="noConversion"/>
  </si>
  <si>
    <t>1900338189294</t>
    <phoneticPr fontId="22" type="noConversion"/>
  </si>
  <si>
    <t>有机气体及颗粒物防护口罩</t>
    <phoneticPr fontId="22" type="noConversion"/>
  </si>
  <si>
    <t>Ultrafit 圣诞树型带线耳塞</t>
    <phoneticPr fontId="22" type="noConversion"/>
  </si>
  <si>
    <t>340-4004</t>
    <phoneticPr fontId="22" type="noConversion"/>
  </si>
  <si>
    <t>绿色带帽连体防护服M</t>
    <phoneticPr fontId="22" type="noConversion"/>
  </si>
  <si>
    <t>绿色带帽连体防护服L</t>
    <phoneticPr fontId="22" type="noConversion"/>
  </si>
  <si>
    <t>重庆煌辉化学危险品销售有限公司</t>
    <phoneticPr fontId="22" type="noConversion"/>
  </si>
  <si>
    <t>金佰利</t>
    <phoneticPr fontId="22" type="noConversion"/>
  </si>
  <si>
    <t>W5无尘擦拭布</t>
    <phoneticPr fontId="22" type="noConversion"/>
  </si>
  <si>
    <t>0003080</t>
    <phoneticPr fontId="22" type="noConversion"/>
  </si>
  <si>
    <t>付强</t>
    <phoneticPr fontId="22" type="noConversion"/>
  </si>
  <si>
    <t>13627687245</t>
    <phoneticPr fontId="22" type="noConversion"/>
  </si>
  <si>
    <t>重庆市沙坪坝区石小路165号附4号</t>
    <phoneticPr fontId="22" type="noConversion"/>
  </si>
  <si>
    <t>0006586</t>
    <phoneticPr fontId="22" type="noConversion"/>
  </si>
  <si>
    <t>世纪兴物流到付</t>
    <phoneticPr fontId="22" type="noConversion"/>
  </si>
  <si>
    <t>宗明</t>
    <phoneticPr fontId="22" type="noConversion"/>
  </si>
  <si>
    <t>13990029388</t>
    <phoneticPr fontId="22" type="noConversion"/>
  </si>
  <si>
    <t>0015037</t>
    <phoneticPr fontId="22" type="noConversion"/>
  </si>
  <si>
    <t>02077327</t>
    <phoneticPr fontId="22" type="noConversion"/>
  </si>
  <si>
    <t>杜邦防护服</t>
    <phoneticPr fontId="22" type="noConversion"/>
  </si>
  <si>
    <t>candex</t>
    <phoneticPr fontId="22" type="noConversion"/>
  </si>
  <si>
    <t>重庆中电</t>
    <phoneticPr fontId="22" type="noConversion"/>
  </si>
  <si>
    <t>0006588</t>
    <phoneticPr fontId="22" type="noConversion"/>
  </si>
  <si>
    <t>李端</t>
    <phoneticPr fontId="22" type="noConversion"/>
  </si>
  <si>
    <t>0003082</t>
    <phoneticPr fontId="22" type="noConversion"/>
  </si>
  <si>
    <t>艾诺斯（重庆）华达电源系统有限公司</t>
    <phoneticPr fontId="22" type="noConversion"/>
  </si>
  <si>
    <t>颗粒物滤毒盒</t>
    <phoneticPr fontId="22" type="noConversion"/>
  </si>
  <si>
    <t>7093 P100</t>
    <phoneticPr fontId="22" type="noConversion"/>
  </si>
  <si>
    <t>0006591</t>
    <phoneticPr fontId="22" type="noConversion"/>
  </si>
  <si>
    <t>顺丰现付</t>
    <phoneticPr fontId="22" type="noConversion"/>
  </si>
  <si>
    <t>邓旭</t>
    <phoneticPr fontId="22" type="noConversion"/>
  </si>
  <si>
    <t>15023777398</t>
    <phoneticPr fontId="22" type="noConversion"/>
  </si>
  <si>
    <t>重庆市大足区双桥经济开发区双钱路4号</t>
    <phoneticPr fontId="22" type="noConversion"/>
  </si>
  <si>
    <t>023169142480</t>
    <phoneticPr fontId="22" type="noConversion"/>
  </si>
  <si>
    <t>02077343</t>
    <phoneticPr fontId="22" type="noConversion"/>
  </si>
  <si>
    <t>硅胶半面型防护面罩（中号）</t>
    <phoneticPr fontId="22" type="noConversion"/>
  </si>
  <si>
    <t>3003K-100</t>
    <phoneticPr fontId="22" type="noConversion"/>
  </si>
  <si>
    <t>经济型焊接用防尘口罩</t>
    <phoneticPr fontId="22" type="noConversion"/>
  </si>
  <si>
    <t>8515</t>
    <phoneticPr fontId="22" type="noConversion"/>
  </si>
  <si>
    <t>0003081</t>
    <phoneticPr fontId="22" type="noConversion"/>
  </si>
  <si>
    <t>送货上门（小殷）</t>
    <phoneticPr fontId="22" type="noConversion"/>
  </si>
  <si>
    <t>钱开兰</t>
    <phoneticPr fontId="22" type="noConversion"/>
  </si>
  <si>
    <t>15320381097</t>
    <phoneticPr fontId="22" type="noConversion"/>
  </si>
  <si>
    <t>多用气体/蒸气滤毒盒</t>
    <phoneticPr fontId="22" type="noConversion"/>
  </si>
  <si>
    <t>6006</t>
    <phoneticPr fontId="22" type="noConversion"/>
  </si>
  <si>
    <t>0003083</t>
    <phoneticPr fontId="22" type="noConversion"/>
  </si>
  <si>
    <t>白色带帽连体防护服L</t>
    <phoneticPr fontId="22" type="noConversion"/>
  </si>
  <si>
    <t>0006592</t>
    <phoneticPr fontId="22" type="noConversion"/>
  </si>
  <si>
    <t>拉法基瑞安（北京）技术服务有限公司重庆分公司工会委员会</t>
    <phoneticPr fontId="22" type="noConversion"/>
  </si>
  <si>
    <t>消防逃生面具</t>
    <phoneticPr fontId="22" type="noConversion"/>
  </si>
  <si>
    <t>XHZLC30</t>
    <phoneticPr fontId="22" type="noConversion"/>
  </si>
  <si>
    <t>/</t>
    <phoneticPr fontId="22" type="noConversion"/>
  </si>
  <si>
    <t>00269138-9139</t>
    <phoneticPr fontId="22" type="noConversion"/>
  </si>
  <si>
    <t>烟雾报警器</t>
    <phoneticPr fontId="22" type="noConversion"/>
  </si>
  <si>
    <t>GTY-GD802</t>
    <phoneticPr fontId="22" type="noConversion"/>
  </si>
  <si>
    <t>灭火毯</t>
    <phoneticPr fontId="22" type="noConversion"/>
  </si>
  <si>
    <t>0.43mm*1.0*1.0m</t>
    <phoneticPr fontId="22" type="noConversion"/>
  </si>
  <si>
    <t>张</t>
    <phoneticPr fontId="22" type="noConversion"/>
  </si>
  <si>
    <t>安全应急手提包</t>
    <phoneticPr fontId="22" type="noConversion"/>
  </si>
  <si>
    <t>420D</t>
    <phoneticPr fontId="22" type="noConversion"/>
  </si>
  <si>
    <t>昆明海世定泰商贸有限公司</t>
    <phoneticPr fontId="22" type="noConversion"/>
  </si>
  <si>
    <t>3003K-100</t>
    <phoneticPr fontId="22" type="noConversion"/>
  </si>
  <si>
    <t>三州物流到付</t>
    <phoneticPr fontId="45" type="noConversion"/>
  </si>
  <si>
    <t>龙柳昆</t>
    <phoneticPr fontId="22" type="noConversion"/>
  </si>
  <si>
    <t>15987175322</t>
    <phoneticPr fontId="22" type="noConversion"/>
  </si>
  <si>
    <t>昆明市环城南路666号云纺国际商厦4F-65</t>
    <phoneticPr fontId="22" type="noConversion"/>
  </si>
  <si>
    <t>0004575</t>
    <phoneticPr fontId="22" type="noConversion"/>
  </si>
  <si>
    <t>02077338-341</t>
    <phoneticPr fontId="22" type="noConversion"/>
  </si>
  <si>
    <t>1900338189295</t>
    <phoneticPr fontId="22" type="noConversion"/>
  </si>
  <si>
    <t>重庆国俊物资有限公司</t>
    <phoneticPr fontId="22" type="noConversion"/>
  </si>
  <si>
    <t>0006593</t>
    <phoneticPr fontId="22" type="noConversion"/>
  </si>
  <si>
    <t xml:space="preserve">送货上门 </t>
    <phoneticPr fontId="22" type="noConversion"/>
  </si>
  <si>
    <t>伍亮</t>
    <phoneticPr fontId="22" type="noConversion"/>
  </si>
  <si>
    <t>重庆清创机械有限公司</t>
    <phoneticPr fontId="22" type="noConversion"/>
  </si>
  <si>
    <t>0006594</t>
    <phoneticPr fontId="22" type="noConversion"/>
  </si>
  <si>
    <t>詹经理</t>
    <phoneticPr fontId="22" type="noConversion"/>
  </si>
  <si>
    <t>18325001189</t>
    <phoneticPr fontId="22" type="noConversion"/>
  </si>
  <si>
    <t>武隆白马工业园</t>
    <phoneticPr fontId="22" type="noConversion"/>
  </si>
  <si>
    <t>568133667992</t>
    <phoneticPr fontId="22" type="noConversion"/>
  </si>
  <si>
    <t>重庆嘉烨商贸有限公司</t>
    <phoneticPr fontId="22" type="noConversion"/>
  </si>
  <si>
    <t>银盈</t>
    <phoneticPr fontId="22" type="noConversion"/>
  </si>
  <si>
    <t>023163507989</t>
    <phoneticPr fontId="22" type="noConversion"/>
  </si>
  <si>
    <t>渠道</t>
    <phoneticPr fontId="45" type="noConversion"/>
  </si>
  <si>
    <t>重庆沙坪坝环境监测站</t>
    <phoneticPr fontId="22" type="noConversion"/>
  </si>
  <si>
    <t>9042A</t>
    <phoneticPr fontId="22" type="noConversion"/>
  </si>
  <si>
    <t>0006595</t>
    <phoneticPr fontId="22" type="noConversion"/>
  </si>
  <si>
    <t>叶老师</t>
    <phoneticPr fontId="22" type="noConversion"/>
  </si>
  <si>
    <t>15902333346</t>
    <phoneticPr fontId="22" type="noConversion"/>
  </si>
  <si>
    <t>重庆沙坪坝</t>
    <phoneticPr fontId="22" type="noConversion"/>
  </si>
  <si>
    <t>00269140</t>
    <phoneticPr fontId="22" type="noConversion"/>
  </si>
  <si>
    <t>重庆市大足县胡家沟建材有限公司</t>
    <phoneticPr fontId="22" type="noConversion"/>
  </si>
  <si>
    <t>0006597</t>
    <phoneticPr fontId="22" type="noConversion"/>
  </si>
  <si>
    <t>秋实物流到付</t>
    <phoneticPr fontId="22" type="noConversion"/>
  </si>
  <si>
    <t>龙老师</t>
    <phoneticPr fontId="22" type="noConversion"/>
  </si>
  <si>
    <t>13883445417</t>
    <phoneticPr fontId="22" type="noConversion"/>
  </si>
  <si>
    <t>大足龙水</t>
    <phoneticPr fontId="22" type="noConversion"/>
  </si>
  <si>
    <t>0051525</t>
    <phoneticPr fontId="22" type="noConversion"/>
  </si>
  <si>
    <t>00400567</t>
    <phoneticPr fontId="22" type="noConversion"/>
  </si>
  <si>
    <t>1900338189313</t>
    <phoneticPr fontId="22" type="noConversion"/>
  </si>
  <si>
    <t>0003085</t>
    <phoneticPr fontId="22" type="noConversion"/>
  </si>
  <si>
    <t>九羚物流到付</t>
    <phoneticPr fontId="22" type="noConversion"/>
  </si>
  <si>
    <t>两路</t>
    <phoneticPr fontId="22" type="noConversion"/>
  </si>
  <si>
    <t>0009945</t>
    <phoneticPr fontId="22" type="noConversion"/>
  </si>
  <si>
    <t>8210</t>
    <phoneticPr fontId="22" type="noConversion"/>
  </si>
  <si>
    <t>圣诞树型带线耳塞</t>
    <phoneticPr fontId="22" type="noConversion"/>
  </si>
  <si>
    <t>10434</t>
    <phoneticPr fontId="22" type="noConversion"/>
  </si>
  <si>
    <t>11394</t>
    <phoneticPr fontId="22" type="noConversion"/>
  </si>
  <si>
    <t>0006598</t>
    <phoneticPr fontId="22" type="noConversion"/>
  </si>
  <si>
    <t>颗粒物呼吸防护组合</t>
    <phoneticPr fontId="22" type="noConversion"/>
  </si>
  <si>
    <t>3251CNL</t>
    <phoneticPr fontId="22" type="noConversion"/>
  </si>
  <si>
    <t>套</t>
    <phoneticPr fontId="22" type="noConversion"/>
  </si>
  <si>
    <t>02077331-332</t>
    <phoneticPr fontId="22" type="noConversion"/>
  </si>
  <si>
    <t>重庆兴源木业</t>
    <phoneticPr fontId="22" type="noConversion"/>
  </si>
  <si>
    <t>0003138</t>
    <phoneticPr fontId="22" type="noConversion"/>
  </si>
  <si>
    <t>3700</t>
    <phoneticPr fontId="22" type="noConversion"/>
  </si>
  <si>
    <t>重庆恒富机电制造有限公司</t>
    <phoneticPr fontId="22" type="noConversion"/>
  </si>
  <si>
    <t>37-175</t>
    <phoneticPr fontId="22" type="noConversion"/>
  </si>
  <si>
    <t>双</t>
    <phoneticPr fontId="22" type="noConversion"/>
  </si>
  <si>
    <t>0003140</t>
    <phoneticPr fontId="22" type="noConversion"/>
  </si>
  <si>
    <t>48-913</t>
    <phoneticPr fontId="22" type="noConversion"/>
  </si>
  <si>
    <t>0003139</t>
    <phoneticPr fontId="22" type="noConversion"/>
  </si>
  <si>
    <t>重庆宁秀机械制造厂</t>
    <phoneticPr fontId="22" type="noConversion"/>
  </si>
  <si>
    <t>37-176</t>
    <phoneticPr fontId="22" type="noConversion"/>
  </si>
  <si>
    <t>0003141</t>
    <phoneticPr fontId="22" type="noConversion"/>
  </si>
  <si>
    <t>N100 高效防护口罩</t>
    <phoneticPr fontId="22" type="noConversion"/>
  </si>
  <si>
    <t>8233</t>
    <phoneticPr fontId="22" type="noConversion"/>
  </si>
  <si>
    <t>0006600</t>
    <phoneticPr fontId="22" type="noConversion"/>
  </si>
  <si>
    <t>世纪兴物流到付</t>
    <phoneticPr fontId="22" type="noConversion"/>
  </si>
  <si>
    <t>宗明</t>
    <phoneticPr fontId="22" type="noConversion"/>
  </si>
  <si>
    <t>13990029388</t>
    <phoneticPr fontId="22" type="noConversion"/>
  </si>
  <si>
    <t>02077327</t>
    <phoneticPr fontId="22" type="noConversion"/>
  </si>
  <si>
    <t>折叠式防尘口罩( 标准号)</t>
    <phoneticPr fontId="22" type="noConversion"/>
  </si>
  <si>
    <t xml:space="preserve">9102C </t>
    <phoneticPr fontId="22" type="noConversion"/>
  </si>
  <si>
    <t>0003086</t>
    <phoneticPr fontId="22" type="noConversion"/>
  </si>
  <si>
    <t>0009023</t>
    <phoneticPr fontId="22" type="noConversion"/>
  </si>
  <si>
    <t>重庆开元松下焊机销售有限公司</t>
    <phoneticPr fontId="22" type="noConversion"/>
  </si>
  <si>
    <t>0006599</t>
    <phoneticPr fontId="22" type="noConversion"/>
  </si>
  <si>
    <t>左雪莲</t>
    <phoneticPr fontId="22" type="noConversion"/>
  </si>
  <si>
    <t>重庆市九龙坡区杨家坪直港大道18号</t>
    <phoneticPr fontId="22" type="noConversion"/>
  </si>
  <si>
    <t>02077326</t>
    <phoneticPr fontId="22" type="noConversion"/>
  </si>
  <si>
    <t>重庆申蓉商贸有限公司</t>
    <phoneticPr fontId="22" type="noConversion"/>
  </si>
  <si>
    <t>0006601</t>
    <phoneticPr fontId="22" type="noConversion"/>
  </si>
  <si>
    <t>个人李东明</t>
    <phoneticPr fontId="22" type="noConversion"/>
  </si>
  <si>
    <t>达县南外广达到付</t>
    <phoneticPr fontId="22" type="noConversion"/>
  </si>
  <si>
    <t>李东明</t>
    <phoneticPr fontId="22" type="noConversion"/>
  </si>
  <si>
    <t>13908243167</t>
    <phoneticPr fontId="22" type="noConversion"/>
  </si>
  <si>
    <t>四川大竹</t>
    <phoneticPr fontId="22" type="noConversion"/>
  </si>
  <si>
    <t>颗粒物滤棉</t>
    <phoneticPr fontId="22" type="noConversion"/>
  </si>
  <si>
    <t>2091 P100</t>
    <phoneticPr fontId="22" type="noConversion"/>
  </si>
  <si>
    <t>德邦物流现付</t>
    <phoneticPr fontId="22" type="noConversion"/>
  </si>
  <si>
    <t>102803620</t>
    <phoneticPr fontId="22" type="noConversion"/>
  </si>
  <si>
    <t>02077338-341</t>
    <phoneticPr fontId="22" type="noConversion"/>
  </si>
  <si>
    <t>颗粒物防尘口罩-蓝色</t>
    <phoneticPr fontId="22" type="noConversion"/>
  </si>
  <si>
    <t>0006603</t>
    <phoneticPr fontId="22" type="noConversion"/>
  </si>
  <si>
    <t>391-1001</t>
    <phoneticPr fontId="22" type="noConversion"/>
  </si>
  <si>
    <t>0006379</t>
    <phoneticPr fontId="22" type="noConversion"/>
  </si>
  <si>
    <t>0006377</t>
    <phoneticPr fontId="22" type="noConversion"/>
  </si>
  <si>
    <t>0003087</t>
    <phoneticPr fontId="22" type="noConversion"/>
  </si>
  <si>
    <t>3700</t>
    <phoneticPr fontId="22" type="noConversion"/>
  </si>
  <si>
    <t>3701CN</t>
    <phoneticPr fontId="22" type="noConversion"/>
  </si>
  <si>
    <t>昆明海世定泰商贸有限公司</t>
    <phoneticPr fontId="22" type="noConversion"/>
  </si>
  <si>
    <t>6002CN</t>
    <phoneticPr fontId="22" type="noConversion"/>
  </si>
  <si>
    <t>龙柳昆</t>
    <phoneticPr fontId="22" type="noConversion"/>
  </si>
  <si>
    <t>15987175322</t>
    <phoneticPr fontId="22" type="noConversion"/>
  </si>
  <si>
    <t>昆明市环城南路666号云纺国际商厦4F-65</t>
    <phoneticPr fontId="22" type="noConversion"/>
  </si>
  <si>
    <t>0006376</t>
    <phoneticPr fontId="22" type="noConversion"/>
  </si>
  <si>
    <t>0003089</t>
    <phoneticPr fontId="22" type="noConversion"/>
  </si>
  <si>
    <t>颗粒物滤棉</t>
    <phoneticPr fontId="22" type="noConversion"/>
  </si>
  <si>
    <t>2091 P100</t>
    <phoneticPr fontId="22" type="noConversion"/>
  </si>
  <si>
    <t>1270</t>
    <phoneticPr fontId="22" type="noConversion"/>
  </si>
  <si>
    <t>重庆跨越卓远机械制造有限公司</t>
    <phoneticPr fontId="22" type="noConversion"/>
  </si>
  <si>
    <t>0006605</t>
    <phoneticPr fontId="22" type="noConversion"/>
  </si>
  <si>
    <t>顺昌建辉现付</t>
    <phoneticPr fontId="22" type="noConversion"/>
  </si>
  <si>
    <t>张翔</t>
    <phoneticPr fontId="22" type="noConversion"/>
  </si>
  <si>
    <t>15084321018</t>
    <phoneticPr fontId="22" type="noConversion"/>
  </si>
  <si>
    <t>0014512</t>
    <phoneticPr fontId="22" type="noConversion"/>
  </si>
  <si>
    <t>02077345</t>
    <phoneticPr fontId="22" type="noConversion"/>
  </si>
  <si>
    <t>重庆朕尔科技有限公司</t>
    <phoneticPr fontId="22" type="noConversion"/>
  </si>
  <si>
    <t>0003091</t>
    <phoneticPr fontId="22" type="noConversion"/>
  </si>
  <si>
    <t>不含税</t>
    <phoneticPr fontId="22" type="noConversion"/>
  </si>
  <si>
    <t>Ansell</t>
    <phoneticPr fontId="22" type="noConversion"/>
  </si>
  <si>
    <t>37-175</t>
    <phoneticPr fontId="22" type="noConversion"/>
  </si>
  <si>
    <t>0003092</t>
    <phoneticPr fontId="22" type="noConversion"/>
  </si>
  <si>
    <t>02196787-788</t>
    <phoneticPr fontId="22" type="noConversion"/>
  </si>
  <si>
    <t>荣昌县远达建材有限公司</t>
    <phoneticPr fontId="22" type="noConversion"/>
  </si>
  <si>
    <t>0003094</t>
    <phoneticPr fontId="22" type="noConversion"/>
  </si>
  <si>
    <t>顺昌建辉到付</t>
    <phoneticPr fontId="22" type="noConversion"/>
  </si>
  <si>
    <t>陈建</t>
    <phoneticPr fontId="22" type="noConversion"/>
  </si>
  <si>
    <t>13018348776</t>
    <phoneticPr fontId="22" type="noConversion"/>
  </si>
  <si>
    <t>重庆市荣昌县广顺东大街50号</t>
    <phoneticPr fontId="22" type="noConversion"/>
  </si>
  <si>
    <t>0014037</t>
    <phoneticPr fontId="22" type="noConversion"/>
  </si>
  <si>
    <t>重庆申蓉商贸有限公司</t>
    <phoneticPr fontId="22" type="noConversion"/>
  </si>
  <si>
    <t>HyFlex11-800</t>
    <phoneticPr fontId="22" type="noConversion"/>
  </si>
  <si>
    <t>11-800</t>
    <phoneticPr fontId="22" type="noConversion"/>
  </si>
  <si>
    <t>双</t>
    <phoneticPr fontId="22" type="noConversion"/>
  </si>
  <si>
    <t>0003093</t>
    <phoneticPr fontId="22" type="noConversion"/>
  </si>
  <si>
    <t>重庆永荣矿业有限公司洗选厂</t>
    <phoneticPr fontId="22" type="noConversion"/>
  </si>
  <si>
    <t>0006604</t>
    <phoneticPr fontId="22" type="noConversion"/>
  </si>
  <si>
    <t>刘老师</t>
    <phoneticPr fontId="22" type="noConversion"/>
  </si>
  <si>
    <t>13996463557</t>
    <phoneticPr fontId="22" type="noConversion"/>
  </si>
  <si>
    <t>重庆大足邮亭工业园区</t>
    <phoneticPr fontId="22" type="noConversion"/>
  </si>
  <si>
    <t>未开票</t>
    <phoneticPr fontId="22" type="noConversion"/>
  </si>
  <si>
    <t>0003095</t>
    <phoneticPr fontId="22" type="noConversion"/>
  </si>
  <si>
    <t>重庆贝浪物资有限公司</t>
    <phoneticPr fontId="22" type="noConversion"/>
  </si>
  <si>
    <t>0001367</t>
    <phoneticPr fontId="22" type="noConversion"/>
  </si>
  <si>
    <t>李（交易城建行对面）</t>
    <phoneticPr fontId="22" type="noConversion"/>
  </si>
  <si>
    <t>023-68608434</t>
    <phoneticPr fontId="22" type="noConversion"/>
  </si>
  <si>
    <t>重庆商祺商贸有限公司</t>
    <phoneticPr fontId="22" type="noConversion"/>
  </si>
  <si>
    <t>李光银</t>
    <phoneticPr fontId="22" type="noConversion"/>
  </si>
  <si>
    <t>18725666444</t>
    <phoneticPr fontId="22" type="noConversion"/>
  </si>
  <si>
    <t>合川区振兴路438号</t>
    <phoneticPr fontId="22" type="noConversion"/>
  </si>
  <si>
    <t>023190474727</t>
    <phoneticPr fontId="22" type="noConversion"/>
  </si>
  <si>
    <t>02077328</t>
    <phoneticPr fontId="22" type="noConversion"/>
  </si>
  <si>
    <t>有机及酸性气体异味颗粒物滤棉</t>
    <phoneticPr fontId="22" type="noConversion"/>
  </si>
  <si>
    <t>02077329</t>
    <phoneticPr fontId="22" type="noConversion"/>
  </si>
  <si>
    <t>重庆西亭科技有限公司</t>
    <phoneticPr fontId="22" type="noConversion"/>
  </si>
  <si>
    <t>周勇</t>
    <phoneticPr fontId="22" type="noConversion"/>
  </si>
  <si>
    <t>13228626203</t>
    <phoneticPr fontId="22" type="noConversion"/>
  </si>
  <si>
    <t>重庆市长寿区凤城李家坪（川染厂内）</t>
    <phoneticPr fontId="22" type="noConversion"/>
  </si>
  <si>
    <t>023190474736</t>
    <phoneticPr fontId="22" type="noConversion"/>
  </si>
  <si>
    <t>02077334</t>
    <phoneticPr fontId="22" type="noConversion"/>
  </si>
  <si>
    <t>1900338189296</t>
    <phoneticPr fontId="22" type="noConversion"/>
  </si>
  <si>
    <t>重庆民族经济发展有限公司汽车服务分公司</t>
    <phoneticPr fontId="22" type="noConversion"/>
  </si>
  <si>
    <t>0001368</t>
    <phoneticPr fontId="22" type="noConversion"/>
  </si>
  <si>
    <t>02077330</t>
    <phoneticPr fontId="22" type="noConversion"/>
  </si>
  <si>
    <t>荣昌县吴家镇管道配件加工厂</t>
    <phoneticPr fontId="22" type="noConversion"/>
  </si>
  <si>
    <t>0006606</t>
    <phoneticPr fontId="22" type="noConversion"/>
  </si>
  <si>
    <t>王国祥</t>
    <phoneticPr fontId="22" type="noConversion"/>
  </si>
  <si>
    <t>13609403014</t>
    <phoneticPr fontId="22" type="noConversion"/>
  </si>
  <si>
    <t>荣昌县吴家镇</t>
    <phoneticPr fontId="22" type="noConversion"/>
  </si>
  <si>
    <t>02077342</t>
    <phoneticPr fontId="22" type="noConversion"/>
  </si>
  <si>
    <t>重庆欧瑞工贸有限公司</t>
    <phoneticPr fontId="22" type="noConversion"/>
  </si>
  <si>
    <t>0001370</t>
    <phoneticPr fontId="22" type="noConversion"/>
  </si>
  <si>
    <t>0001371</t>
    <phoneticPr fontId="22" type="noConversion"/>
  </si>
  <si>
    <t>拉法基瑞安（北京）技术服务有限公司重庆分公司工会委员会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</si>
  <si>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</si>
  <si>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0003097</t>
    <phoneticPr fontId="22" type="noConversion"/>
  </si>
  <si>
    <t>/</t>
    <phoneticPr fontId="22" type="noConversion"/>
  </si>
  <si>
    <t>独立式光电感烟探测器</t>
    <phoneticPr fontId="22" type="noConversion"/>
  </si>
  <si>
    <t>灭火毯</t>
    <phoneticPr fontId="22" type="noConversion"/>
  </si>
  <si>
    <t>0.43mm*1.0*1.0m</t>
    <phoneticPr fontId="22" type="noConversion"/>
  </si>
  <si>
    <t>条</t>
    <phoneticPr fontId="22" type="noConversion"/>
  </si>
  <si>
    <t>420D</t>
    <phoneticPr fontId="22" type="noConversion"/>
  </si>
  <si>
    <t>个</t>
    <phoneticPr fontId="22" type="noConversion"/>
  </si>
  <si>
    <t>0003097</t>
    <phoneticPr fontId="22" type="noConversion"/>
  </si>
  <si>
    <t xml:space="preserve">送货上门 </t>
    <phoneticPr fontId="22" type="noConversion"/>
  </si>
  <si>
    <t>/</t>
    <phoneticPr fontId="22" type="noConversion"/>
  </si>
  <si>
    <t>/</t>
    <phoneticPr fontId="22" type="noConversion"/>
  </si>
  <si>
    <t>不开票</t>
    <phoneticPr fontId="22" type="noConversion"/>
  </si>
  <si>
    <t>终端</t>
    <phoneticPr fontId="22" type="noConversion"/>
  </si>
  <si>
    <t>拉法基瑞安（北京）技术服务有限公司重庆分公司工会委员会</t>
    <phoneticPr fontId="22" type="noConversion"/>
  </si>
  <si>
    <t>Ansell</t>
    <phoneticPr fontId="22" type="noConversion"/>
  </si>
  <si>
    <t>48-501</t>
    <phoneticPr fontId="22" type="noConversion"/>
  </si>
  <si>
    <t>双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</si>
  <si>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</si>
  <si>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只</t>
    <phoneticPr fontId="22" type="noConversion"/>
  </si>
  <si>
    <t>0003098</t>
    <phoneticPr fontId="22" type="noConversion"/>
  </si>
  <si>
    <t xml:space="preserve">送货上门 </t>
    <phoneticPr fontId="22" type="noConversion"/>
  </si>
  <si>
    <t>/</t>
    <phoneticPr fontId="22" type="noConversion"/>
  </si>
  <si>
    <t>/</t>
    <phoneticPr fontId="22" type="noConversion"/>
  </si>
  <si>
    <t>不开票</t>
    <phoneticPr fontId="22" type="noConversion"/>
  </si>
  <si>
    <t>终端</t>
    <phoneticPr fontId="22" type="noConversion"/>
  </si>
  <si>
    <t>拉法基瑞安（北京）技术服务有限公司重庆分公司工会委员会</t>
    <phoneticPr fontId="22" type="noConversion"/>
  </si>
  <si>
    <t>重庆宇立金属化工有限公司</t>
    <phoneticPr fontId="22" type="noConversion"/>
  </si>
  <si>
    <t>Ansell</t>
    <phoneticPr fontId="22" type="noConversion"/>
  </si>
  <si>
    <t>双</t>
    <phoneticPr fontId="22" type="noConversion"/>
  </si>
  <si>
    <t>0001372</t>
    <phoneticPr fontId="22" type="noConversion"/>
  </si>
  <si>
    <t>刘秋静</t>
    <phoneticPr fontId="22" type="noConversion"/>
  </si>
  <si>
    <t>13983418436</t>
    <phoneticPr fontId="22" type="noConversion"/>
  </si>
  <si>
    <r>
      <t>3M</t>
    </r>
    <r>
      <rPr>
        <sz val="9"/>
        <color indexed="8"/>
        <rFont val="宋体"/>
        <family val="3"/>
        <charset val="134"/>
      </rPr>
      <t/>
    </r>
    <phoneticPr fontId="22" type="noConversion"/>
  </si>
  <si>
    <t>个</t>
    <phoneticPr fontId="22" type="noConversion"/>
  </si>
  <si>
    <t>重庆拉法基瑞安特种水泥有限公司</t>
    <phoneticPr fontId="22" type="noConversion"/>
  </si>
  <si>
    <t>3M</t>
    <phoneticPr fontId="22" type="noConversion"/>
  </si>
  <si>
    <t>0006608</t>
    <phoneticPr fontId="22" type="noConversion"/>
  </si>
  <si>
    <t>合川区草街街道蔡家湾</t>
    <phoneticPr fontId="22" type="noConversion"/>
  </si>
  <si>
    <t>02196785-786</t>
    <phoneticPr fontId="22" type="noConversion"/>
  </si>
  <si>
    <t>送票上门</t>
    <phoneticPr fontId="22" type="noConversion"/>
  </si>
  <si>
    <t>颗粒物滤棉</t>
    <phoneticPr fontId="22" type="noConversion"/>
  </si>
  <si>
    <t>片</t>
    <phoneticPr fontId="22" type="noConversion"/>
  </si>
  <si>
    <t>尘毒呼吸防护套装实用性</t>
    <phoneticPr fontId="22" type="noConversion"/>
  </si>
  <si>
    <t>套</t>
    <phoneticPr fontId="22" type="noConversion"/>
  </si>
  <si>
    <t>农行对私</t>
    <phoneticPr fontId="22" type="noConversion"/>
  </si>
  <si>
    <t>0006609</t>
    <phoneticPr fontId="22" type="noConversion"/>
  </si>
  <si>
    <t>韵达快递</t>
    <phoneticPr fontId="22" type="noConversion"/>
  </si>
  <si>
    <t>戴建平</t>
    <phoneticPr fontId="22" type="noConversion"/>
  </si>
  <si>
    <t>13628255812</t>
    <phoneticPr fontId="22" type="noConversion"/>
  </si>
  <si>
    <t>垫江县</t>
    <phoneticPr fontId="22" type="noConversion"/>
  </si>
  <si>
    <t>1900338189315</t>
    <phoneticPr fontId="22" type="noConversion"/>
  </si>
  <si>
    <t>重庆商祺商贸有限公司</t>
    <phoneticPr fontId="22" type="noConversion"/>
  </si>
  <si>
    <t>0003099</t>
    <phoneticPr fontId="22" type="noConversion"/>
  </si>
  <si>
    <t>顺丰到付</t>
    <phoneticPr fontId="22" type="noConversion"/>
  </si>
  <si>
    <t>李光银</t>
    <phoneticPr fontId="22" type="noConversion"/>
  </si>
  <si>
    <t>18725666444</t>
    <phoneticPr fontId="22" type="noConversion"/>
  </si>
  <si>
    <t>合川区振兴路438号</t>
    <phoneticPr fontId="22" type="noConversion"/>
  </si>
  <si>
    <t>023190474772</t>
    <phoneticPr fontId="22" type="noConversion"/>
  </si>
  <si>
    <t>渠道</t>
    <phoneticPr fontId="22" type="noConversion"/>
  </si>
  <si>
    <t>重庆创新劳动防护用品有限公司</t>
    <phoneticPr fontId="22" type="noConversion"/>
  </si>
  <si>
    <t>中行对公</t>
    <phoneticPr fontId="22" type="noConversion"/>
  </si>
  <si>
    <t>0006610</t>
    <phoneticPr fontId="22" type="noConversion"/>
  </si>
  <si>
    <t>自提</t>
    <phoneticPr fontId="22" type="noConversion"/>
  </si>
  <si>
    <t>刘永刚</t>
    <phoneticPr fontId="22" type="noConversion"/>
  </si>
  <si>
    <t>15909319509</t>
    <phoneticPr fontId="22" type="noConversion"/>
  </si>
  <si>
    <t>02077333</t>
    <phoneticPr fontId="22" type="noConversion"/>
  </si>
  <si>
    <t>重庆三恩科技发展有限公司</t>
    <phoneticPr fontId="22" type="noConversion"/>
  </si>
  <si>
    <t>0003100</t>
    <phoneticPr fontId="22" type="noConversion"/>
  </si>
  <si>
    <t>重庆国俊物资有限公司</t>
    <phoneticPr fontId="22" type="noConversion"/>
  </si>
  <si>
    <t>颗粒物滤棉</t>
    <phoneticPr fontId="22" type="noConversion"/>
  </si>
  <si>
    <t>0001374</t>
    <phoneticPr fontId="22" type="noConversion"/>
  </si>
  <si>
    <t>伍亮</t>
    <phoneticPr fontId="22" type="noConversion"/>
  </si>
  <si>
    <t>个</t>
    <phoneticPr fontId="22" type="noConversion"/>
  </si>
  <si>
    <t>重庆申蓉商贸有限公司</t>
    <phoneticPr fontId="22" type="noConversion"/>
  </si>
  <si>
    <t>Stringknits 8号</t>
    <phoneticPr fontId="22" type="noConversion"/>
  </si>
  <si>
    <t>双</t>
    <phoneticPr fontId="22" type="noConversion"/>
  </si>
  <si>
    <t>0001373</t>
    <phoneticPr fontId="22" type="noConversion"/>
  </si>
  <si>
    <t>Stringknits 9号</t>
    <phoneticPr fontId="22" type="noConversion"/>
  </si>
  <si>
    <t>艾诺斯（重庆）华达电源系统有限公司</t>
    <phoneticPr fontId="22" type="noConversion"/>
  </si>
  <si>
    <t>硅胶半面型防护面罩（中号）</t>
    <phoneticPr fontId="22" type="noConversion"/>
  </si>
  <si>
    <t>颗粒物滤毒盒</t>
    <phoneticPr fontId="22" type="noConversion"/>
  </si>
  <si>
    <t>有机蒸气异味及颗粒物滤棉</t>
    <phoneticPr fontId="22" type="noConversion"/>
  </si>
  <si>
    <t>预过滤棉</t>
    <phoneticPr fontId="22" type="noConversion"/>
  </si>
  <si>
    <t>385CN</t>
    <phoneticPr fontId="22" type="noConversion"/>
  </si>
  <si>
    <t>付</t>
    <phoneticPr fontId="22" type="noConversion"/>
  </si>
  <si>
    <t>0000005</t>
    <phoneticPr fontId="22" type="noConversion"/>
  </si>
  <si>
    <t>SA201301230126</t>
    <phoneticPr fontId="22" type="noConversion"/>
  </si>
  <si>
    <t>0001376</t>
    <phoneticPr fontId="22" type="noConversion"/>
  </si>
  <si>
    <t>顺昌建辉现付</t>
    <phoneticPr fontId="22" type="noConversion"/>
  </si>
  <si>
    <t>0010334</t>
    <phoneticPr fontId="22" type="noConversion"/>
  </si>
  <si>
    <t>02196789-790</t>
    <phoneticPr fontId="22" type="noConversion"/>
  </si>
  <si>
    <t>顺昌建辉到付</t>
    <phoneticPr fontId="22" type="noConversion"/>
  </si>
  <si>
    <t>0007148</t>
    <phoneticPr fontId="22" type="noConversion"/>
  </si>
  <si>
    <t xml:space="preserve"> /</t>
    <phoneticPr fontId="22" type="noConversion"/>
  </si>
  <si>
    <t>中行对公</t>
    <phoneticPr fontId="22" type="noConversion"/>
  </si>
  <si>
    <t>双</t>
    <phoneticPr fontId="22" type="noConversion"/>
  </si>
  <si>
    <t>XHZLC-30</t>
    <phoneticPr fontId="22" type="noConversion"/>
  </si>
  <si>
    <t>个</t>
    <phoneticPr fontId="22" type="noConversion"/>
  </si>
  <si>
    <t>MFZ/ABC1</t>
    <phoneticPr fontId="22" type="noConversion"/>
  </si>
  <si>
    <t>/</t>
    <phoneticPr fontId="22" type="noConversion"/>
  </si>
  <si>
    <t>/</t>
    <phoneticPr fontId="22" type="noConversion"/>
  </si>
  <si>
    <t>1公斤</t>
    <phoneticPr fontId="22" type="noConversion"/>
  </si>
  <si>
    <t>0000008</t>
    <phoneticPr fontId="22" type="noConversion"/>
  </si>
  <si>
    <t>现金</t>
    <phoneticPr fontId="22" type="noConversion"/>
  </si>
  <si>
    <t>3301CN</t>
    <phoneticPr fontId="22" type="noConversion"/>
  </si>
  <si>
    <t>5N11</t>
    <phoneticPr fontId="22" type="noConversion"/>
  </si>
  <si>
    <t>片</t>
    <phoneticPr fontId="22" type="noConversion"/>
  </si>
  <si>
    <t>现金</t>
    <phoneticPr fontId="22" type="noConversion"/>
  </si>
  <si>
    <t>滤棉盖</t>
    <phoneticPr fontId="22" type="noConversion"/>
  </si>
  <si>
    <t>0001379</t>
    <phoneticPr fontId="22" type="noConversion"/>
  </si>
  <si>
    <t>0001377</t>
    <phoneticPr fontId="22" type="noConversion"/>
  </si>
  <si>
    <t>0001378</t>
    <phoneticPr fontId="22" type="noConversion"/>
  </si>
  <si>
    <t>02196791-792</t>
    <phoneticPr fontId="22" type="noConversion"/>
  </si>
  <si>
    <t>023000438486</t>
    <phoneticPr fontId="22" type="noConversion"/>
  </si>
  <si>
    <t>飞毛腿现付</t>
    <phoneticPr fontId="22" type="noConversion"/>
  </si>
  <si>
    <t>0097515</t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</si>
  <si>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</si>
  <si>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t>罗丽</t>
    <phoneticPr fontId="22" type="noConversion"/>
  </si>
  <si>
    <t>吴丽娜</t>
    <phoneticPr fontId="22" type="noConversion"/>
  </si>
  <si>
    <t>个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</si>
  <si>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</si>
  <si>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t>双</t>
    <phoneticPr fontId="22" type="noConversion"/>
  </si>
  <si>
    <t>吴丽娜给陈总</t>
    <phoneticPr fontId="22" type="noConversion"/>
  </si>
  <si>
    <r>
      <t>Universal Plus</t>
    </r>
    <r>
      <rPr>
        <sz val="10"/>
        <color indexed="8"/>
        <rFont val="宋体"/>
        <family val="3"/>
        <charset val="134"/>
      </rPr>
      <t xml:space="preserve"> M</t>
    </r>
    <phoneticPr fontId="22" type="noConversion"/>
  </si>
  <si>
    <r>
      <t>Universal Plus</t>
    </r>
    <r>
      <rPr>
        <sz val="10"/>
        <color indexed="8"/>
        <rFont val="宋体"/>
        <family val="3"/>
        <charset val="134"/>
      </rPr>
      <t xml:space="preserve"> L</t>
    </r>
    <phoneticPr fontId="22" type="noConversion"/>
  </si>
  <si>
    <t>Solvex 8号</t>
    <phoneticPr fontId="22" type="noConversion"/>
  </si>
  <si>
    <t>重庆格瑞特电力设备有限公司</t>
    <phoneticPr fontId="22" type="noConversion"/>
  </si>
  <si>
    <t>43-116</t>
    <phoneticPr fontId="22" type="noConversion"/>
  </si>
  <si>
    <t>现金</t>
    <phoneticPr fontId="22" type="noConversion"/>
  </si>
  <si>
    <t>0001391</t>
    <phoneticPr fontId="22" type="noConversion"/>
  </si>
  <si>
    <t>自提</t>
    <phoneticPr fontId="22" type="noConversion"/>
  </si>
  <si>
    <t>汤建</t>
    <phoneticPr fontId="22" type="noConversion"/>
  </si>
  <si>
    <t>重庆市南岸区亚太商谷1栋5-13</t>
  </si>
  <si>
    <t>13983911363</t>
  </si>
  <si>
    <t>/</t>
    <phoneticPr fontId="22" type="noConversion"/>
  </si>
  <si>
    <t>1623AF</t>
    <phoneticPr fontId="22" type="noConversion"/>
  </si>
  <si>
    <t>付</t>
    <phoneticPr fontId="22" type="noConversion"/>
  </si>
  <si>
    <t>防高温手套</t>
    <phoneticPr fontId="22" type="noConversion"/>
  </si>
  <si>
    <t>0000012</t>
    <phoneticPr fontId="22" type="noConversion"/>
  </si>
  <si>
    <t>0001380</t>
    <phoneticPr fontId="22" type="noConversion"/>
  </si>
  <si>
    <t>/</t>
    <phoneticPr fontId="22" type="noConversion"/>
  </si>
  <si>
    <t>重庆拉法基瑞安参天水泥有限公司</t>
    <phoneticPr fontId="22" type="noConversion"/>
  </si>
  <si>
    <t>片</t>
    <phoneticPr fontId="22" type="noConversion"/>
  </si>
  <si>
    <t>9002A</t>
    <phoneticPr fontId="22" type="noConversion"/>
  </si>
  <si>
    <t>个</t>
    <phoneticPr fontId="22" type="noConversion"/>
  </si>
  <si>
    <t>5N11</t>
    <phoneticPr fontId="22" type="noConversion"/>
  </si>
  <si>
    <t>付</t>
    <phoneticPr fontId="22" type="noConversion"/>
  </si>
  <si>
    <t>0001385</t>
    <phoneticPr fontId="22" type="noConversion"/>
  </si>
  <si>
    <t>7051195931</t>
    <phoneticPr fontId="22" type="noConversion"/>
  </si>
  <si>
    <t>0000018</t>
    <phoneticPr fontId="22" type="noConversion"/>
  </si>
  <si>
    <t>6001CN</t>
    <phoneticPr fontId="22" type="noConversion"/>
  </si>
  <si>
    <t>XOUT158813</t>
    <phoneticPr fontId="22" type="noConversion"/>
  </si>
  <si>
    <t>0001382</t>
    <phoneticPr fontId="22" type="noConversion"/>
  </si>
  <si>
    <t>320P</t>
    <phoneticPr fontId="22" type="noConversion"/>
  </si>
  <si>
    <t>套</t>
    <phoneticPr fontId="22" type="noConversion"/>
  </si>
  <si>
    <t>0003101</t>
    <phoneticPr fontId="22" type="noConversion"/>
  </si>
  <si>
    <t>现金</t>
    <phoneticPr fontId="22" type="noConversion"/>
  </si>
  <si>
    <t>张骥个人</t>
    <phoneticPr fontId="22" type="noConversion"/>
  </si>
  <si>
    <t>防护眼镜（带双射灯，防雾）</t>
  </si>
  <si>
    <t>农行对私</t>
    <phoneticPr fontId="22" type="noConversion"/>
  </si>
  <si>
    <t>0003171</t>
    <phoneticPr fontId="22" type="noConversion"/>
  </si>
  <si>
    <t>送货上门</t>
    <phoneticPr fontId="22" type="noConversion"/>
  </si>
  <si>
    <t>张骥</t>
    <phoneticPr fontId="22" type="noConversion"/>
  </si>
  <si>
    <t>13996320260</t>
    <phoneticPr fontId="22" type="noConversion"/>
  </si>
  <si>
    <t>0003103</t>
    <phoneticPr fontId="22" type="noConversion"/>
  </si>
  <si>
    <t>自提</t>
    <phoneticPr fontId="22" type="noConversion"/>
  </si>
  <si>
    <t>嘉烨</t>
    <phoneticPr fontId="22" type="noConversion"/>
  </si>
  <si>
    <t>15023623023</t>
    <phoneticPr fontId="22" type="noConversion"/>
  </si>
  <si>
    <t>顺丰现付</t>
    <phoneticPr fontId="22" type="noConversion"/>
  </si>
  <si>
    <t>023190474745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</si>
  <si>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</si>
  <si>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t>Edge 8号</t>
    <phoneticPr fontId="22" type="noConversion"/>
  </si>
  <si>
    <t>送客户样品</t>
    <phoneticPr fontId="22" type="noConversion"/>
  </si>
  <si>
    <t>殷千兵</t>
    <phoneticPr fontId="22" type="noConversion"/>
  </si>
  <si>
    <t>李端</t>
    <phoneticPr fontId="22" type="noConversion"/>
  </si>
  <si>
    <t>罗丽</t>
    <phoneticPr fontId="22" type="noConversion"/>
  </si>
  <si>
    <t>02196793-797</t>
    <phoneticPr fontId="22" type="noConversion"/>
  </si>
  <si>
    <t>个</t>
    <phoneticPr fontId="22" type="noConversion"/>
  </si>
  <si>
    <t>0006649</t>
    <phoneticPr fontId="22" type="noConversion"/>
  </si>
  <si>
    <t>重庆华捷消防设备有限公司</t>
    <phoneticPr fontId="22" type="noConversion"/>
  </si>
  <si>
    <t>1623AF</t>
    <phoneticPr fontId="22" type="noConversion"/>
  </si>
  <si>
    <t>92-600</t>
    <phoneticPr fontId="22" type="noConversion"/>
  </si>
  <si>
    <t>11-800</t>
    <phoneticPr fontId="22" type="noConversion"/>
  </si>
  <si>
    <t>SA201302010075</t>
    <phoneticPr fontId="22" type="noConversion"/>
  </si>
  <si>
    <t>无粉尘超薄腈胶手套</t>
    <phoneticPr fontId="22" type="noConversion"/>
  </si>
  <si>
    <t>HyFlex11-800 9码</t>
    <phoneticPr fontId="22" type="noConversion"/>
  </si>
  <si>
    <t>双</t>
    <phoneticPr fontId="22" type="noConversion"/>
  </si>
  <si>
    <t>付</t>
    <phoneticPr fontId="22" type="noConversion"/>
  </si>
  <si>
    <t>0001386</t>
    <phoneticPr fontId="22" type="noConversion"/>
  </si>
  <si>
    <t>顺丰到付</t>
    <phoneticPr fontId="22" type="noConversion"/>
  </si>
  <si>
    <t>何慧</t>
    <phoneticPr fontId="22" type="noConversion"/>
  </si>
  <si>
    <t>重庆市渝北区龙塔街道荷塘路80号附11号</t>
  </si>
  <si>
    <t>13983950811</t>
    <phoneticPr fontId="22" type="noConversion"/>
  </si>
  <si>
    <t>023190474763</t>
    <phoneticPr fontId="22" type="noConversion"/>
  </si>
  <si>
    <t>SA201302010081</t>
    <phoneticPr fontId="22" type="noConversion"/>
  </si>
  <si>
    <t>02196788-800</t>
    <phoneticPr fontId="22" type="noConversion"/>
  </si>
  <si>
    <t>11-800</t>
    <phoneticPr fontId="22" type="noConversion"/>
  </si>
  <si>
    <t>92-600</t>
    <phoneticPr fontId="22" type="noConversion"/>
  </si>
  <si>
    <t>双</t>
    <phoneticPr fontId="22" type="noConversion"/>
  </si>
  <si>
    <t>0006651</t>
    <phoneticPr fontId="22" type="noConversion"/>
  </si>
  <si>
    <t>件</t>
    <phoneticPr fontId="22" type="noConversion"/>
  </si>
  <si>
    <t>620P</t>
    <phoneticPr fontId="22" type="noConversion"/>
  </si>
  <si>
    <t>现金</t>
    <phoneticPr fontId="22" type="noConversion"/>
  </si>
  <si>
    <t>0006650</t>
    <phoneticPr fontId="22" type="noConversion"/>
  </si>
  <si>
    <t>中行对公</t>
    <phoneticPr fontId="22" type="noConversion"/>
  </si>
  <si>
    <t>37-175</t>
    <phoneticPr fontId="22" type="noConversion"/>
  </si>
  <si>
    <t>9002A</t>
    <phoneticPr fontId="22" type="noConversion"/>
  </si>
  <si>
    <t>双</t>
    <phoneticPr fontId="22" type="noConversion"/>
  </si>
  <si>
    <t>个</t>
    <phoneticPr fontId="22" type="noConversion"/>
  </si>
  <si>
    <t>/</t>
    <phoneticPr fontId="22" type="noConversion"/>
  </si>
  <si>
    <t>0001387</t>
    <phoneticPr fontId="22" type="noConversion"/>
  </si>
  <si>
    <t>0003350</t>
    <phoneticPr fontId="22" type="noConversion"/>
  </si>
  <si>
    <t>5N11</t>
    <phoneticPr fontId="22" type="noConversion"/>
  </si>
  <si>
    <t>片</t>
    <phoneticPr fontId="22" type="noConversion"/>
  </si>
  <si>
    <t>6001CN</t>
    <phoneticPr fontId="22" type="noConversion"/>
  </si>
  <si>
    <t>Solvex-手套（9码）</t>
    <phoneticPr fontId="22" type="noConversion"/>
  </si>
  <si>
    <t>Solvex-手套</t>
    <phoneticPr fontId="60" type="noConversion"/>
  </si>
  <si>
    <t>Solvex-手套(8码)</t>
    <phoneticPr fontId="68" type="noConversion"/>
  </si>
  <si>
    <t>Solvex-手套</t>
    <phoneticPr fontId="22" type="noConversion"/>
  </si>
  <si>
    <t>Eco Green™-手套（9码）</t>
    <phoneticPr fontId="68" type="noConversion"/>
  </si>
  <si>
    <t>Edge-手套（8码）</t>
    <phoneticPr fontId="68" type="noConversion"/>
  </si>
  <si>
    <t>Edge-手套（9码）</t>
    <phoneticPr fontId="68" type="noConversion"/>
  </si>
  <si>
    <t>Stringknits-手套（8码）</t>
    <phoneticPr fontId="68" type="noConversion"/>
  </si>
  <si>
    <t>Stringknits-手套（8码）</t>
    <phoneticPr fontId="68" type="noConversion"/>
  </si>
  <si>
    <t>FiberTuf-手套（8码）</t>
    <phoneticPr fontId="68" type="noConversion"/>
  </si>
  <si>
    <t>Stringknits-手套（9码）</t>
    <phoneticPr fontId="68" type="noConversion"/>
  </si>
  <si>
    <t>Solvex-手套（9码）</t>
    <phoneticPr fontId="68" type="noConversion"/>
  </si>
  <si>
    <t>HyFlex Dyneema-手套（9码）</t>
    <phoneticPr fontId="68" type="noConversion"/>
  </si>
  <si>
    <t>Micro-Touch DermaClean-手套（L）</t>
    <phoneticPr fontId="68" type="noConversion"/>
  </si>
  <si>
    <t>Micro-Touch Nitratex-手套（L）</t>
    <phoneticPr fontId="68" type="noConversion"/>
  </si>
  <si>
    <t>Micro-Touch Nitratex-手套（M）</t>
    <phoneticPr fontId="68" type="noConversion"/>
  </si>
  <si>
    <t>Micro-Touch DermaClean-手套（M）</t>
    <phoneticPr fontId="68" type="noConversion"/>
  </si>
  <si>
    <t>Chemipro-手套（9码）</t>
    <phoneticPr fontId="68" type="noConversion"/>
  </si>
  <si>
    <t>Eco Green™-手套（8码）</t>
    <phoneticPr fontId="68" type="noConversion"/>
  </si>
  <si>
    <t>Universal Plus-手套（M）</t>
    <phoneticPr fontId="68" type="noConversion"/>
  </si>
  <si>
    <t>Touch N Tuff-手套（M）</t>
    <phoneticPr fontId="68" type="noConversion"/>
  </si>
  <si>
    <t>Nitrilite-手套（M）</t>
    <phoneticPr fontId="68" type="noConversion"/>
  </si>
  <si>
    <t>Universal Plus-手套（L）</t>
    <phoneticPr fontId="68" type="noConversion"/>
  </si>
  <si>
    <t>顺达经销商</t>
    <phoneticPr fontId="22" type="noConversion"/>
  </si>
  <si>
    <t>羊毛球（3寸）</t>
    <phoneticPr fontId="22" type="noConversion"/>
  </si>
  <si>
    <t>0003351</t>
    <phoneticPr fontId="22" type="noConversion"/>
  </si>
  <si>
    <t>0006652</t>
    <phoneticPr fontId="22" type="noConversion"/>
  </si>
  <si>
    <t>6001CN</t>
    <phoneticPr fontId="22" type="noConversion"/>
  </si>
  <si>
    <t>XOUT159135</t>
    <phoneticPr fontId="22" type="noConversion"/>
  </si>
  <si>
    <t>4*0.80</t>
    <phoneticPr fontId="22" type="noConversion"/>
  </si>
  <si>
    <t>10*0.80</t>
    <phoneticPr fontId="22" type="noConversion"/>
  </si>
  <si>
    <t>1621AF</t>
    <phoneticPr fontId="22" type="noConversion"/>
  </si>
  <si>
    <t>付</t>
    <phoneticPr fontId="22" type="noConversion"/>
  </si>
  <si>
    <t>个</t>
    <phoneticPr fontId="22" type="noConversion"/>
  </si>
  <si>
    <t>/</t>
    <phoneticPr fontId="22" type="noConversion"/>
  </si>
  <si>
    <t>中行对公</t>
    <phoneticPr fontId="22" type="noConversion"/>
  </si>
  <si>
    <t>3701CN</t>
    <phoneticPr fontId="22" type="noConversion"/>
  </si>
  <si>
    <t>片</t>
    <phoneticPr fontId="22" type="noConversion"/>
  </si>
  <si>
    <t>0001388</t>
    <phoneticPr fontId="22" type="noConversion"/>
  </si>
  <si>
    <t xml:space="preserve">                 </t>
    <phoneticPr fontId="60" type="noConversion"/>
  </si>
  <si>
    <t>普通版 N95 防护口罩</t>
    <phoneticPr fontId="22" type="noConversion"/>
  </si>
  <si>
    <t>舒适版 N95 防护口罩</t>
    <phoneticPr fontId="22" type="noConversion"/>
  </si>
  <si>
    <t>中行对公</t>
    <phoneticPr fontId="22" type="noConversion"/>
  </si>
  <si>
    <t>个</t>
    <phoneticPr fontId="22" type="noConversion"/>
  </si>
  <si>
    <t>片</t>
    <phoneticPr fontId="22" type="noConversion"/>
  </si>
  <si>
    <t>现金</t>
    <phoneticPr fontId="22" type="noConversion"/>
  </si>
  <si>
    <t>320D</t>
    <phoneticPr fontId="22" type="noConversion"/>
  </si>
  <si>
    <t>套</t>
    <phoneticPr fontId="22" type="noConversion"/>
  </si>
  <si>
    <t>0001389</t>
    <phoneticPr fontId="22" type="noConversion"/>
  </si>
  <si>
    <t>周旋</t>
    <phoneticPr fontId="22" type="noConversion"/>
  </si>
  <si>
    <t>13508186640</t>
    <phoneticPr fontId="22" type="noConversion"/>
  </si>
  <si>
    <t>宜宾市慈善路140号</t>
    <phoneticPr fontId="22" type="noConversion"/>
  </si>
  <si>
    <t>1900338189318</t>
    <phoneticPr fontId="22" type="noConversion"/>
  </si>
  <si>
    <t>不开票</t>
    <phoneticPr fontId="22" type="noConversion"/>
  </si>
  <si>
    <t xml:space="preserve">3嘉烨 </t>
    <phoneticPr fontId="60" type="noConversion"/>
  </si>
  <si>
    <t>Eco Green™-手套（9码）</t>
  </si>
  <si>
    <t>付</t>
    <phoneticPr fontId="22" type="noConversion"/>
  </si>
  <si>
    <t>9002A</t>
    <phoneticPr fontId="22" type="noConversion"/>
  </si>
  <si>
    <t>0006654</t>
    <phoneticPr fontId="22" type="noConversion"/>
  </si>
  <si>
    <t>0006657</t>
    <phoneticPr fontId="22" type="noConversion"/>
  </si>
  <si>
    <t>0006655</t>
    <phoneticPr fontId="22" type="noConversion"/>
  </si>
  <si>
    <t>1611HC</t>
    <phoneticPr fontId="22" type="noConversion"/>
  </si>
  <si>
    <t>访客用防护眼镜（防刮擦涂层）</t>
  </si>
  <si>
    <t>8个嘉烨</t>
    <phoneticPr fontId="22" type="noConversion"/>
  </si>
  <si>
    <t>0003355</t>
    <phoneticPr fontId="22" type="noConversion"/>
  </si>
  <si>
    <t>重庆百货大楼股份有限公司劳保用品分公司</t>
    <phoneticPr fontId="22" type="noConversion"/>
  </si>
  <si>
    <t>37-175</t>
    <phoneticPr fontId="22" type="noConversion"/>
  </si>
  <si>
    <t>成都万方机电有限公司</t>
    <phoneticPr fontId="22" type="noConversion"/>
  </si>
  <si>
    <t>100V内保护片</t>
    <phoneticPr fontId="22" type="noConversion"/>
  </si>
  <si>
    <t>100V外保护片</t>
    <phoneticPr fontId="22" type="noConversion"/>
  </si>
  <si>
    <t>四川高木安防设备有限公司</t>
    <phoneticPr fontId="22" type="noConversion"/>
  </si>
  <si>
    <t>0001390</t>
    <phoneticPr fontId="22" type="noConversion"/>
  </si>
  <si>
    <t>重庆市特安劳保用品有限公司</t>
    <phoneticPr fontId="22" type="noConversion"/>
  </si>
  <si>
    <t>/</t>
    <phoneticPr fontId="22" type="noConversion"/>
  </si>
  <si>
    <t>02006836</t>
    <phoneticPr fontId="22" type="noConversion"/>
  </si>
  <si>
    <t>重庆澜派装饰有限公司</t>
    <phoneticPr fontId="22" type="noConversion"/>
  </si>
  <si>
    <t>9042A</t>
    <phoneticPr fontId="22" type="noConversion"/>
  </si>
  <si>
    <t>现金</t>
    <phoneticPr fontId="22" type="noConversion"/>
  </si>
  <si>
    <t>0006658</t>
    <phoneticPr fontId="22" type="noConversion"/>
  </si>
  <si>
    <t>自提</t>
    <phoneticPr fontId="22" type="noConversion"/>
  </si>
  <si>
    <t>王老师</t>
    <phoneticPr fontId="22" type="noConversion"/>
  </si>
  <si>
    <t>13436076751</t>
    <phoneticPr fontId="22" type="noConversion"/>
  </si>
  <si>
    <t>不开票</t>
    <phoneticPr fontId="22" type="noConversion"/>
  </si>
  <si>
    <t>3744K</t>
    <phoneticPr fontId="22" type="noConversion"/>
  </si>
  <si>
    <t>顺丰到付</t>
    <phoneticPr fontId="22" type="noConversion"/>
  </si>
  <si>
    <t>世纪兴到付</t>
    <phoneticPr fontId="22" type="noConversion"/>
  </si>
  <si>
    <t>退货</t>
    <phoneticPr fontId="22" type="noConversion"/>
  </si>
  <si>
    <t>3501CN</t>
    <phoneticPr fontId="22" type="noConversion"/>
  </si>
  <si>
    <t>0001391</t>
    <phoneticPr fontId="22" type="noConversion"/>
  </si>
  <si>
    <t>手套描述</t>
    <phoneticPr fontId="68" type="noConversion"/>
  </si>
  <si>
    <t>抗溶剂腈胶棉植绒，0.38mm厚，33cm长，直戴式/7/8/9/10</t>
    <phoneticPr fontId="68" type="noConversion"/>
  </si>
  <si>
    <t>抗溶剂腈胶棉植绒，亚洲版，0.38mm厚，33cm长7/8/9/10</t>
  </si>
  <si>
    <t>天然橡胶表浸25%氯丁橡胶涂层，棉植绒8/9/10</t>
  </si>
  <si>
    <t>经济款丁腈橡胶抗化手套，0.36mm 厚，32CM 长，直戴式7/8/9/10</t>
  </si>
  <si>
    <t>3级Dyneema带PU涂层,针织袖口，抗割手套8/9/10</t>
  </si>
  <si>
    <t>涤纶PU掌部涂层,黑色6/7/8/9/10</t>
  </si>
  <si>
    <t>涤纶PU掌部涂层,黑色6/7/8/9/10</t>
    <phoneticPr fontId="68" type="noConversion"/>
  </si>
  <si>
    <r>
      <t>涤纶PU掌部涂层,白色</t>
    </r>
    <r>
      <rPr>
        <sz val="11"/>
        <color indexed="8"/>
        <rFont val="宋体"/>
        <family val="3"/>
        <charset val="134"/>
      </rPr>
      <t>6/7/8/9/10</t>
    </r>
    <phoneticPr fontId="68" type="noConversion"/>
  </si>
  <si>
    <t>经济款掌涂天然橡胶手套，聚酯衬里7/8/9/10</t>
  </si>
  <si>
    <t>经济款掌背全涂丁腈橡胶手套，加长款安全袖口，全长27.5-29 CM 8/9/10/11</t>
  </si>
  <si>
    <t>经济款3/4浸丁腈橡胶涂层耐磨耐油手套，罗纹袖口8/9/10/11</t>
  </si>
  <si>
    <t>经济款抗割手套，虎口加强型，13针7/8/9/10</t>
  </si>
  <si>
    <t>尼龙不掉毛通用手套，轻型6/7/8/9/10</t>
  </si>
  <si>
    <t>尼龙不掉毛通用手套，轻型6/7/8/9/10</t>
    <phoneticPr fontId="68" type="noConversion"/>
  </si>
  <si>
    <t>深蓝色耐用聚酯纤维带PVC点塑7/8/9</t>
  </si>
  <si>
    <t>高级黄色天然橡胶手套，可在核电站使用，并可作为经济款家用手套使用S/M/L</t>
  </si>
  <si>
    <t>无内衬,内喷棉,黑色天然橡胶抗化手套, 32cm长, 0.73mm厚7.5/8/9/10/11</t>
  </si>
  <si>
    <t>类别</t>
    <phoneticPr fontId="68" type="noConversion"/>
  </si>
  <si>
    <t>化学防护</t>
    <phoneticPr fontId="68" type="noConversion"/>
  </si>
  <si>
    <t>机械防护</t>
    <phoneticPr fontId="68" type="noConversion"/>
  </si>
  <si>
    <t>宜宾飞鸽</t>
    <phoneticPr fontId="22" type="noConversion"/>
  </si>
  <si>
    <t>付</t>
    <phoneticPr fontId="22" type="noConversion"/>
  </si>
  <si>
    <t>个</t>
    <phoneticPr fontId="22" type="noConversion"/>
  </si>
  <si>
    <t>顺昌建辉到付</t>
    <phoneticPr fontId="22" type="noConversion"/>
  </si>
  <si>
    <t>现金</t>
    <phoneticPr fontId="22" type="noConversion"/>
  </si>
  <si>
    <t>0000322</t>
    <phoneticPr fontId="22" type="noConversion"/>
  </si>
  <si>
    <t>01748648</t>
    <phoneticPr fontId="22" type="noConversion"/>
  </si>
  <si>
    <t>1.54</t>
    <phoneticPr fontId="60" type="noConversion"/>
  </si>
  <si>
    <t>个</t>
    <phoneticPr fontId="22" type="noConversion"/>
  </si>
  <si>
    <t>0010863</t>
    <phoneticPr fontId="22" type="noConversion"/>
  </si>
  <si>
    <t>巫山经销商</t>
    <phoneticPr fontId="22" type="noConversion"/>
  </si>
  <si>
    <t>0006659</t>
    <phoneticPr fontId="22" type="noConversion"/>
  </si>
  <si>
    <t>杨老师</t>
    <phoneticPr fontId="22" type="noConversion"/>
  </si>
  <si>
    <t>18623432888</t>
    <phoneticPr fontId="22" type="noConversion"/>
  </si>
  <si>
    <t>0002891</t>
    <phoneticPr fontId="22" type="noConversion"/>
  </si>
  <si>
    <t>0006661</t>
    <phoneticPr fontId="22" type="noConversion"/>
  </si>
  <si>
    <t>个</t>
    <phoneticPr fontId="22" type="noConversion"/>
  </si>
  <si>
    <t>华莱进出口（福州）有限公司</t>
  </si>
  <si>
    <t>1623AF</t>
    <phoneticPr fontId="22" type="noConversion"/>
  </si>
  <si>
    <t>付</t>
    <phoneticPr fontId="22" type="noConversion"/>
  </si>
  <si>
    <t>/</t>
    <phoneticPr fontId="22" type="noConversion"/>
  </si>
  <si>
    <t>中行对公</t>
    <phoneticPr fontId="22" type="noConversion"/>
  </si>
  <si>
    <t>0001392</t>
    <phoneticPr fontId="22" type="noConversion"/>
  </si>
  <si>
    <t>陈远辉</t>
    <phoneticPr fontId="22" type="noConversion"/>
  </si>
  <si>
    <t>九龙园区绿云石都B区13栋F2-25号</t>
    <phoneticPr fontId="22" type="noConversion"/>
  </si>
  <si>
    <t>0006662</t>
    <phoneticPr fontId="22" type="noConversion"/>
  </si>
  <si>
    <t>力宏物流现付</t>
    <phoneticPr fontId="22" type="noConversion"/>
  </si>
  <si>
    <t>0006988</t>
    <phoneticPr fontId="22" type="noConversion"/>
  </si>
  <si>
    <t>好汉帮物流到付</t>
    <phoneticPr fontId="22" type="noConversion"/>
  </si>
  <si>
    <t>0000643</t>
    <phoneticPr fontId="22" type="noConversion"/>
  </si>
  <si>
    <t>05186742</t>
    <phoneticPr fontId="22" type="noConversion"/>
  </si>
  <si>
    <t>0010876</t>
    <phoneticPr fontId="22" type="noConversion"/>
  </si>
  <si>
    <t>/</t>
    <phoneticPr fontId="22" type="noConversion"/>
  </si>
  <si>
    <t>0001394</t>
    <phoneticPr fontId="22" type="noConversion"/>
  </si>
  <si>
    <t>9002A</t>
    <phoneticPr fontId="22" type="noConversion"/>
  </si>
  <si>
    <t>个</t>
    <phoneticPr fontId="22" type="noConversion"/>
  </si>
  <si>
    <t>0001393</t>
    <phoneticPr fontId="22" type="noConversion"/>
  </si>
  <si>
    <t>04905476</t>
    <phoneticPr fontId="22" type="noConversion"/>
  </si>
  <si>
    <t>中行对公</t>
    <phoneticPr fontId="22" type="noConversion"/>
  </si>
  <si>
    <t>SA201302220050</t>
    <phoneticPr fontId="22" type="noConversion"/>
  </si>
  <si>
    <t>0010880</t>
    <phoneticPr fontId="22" type="noConversion"/>
  </si>
  <si>
    <t>0006663</t>
    <phoneticPr fontId="22" type="noConversion"/>
  </si>
  <si>
    <t>昆明安利达劳保用品有限公司</t>
    <phoneticPr fontId="22" type="noConversion"/>
  </si>
  <si>
    <t>现金</t>
    <phoneticPr fontId="22" type="noConversion"/>
  </si>
  <si>
    <t>套</t>
    <phoneticPr fontId="22" type="noConversion"/>
  </si>
  <si>
    <t>个</t>
    <phoneticPr fontId="22" type="noConversion"/>
  </si>
  <si>
    <t>0001397</t>
    <phoneticPr fontId="22" type="noConversion"/>
  </si>
  <si>
    <t>0001395/0001398</t>
    <phoneticPr fontId="22" type="noConversion"/>
  </si>
  <si>
    <t>0001504</t>
    <phoneticPr fontId="22" type="noConversion"/>
  </si>
  <si>
    <t>9021A</t>
    <phoneticPr fontId="22" type="noConversion"/>
  </si>
  <si>
    <t>XS-2013-2-22-003</t>
    <phoneticPr fontId="22" type="noConversion"/>
  </si>
  <si>
    <t>3701CN</t>
    <phoneticPr fontId="22" type="noConversion"/>
  </si>
  <si>
    <t>1900338415848</t>
    <phoneticPr fontId="22" type="noConversion"/>
  </si>
  <si>
    <t>320D</t>
    <phoneticPr fontId="22" type="noConversion"/>
  </si>
  <si>
    <t>换货</t>
    <phoneticPr fontId="22" type="noConversion"/>
  </si>
  <si>
    <t>重庆志宣科技有限公司</t>
    <phoneticPr fontId="22" type="noConversion"/>
  </si>
  <si>
    <t>/</t>
    <phoneticPr fontId="22" type="noConversion"/>
  </si>
  <si>
    <t>0001396</t>
    <phoneticPr fontId="22" type="noConversion"/>
  </si>
  <si>
    <t>李经理</t>
    <phoneticPr fontId="22" type="noConversion"/>
  </si>
  <si>
    <t>13908347345</t>
    <phoneticPr fontId="22" type="noConversion"/>
  </si>
  <si>
    <t>嘉烨</t>
    <phoneticPr fontId="22" type="noConversion"/>
  </si>
  <si>
    <t>/</t>
    <phoneticPr fontId="22" type="noConversion"/>
  </si>
  <si>
    <t>0011826</t>
    <phoneticPr fontId="22" type="noConversion"/>
  </si>
  <si>
    <t>付</t>
    <phoneticPr fontId="22" type="noConversion"/>
  </si>
  <si>
    <t>城远货运到付</t>
    <phoneticPr fontId="22" type="noConversion"/>
  </si>
  <si>
    <t>张力文</t>
    <phoneticPr fontId="22" type="noConversion"/>
  </si>
  <si>
    <t>18523509221</t>
    <phoneticPr fontId="22" type="noConversion"/>
  </si>
  <si>
    <t>白涛</t>
    <phoneticPr fontId="22" type="noConversion"/>
  </si>
  <si>
    <t>0020477</t>
    <phoneticPr fontId="22" type="noConversion"/>
  </si>
  <si>
    <t>健隆双庆到付</t>
    <phoneticPr fontId="22" type="noConversion"/>
  </si>
  <si>
    <t>0007225</t>
    <phoneticPr fontId="22" type="noConversion"/>
  </si>
  <si>
    <t>P95/氟化氢/酸性气体异味颗粒物滤棉</t>
    <phoneticPr fontId="22" type="noConversion"/>
  </si>
  <si>
    <t>片</t>
    <phoneticPr fontId="22" type="noConversion"/>
  </si>
  <si>
    <t>杜邦</t>
    <phoneticPr fontId="22" type="noConversion"/>
  </si>
  <si>
    <t>1621AF</t>
    <phoneticPr fontId="22" type="noConversion"/>
  </si>
  <si>
    <t>1422A</t>
    <phoneticPr fontId="22" type="noConversion"/>
  </si>
  <si>
    <t>胶条型医用防护服</t>
    <phoneticPr fontId="22" type="noConversion"/>
  </si>
  <si>
    <t>件</t>
    <phoneticPr fontId="22" type="noConversion"/>
  </si>
  <si>
    <t>个</t>
    <phoneticPr fontId="22" type="noConversion"/>
  </si>
  <si>
    <t>重庆誉商代科技有限公司</t>
    <phoneticPr fontId="22" type="noConversion"/>
  </si>
  <si>
    <t>N95 医用防护口罩</t>
    <phoneticPr fontId="22" type="noConversion"/>
  </si>
  <si>
    <t>0001399</t>
    <phoneticPr fontId="22" type="noConversion"/>
  </si>
  <si>
    <t>中行对公</t>
    <phoneticPr fontId="22" type="noConversion"/>
  </si>
  <si>
    <t>现金</t>
    <phoneticPr fontId="22" type="noConversion"/>
  </si>
  <si>
    <t>谭中华</t>
    <phoneticPr fontId="22" type="noConversion"/>
  </si>
  <si>
    <t>13888800070</t>
    <phoneticPr fontId="22" type="noConversion"/>
  </si>
  <si>
    <t>云南省昆明市广福路广福小区一期西区8栋1单元602室</t>
  </si>
  <si>
    <t>0006664</t>
    <phoneticPr fontId="22" type="noConversion"/>
  </si>
  <si>
    <t>颗粒物防尘口罩-蓝色</t>
    <phoneticPr fontId="60" type="noConversion"/>
  </si>
  <si>
    <t>2嘉烨+27.0*30</t>
    <phoneticPr fontId="60" type="noConversion"/>
  </si>
  <si>
    <t>0023121</t>
    <phoneticPr fontId="22" type="noConversion"/>
  </si>
  <si>
    <t>0006665</t>
    <phoneticPr fontId="22" type="noConversion"/>
  </si>
  <si>
    <t>防护服F级（XL）</t>
    <phoneticPr fontId="22" type="noConversion"/>
  </si>
  <si>
    <t>0019041</t>
    <phoneticPr fontId="22" type="noConversion"/>
  </si>
  <si>
    <t>胶条型医用防护服(L)</t>
    <phoneticPr fontId="22" type="noConversion"/>
  </si>
  <si>
    <t>韵达现付</t>
    <phoneticPr fontId="22" type="noConversion"/>
  </si>
  <si>
    <t>1900338189322</t>
    <phoneticPr fontId="22" type="noConversion"/>
  </si>
  <si>
    <t>/</t>
    <phoneticPr fontId="22" type="noConversion"/>
  </si>
  <si>
    <t>1900338189321</t>
    <phoneticPr fontId="22" type="noConversion"/>
  </si>
  <si>
    <t>1900338189323</t>
    <phoneticPr fontId="22" type="noConversion"/>
  </si>
  <si>
    <t>巫溪经销商</t>
    <phoneticPr fontId="22" type="noConversion"/>
  </si>
  <si>
    <t>10-2112</t>
    <phoneticPr fontId="22" type="noConversion"/>
  </si>
  <si>
    <t>双</t>
    <phoneticPr fontId="22" type="noConversion"/>
  </si>
  <si>
    <t>XSD-2013-02-26-00082</t>
    <phoneticPr fontId="22" type="noConversion"/>
  </si>
  <si>
    <t>威特仕</t>
    <phoneticPr fontId="22" type="noConversion"/>
  </si>
  <si>
    <t>灰色实惠电焊皮手套</t>
    <phoneticPr fontId="22" type="noConversion"/>
  </si>
  <si>
    <t>9002A</t>
    <phoneticPr fontId="22" type="noConversion"/>
  </si>
  <si>
    <t>3701CN</t>
    <phoneticPr fontId="22" type="noConversion"/>
  </si>
  <si>
    <t>片</t>
    <phoneticPr fontId="22" type="noConversion"/>
  </si>
  <si>
    <t>0001512</t>
    <phoneticPr fontId="22" type="noConversion"/>
  </si>
  <si>
    <t>02291364</t>
    <phoneticPr fontId="22" type="noConversion"/>
  </si>
  <si>
    <t>三州物流到付</t>
    <phoneticPr fontId="22" type="noConversion"/>
  </si>
  <si>
    <t>0006736</t>
    <phoneticPr fontId="22" type="noConversion"/>
  </si>
  <si>
    <t>3301CN</t>
    <phoneticPr fontId="22" type="noConversion"/>
  </si>
  <si>
    <t xml:space="preserve">10.94 </t>
    <phoneticPr fontId="60" type="noConversion"/>
  </si>
  <si>
    <t>滤棉盖（新）</t>
  </si>
  <si>
    <t>3N11CN</t>
    <phoneticPr fontId="22" type="noConversion"/>
  </si>
  <si>
    <t>0001334</t>
    <phoneticPr fontId="22" type="noConversion"/>
  </si>
  <si>
    <t>渝奉货运到付</t>
    <phoneticPr fontId="22" type="noConversion"/>
  </si>
  <si>
    <t>杨军</t>
    <phoneticPr fontId="22" type="noConversion"/>
  </si>
  <si>
    <t>18883608888</t>
    <phoneticPr fontId="22" type="noConversion"/>
  </si>
  <si>
    <t>巫溪</t>
    <phoneticPr fontId="22" type="noConversion"/>
  </si>
  <si>
    <t>0032195</t>
    <phoneticPr fontId="22" type="noConversion"/>
  </si>
  <si>
    <t>00400568</t>
    <phoneticPr fontId="22" type="noConversion"/>
  </si>
  <si>
    <t>中行对公</t>
    <phoneticPr fontId="22" type="noConversion"/>
  </si>
  <si>
    <t>个</t>
    <phoneticPr fontId="22" type="noConversion"/>
  </si>
  <si>
    <t>0001336</t>
    <phoneticPr fontId="22" type="noConversion"/>
  </si>
  <si>
    <t>退货</t>
    <phoneticPr fontId="22" type="noConversion"/>
  </si>
  <si>
    <t>9021A</t>
    <phoneticPr fontId="22" type="noConversion"/>
  </si>
  <si>
    <t>有机蒸气滤毒盒</t>
    <phoneticPr fontId="22" type="noConversion"/>
  </si>
  <si>
    <t>遵义飘安医疗器械有限公司</t>
  </si>
  <si>
    <t>0001337</t>
    <phoneticPr fontId="22" type="noConversion"/>
  </si>
  <si>
    <t>0871-8228778</t>
  </si>
  <si>
    <t>自提</t>
    <phoneticPr fontId="22" type="noConversion"/>
  </si>
  <si>
    <t>/</t>
    <phoneticPr fontId="22" type="noConversion"/>
  </si>
  <si>
    <t>00400569</t>
    <phoneticPr fontId="22" type="noConversion"/>
  </si>
  <si>
    <t>0074702</t>
    <phoneticPr fontId="22" type="noConversion"/>
  </si>
  <si>
    <t>00400570</t>
    <phoneticPr fontId="22" type="noConversion"/>
  </si>
  <si>
    <t>宜宾市宜美物资有限责任公司</t>
    <phoneticPr fontId="22" type="noConversion"/>
  </si>
  <si>
    <t>四川省宜宾市翠屏区西郊批发市场11幢5层A号</t>
  </si>
  <si>
    <t>骆经理</t>
    <phoneticPr fontId="22" type="noConversion"/>
  </si>
  <si>
    <t>15181109363</t>
    <phoneticPr fontId="22" type="noConversion"/>
  </si>
  <si>
    <t>0009673</t>
    <phoneticPr fontId="22" type="noConversion"/>
  </si>
  <si>
    <t>0001340</t>
    <phoneticPr fontId="22" type="noConversion"/>
  </si>
  <si>
    <t>3N11CN</t>
    <phoneticPr fontId="22" type="noConversion"/>
  </si>
  <si>
    <t>片</t>
    <phoneticPr fontId="22" type="noConversion"/>
  </si>
  <si>
    <t>0001400</t>
    <phoneticPr fontId="22" type="noConversion"/>
  </si>
  <si>
    <t>00673361</t>
    <phoneticPr fontId="22" type="noConversion"/>
  </si>
  <si>
    <t>00673362</t>
    <phoneticPr fontId="22" type="noConversion"/>
  </si>
  <si>
    <t>1900340992491</t>
    <phoneticPr fontId="22" type="noConversion"/>
  </si>
  <si>
    <t>00673363</t>
    <phoneticPr fontId="22" type="noConversion"/>
  </si>
  <si>
    <t>00673364</t>
    <phoneticPr fontId="22" type="noConversion"/>
  </si>
  <si>
    <t>00673365</t>
    <phoneticPr fontId="22" type="noConversion"/>
  </si>
  <si>
    <t>1900340992492</t>
    <phoneticPr fontId="22" type="noConversion"/>
  </si>
  <si>
    <t>00673366</t>
    <phoneticPr fontId="22" type="noConversion"/>
  </si>
  <si>
    <t>00673367</t>
    <phoneticPr fontId="22" type="noConversion"/>
  </si>
  <si>
    <t>0063744</t>
    <phoneticPr fontId="22" type="noConversion"/>
  </si>
  <si>
    <t>万鹏运务到付</t>
    <phoneticPr fontId="22" type="noConversion"/>
  </si>
  <si>
    <t>9021A</t>
    <phoneticPr fontId="22" type="noConversion"/>
  </si>
  <si>
    <t>0001519</t>
    <phoneticPr fontId="22" type="noConversion"/>
  </si>
  <si>
    <t>18嘉烨+15*1.75</t>
    <phoneticPr fontId="60" type="noConversion"/>
  </si>
  <si>
    <t>防护口罩 (双片）</t>
  </si>
  <si>
    <t>防护口罩 (双片）</t>
    <phoneticPr fontId="22" type="noConversion"/>
  </si>
  <si>
    <t>0074701</t>
    <phoneticPr fontId="22" type="noConversion"/>
  </si>
  <si>
    <t>双桥劳保店</t>
    <phoneticPr fontId="22" type="noConversion"/>
  </si>
  <si>
    <t>现金</t>
    <phoneticPr fontId="22" type="noConversion"/>
  </si>
  <si>
    <t>0001339</t>
    <phoneticPr fontId="22" type="noConversion"/>
  </si>
  <si>
    <t>高新物流现付</t>
    <phoneticPr fontId="22" type="noConversion"/>
  </si>
  <si>
    <t>0006359</t>
    <phoneticPr fontId="22" type="noConversion"/>
  </si>
  <si>
    <t>何惠</t>
    <phoneticPr fontId="22" type="noConversion"/>
  </si>
  <si>
    <t>13883258198</t>
    <phoneticPr fontId="22" type="noConversion"/>
  </si>
  <si>
    <t>龙水双桥</t>
    <phoneticPr fontId="22" type="noConversion"/>
  </si>
  <si>
    <t>0005666</t>
    <phoneticPr fontId="22" type="noConversion"/>
  </si>
  <si>
    <t>不开票</t>
    <phoneticPr fontId="22" type="noConversion"/>
  </si>
  <si>
    <t>1900340992490</t>
    <phoneticPr fontId="22" type="noConversion"/>
  </si>
  <si>
    <t>1900340992489</t>
    <phoneticPr fontId="22" type="noConversion"/>
  </si>
  <si>
    <t>1900340992496</t>
    <phoneticPr fontId="22" type="noConversion"/>
  </si>
  <si>
    <t>1900340992493</t>
    <phoneticPr fontId="22" type="noConversion"/>
  </si>
  <si>
    <t>江北区桃花园综合楼405室</t>
  </si>
  <si>
    <t>/</t>
    <phoneticPr fontId="22" type="noConversion"/>
  </si>
  <si>
    <t>02547107</t>
    <phoneticPr fontId="22" type="noConversion"/>
  </si>
  <si>
    <t>现金</t>
    <phoneticPr fontId="22" type="noConversion"/>
  </si>
  <si>
    <t>023000458871</t>
    <phoneticPr fontId="22" type="noConversion"/>
  </si>
  <si>
    <t>023000458870</t>
    <phoneticPr fontId="22" type="noConversion"/>
  </si>
  <si>
    <t>42-474</t>
    <phoneticPr fontId="22" type="noConversion"/>
  </si>
  <si>
    <t>双</t>
    <phoneticPr fontId="22" type="noConversion"/>
  </si>
  <si>
    <t>0001562</t>
    <phoneticPr fontId="22" type="noConversion"/>
  </si>
  <si>
    <t>0001342</t>
    <phoneticPr fontId="22" type="noConversion"/>
  </si>
  <si>
    <t>0001343</t>
    <phoneticPr fontId="22" type="noConversion"/>
  </si>
  <si>
    <t>XS-2013-2-25-067</t>
    <phoneticPr fontId="22" type="noConversion"/>
  </si>
  <si>
    <t>340-4004</t>
    <phoneticPr fontId="22" type="noConversion"/>
  </si>
  <si>
    <t>Ultrafit 圣诞树型带线耳塞</t>
  </si>
  <si>
    <t>3.97*41+4*160</t>
    <phoneticPr fontId="60" type="noConversion"/>
  </si>
  <si>
    <t>0006666</t>
    <phoneticPr fontId="22" type="noConversion"/>
  </si>
  <si>
    <t>0006667</t>
    <phoneticPr fontId="22" type="noConversion"/>
  </si>
  <si>
    <t>双</t>
    <phoneticPr fontId="22" type="noConversion"/>
  </si>
  <si>
    <t>0871-63572513</t>
    <phoneticPr fontId="22" type="noConversion"/>
  </si>
  <si>
    <t>6001CN</t>
    <phoneticPr fontId="22" type="noConversion"/>
  </si>
  <si>
    <t>个</t>
    <phoneticPr fontId="22" type="noConversion"/>
  </si>
  <si>
    <t>0000328</t>
    <phoneticPr fontId="22" type="noConversion"/>
  </si>
  <si>
    <t>0006668</t>
    <phoneticPr fontId="22" type="noConversion"/>
  </si>
  <si>
    <t>重庆市北碚区蔡家岗镇嘉运大道121号</t>
  </si>
  <si>
    <t>陈濛</t>
    <phoneticPr fontId="22" type="noConversion"/>
  </si>
  <si>
    <t>13368328118</t>
  </si>
  <si>
    <t>韵达现付</t>
    <phoneticPr fontId="22" type="noConversion"/>
  </si>
  <si>
    <t>1900340992497</t>
    <phoneticPr fontId="22" type="noConversion"/>
  </si>
  <si>
    <t>通金货运到付</t>
    <phoneticPr fontId="22" type="noConversion"/>
  </si>
  <si>
    <t>0022803</t>
    <phoneticPr fontId="22" type="noConversion"/>
  </si>
  <si>
    <t>/</t>
    <phoneticPr fontId="22" type="noConversion"/>
  </si>
  <si>
    <t>XS-2013-02-27036</t>
    <phoneticPr fontId="22" type="noConversion"/>
  </si>
  <si>
    <t>件</t>
    <phoneticPr fontId="22" type="noConversion"/>
  </si>
  <si>
    <t>SA201302270041</t>
    <phoneticPr fontId="22" type="noConversion"/>
  </si>
  <si>
    <t>防护服F级（M）</t>
    <phoneticPr fontId="22" type="noConversion"/>
  </si>
  <si>
    <t>不开票</t>
    <phoneticPr fontId="22" type="noConversion"/>
  </si>
  <si>
    <t>0001344</t>
    <phoneticPr fontId="22" type="noConversion"/>
  </si>
  <si>
    <t>个人</t>
    <phoneticPr fontId="22" type="noConversion"/>
  </si>
  <si>
    <t>320P</t>
    <phoneticPr fontId="22" type="noConversion"/>
  </si>
  <si>
    <t>套</t>
    <phoneticPr fontId="22" type="noConversion"/>
  </si>
  <si>
    <t>0001346</t>
    <phoneticPr fontId="22" type="noConversion"/>
  </si>
  <si>
    <t>邮政现付</t>
    <phoneticPr fontId="22" type="noConversion"/>
  </si>
  <si>
    <t>云南省罗平县人民医院，药库负责人收</t>
    <phoneticPr fontId="22" type="noConversion"/>
  </si>
  <si>
    <t>药库负责人</t>
  </si>
  <si>
    <t>1092122455501</t>
    <phoneticPr fontId="22" type="noConversion"/>
  </si>
  <si>
    <t>447/4</t>
    <phoneticPr fontId="68" type="noConversion"/>
  </si>
  <si>
    <t>447/6</t>
    <phoneticPr fontId="68" type="noConversion"/>
  </si>
  <si>
    <t>457/4</t>
    <phoneticPr fontId="68" type="noConversion"/>
  </si>
  <si>
    <t>457/6</t>
    <phoneticPr fontId="68" type="noConversion"/>
  </si>
  <si>
    <t>37-176</t>
    <phoneticPr fontId="68" type="noConversion"/>
  </si>
  <si>
    <t>76-200</t>
    <phoneticPr fontId="68" type="noConversion"/>
  </si>
  <si>
    <r>
      <t>9</t>
    </r>
    <r>
      <rPr>
        <sz val="11"/>
        <color indexed="8"/>
        <rFont val="宋体"/>
        <family val="3"/>
        <charset val="134"/>
      </rPr>
      <t>2-600</t>
    </r>
    <phoneticPr fontId="68" type="noConversion"/>
  </si>
  <si>
    <t>93-311</t>
    <phoneticPr fontId="68" type="noConversion"/>
  </si>
  <si>
    <t>9002A</t>
    <phoneticPr fontId="22" type="noConversion"/>
  </si>
  <si>
    <t>南京嘉骏安全防护设备有限公司</t>
    <phoneticPr fontId="22" type="noConversion"/>
  </si>
  <si>
    <t>武汉利丰达贸易有限公司</t>
  </si>
  <si>
    <t>付</t>
    <phoneticPr fontId="22" type="noConversion"/>
  </si>
  <si>
    <t>片</t>
    <phoneticPr fontId="22" type="noConversion"/>
  </si>
  <si>
    <t>0001347</t>
    <phoneticPr fontId="22" type="noConversion"/>
  </si>
  <si>
    <t>自提</t>
    <phoneticPr fontId="22" type="noConversion"/>
  </si>
  <si>
    <t>/</t>
    <phoneticPr fontId="22" type="noConversion"/>
  </si>
  <si>
    <t>2013-2-5已付30970.6</t>
    <phoneticPr fontId="22" type="noConversion"/>
  </si>
  <si>
    <t>现金</t>
    <phoneticPr fontId="22" type="noConversion"/>
  </si>
  <si>
    <t>11-801</t>
    <phoneticPr fontId="22" type="noConversion"/>
  </si>
  <si>
    <t>87-650</t>
    <phoneticPr fontId="22" type="noConversion"/>
  </si>
  <si>
    <t>5N11</t>
    <phoneticPr fontId="22" type="noConversion"/>
  </si>
  <si>
    <t>9002A</t>
    <phoneticPr fontId="22" type="noConversion"/>
  </si>
  <si>
    <t>0006670</t>
    <phoneticPr fontId="22" type="noConversion"/>
  </si>
  <si>
    <t>0030183</t>
    <phoneticPr fontId="22" type="noConversion"/>
  </si>
  <si>
    <t>XSD2013030113035</t>
    <phoneticPr fontId="22" type="noConversion"/>
  </si>
  <si>
    <t>0001583</t>
    <phoneticPr fontId="22" type="noConversion"/>
  </si>
  <si>
    <r>
      <t>3303CN</t>
    </r>
    <r>
      <rPr>
        <sz val="12"/>
        <color indexed="8"/>
        <rFont val="宋体"/>
        <family val="3"/>
        <charset val="134"/>
      </rPr>
      <t xml:space="preserve"> </t>
    </r>
  </si>
  <si>
    <t>3N11CN</t>
    <phoneticPr fontId="22" type="noConversion"/>
  </si>
  <si>
    <t>37-175</t>
    <phoneticPr fontId="22" type="noConversion"/>
  </si>
  <si>
    <t>3303CN</t>
    <phoneticPr fontId="22" type="noConversion"/>
  </si>
  <si>
    <t>个</t>
    <phoneticPr fontId="22" type="noConversion"/>
  </si>
  <si>
    <t>02546591</t>
    <phoneticPr fontId="22" type="noConversion"/>
  </si>
  <si>
    <t>07206256</t>
    <phoneticPr fontId="60" type="noConversion"/>
  </si>
  <si>
    <t>双</t>
    <phoneticPr fontId="22" type="noConversion"/>
  </si>
  <si>
    <t>0001350</t>
    <phoneticPr fontId="22" type="noConversion"/>
  </si>
  <si>
    <t>南京坤宝安全防护设备有限公司</t>
    <phoneticPr fontId="22" type="noConversion"/>
  </si>
  <si>
    <t>绿色丁腈橡胶，无粉尘，工业级，限次用，0.12mm厚，24cm长S/M/L/XL</t>
  </si>
  <si>
    <r>
      <t>Extra Black-手套（</t>
    </r>
    <r>
      <rPr>
        <sz val="11"/>
        <color indexed="8"/>
        <rFont val="宋体"/>
        <family val="3"/>
        <charset val="134"/>
      </rPr>
      <t>L</t>
    </r>
    <r>
      <rPr>
        <sz val="11"/>
        <color indexed="8"/>
        <rFont val="宋体"/>
        <family val="3"/>
        <charset val="134"/>
      </rPr>
      <t>）</t>
    </r>
    <phoneticPr fontId="68" type="noConversion"/>
  </si>
  <si>
    <r>
      <t>Extra Black-手套（</t>
    </r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）</t>
    </r>
    <phoneticPr fontId="68" type="noConversion"/>
  </si>
  <si>
    <t>换货</t>
    <phoneticPr fontId="22" type="noConversion"/>
  </si>
  <si>
    <t>林长驱</t>
    <phoneticPr fontId="22" type="noConversion"/>
  </si>
  <si>
    <t>高新物流到付</t>
    <phoneticPr fontId="22" type="noConversion"/>
  </si>
  <si>
    <t>0011891</t>
    <phoneticPr fontId="22" type="noConversion"/>
  </si>
  <si>
    <t>龙国物流到付</t>
    <phoneticPr fontId="22" type="noConversion"/>
  </si>
  <si>
    <t>0301772</t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</si>
  <si>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</si>
  <si>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8-501</t>
    </r>
    <phoneticPr fontId="22" type="noConversion"/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</si>
  <si>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</si>
  <si>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r>
      <t>8</t>
    </r>
    <r>
      <rPr>
        <sz val="10"/>
        <color indexed="8"/>
        <rFont val="宋体"/>
        <family val="3"/>
        <charset val="134"/>
      </rPr>
      <t>7-650</t>
    </r>
    <phoneticPr fontId="22" type="noConversion"/>
  </si>
  <si>
    <r>
      <t>4</t>
    </r>
    <r>
      <rPr>
        <sz val="10"/>
        <color indexed="8"/>
        <rFont val="宋体"/>
        <family val="3"/>
        <charset val="134"/>
      </rPr>
      <t>8-125</t>
    </r>
    <phoneticPr fontId="22" type="noConversion"/>
  </si>
  <si>
    <t>Edge-手套（9码）</t>
    <phoneticPr fontId="22" type="noConversion"/>
  </si>
  <si>
    <t>Universal Plus-手套（M）</t>
    <phoneticPr fontId="22" type="noConversion"/>
  </si>
  <si>
    <t>Edge-手套（8码）</t>
    <phoneticPr fontId="22" type="noConversion"/>
  </si>
  <si>
    <t>李总拿给客户</t>
    <phoneticPr fontId="22" type="noConversion"/>
  </si>
  <si>
    <t>李端</t>
    <phoneticPr fontId="22" type="noConversion"/>
  </si>
  <si>
    <t>卷</t>
    <phoneticPr fontId="22" type="noConversion"/>
  </si>
  <si>
    <t>胶带</t>
    <phoneticPr fontId="22" type="noConversion"/>
  </si>
  <si>
    <t>TESA</t>
    <phoneticPr fontId="22" type="noConversion"/>
  </si>
  <si>
    <t>重庆正寅机械有限公司</t>
    <phoneticPr fontId="22" type="noConversion"/>
  </si>
  <si>
    <t>现金</t>
    <phoneticPr fontId="22" type="noConversion"/>
  </si>
  <si>
    <t>自提</t>
    <phoneticPr fontId="22" type="noConversion"/>
  </si>
  <si>
    <t>钟老师</t>
    <phoneticPr fontId="22" type="noConversion"/>
  </si>
  <si>
    <t>65475563</t>
    <phoneticPr fontId="22" type="noConversion"/>
  </si>
  <si>
    <t>/</t>
    <phoneticPr fontId="22" type="noConversion"/>
  </si>
  <si>
    <t>/</t>
    <phoneticPr fontId="22" type="noConversion"/>
  </si>
  <si>
    <t>107.64</t>
    <phoneticPr fontId="60" type="noConversion"/>
  </si>
  <si>
    <t>个</t>
    <phoneticPr fontId="22" type="noConversion"/>
  </si>
  <si>
    <t>付</t>
    <phoneticPr fontId="22" type="noConversion"/>
  </si>
  <si>
    <t>MJ2013022801</t>
    <phoneticPr fontId="22" type="noConversion"/>
  </si>
  <si>
    <t>南充经销商</t>
    <phoneticPr fontId="22" type="noConversion"/>
  </si>
  <si>
    <t>何德涛</t>
    <phoneticPr fontId="22" type="noConversion"/>
  </si>
  <si>
    <t>13309079368</t>
    <phoneticPr fontId="22" type="noConversion"/>
  </si>
  <si>
    <t>南充</t>
    <phoneticPr fontId="22" type="noConversion"/>
  </si>
  <si>
    <t>中行对公</t>
    <phoneticPr fontId="22" type="noConversion"/>
  </si>
  <si>
    <t>云南联嘉贸易有限公司</t>
  </si>
  <si>
    <t>云南省昆明市宏昌路名宅吉苑A-9号</t>
    <phoneticPr fontId="22" type="noConversion"/>
  </si>
  <si>
    <t>13888979718</t>
  </si>
  <si>
    <t>谢安贵</t>
    <phoneticPr fontId="22" type="noConversion"/>
  </si>
  <si>
    <t>0001351</t>
    <phoneticPr fontId="22" type="noConversion"/>
  </si>
  <si>
    <t>0001352</t>
    <phoneticPr fontId="22" type="noConversion"/>
  </si>
  <si>
    <t>0001354</t>
    <phoneticPr fontId="22" type="noConversion"/>
  </si>
  <si>
    <t>0006672</t>
    <phoneticPr fontId="22" type="noConversion"/>
  </si>
  <si>
    <t>0000348</t>
    <phoneticPr fontId="22" type="noConversion"/>
  </si>
  <si>
    <t>0000351</t>
    <phoneticPr fontId="22" type="noConversion"/>
  </si>
  <si>
    <t>顺昌建辉到付</t>
    <phoneticPr fontId="22" type="noConversion"/>
  </si>
  <si>
    <t>0008028</t>
    <phoneticPr fontId="22" type="noConversion"/>
  </si>
  <si>
    <t>0008254</t>
    <phoneticPr fontId="22" type="noConversion"/>
  </si>
  <si>
    <t>双片包装折叠式防护口罩（耳带式/ 标准号）</t>
  </si>
  <si>
    <t>9001A</t>
    <phoneticPr fontId="22" type="noConversion"/>
  </si>
  <si>
    <t>0006673</t>
    <phoneticPr fontId="22" type="noConversion"/>
  </si>
  <si>
    <t>送货上门</t>
    <phoneticPr fontId="22" type="noConversion"/>
  </si>
  <si>
    <t>9002A</t>
    <phoneticPr fontId="22" type="noConversion"/>
  </si>
  <si>
    <t>个</t>
    <phoneticPr fontId="22" type="noConversion"/>
  </si>
  <si>
    <t>付</t>
    <phoneticPr fontId="22" type="noConversion"/>
  </si>
  <si>
    <t>/</t>
    <phoneticPr fontId="22" type="noConversion"/>
  </si>
  <si>
    <t>XOUT161840</t>
    <phoneticPr fontId="22" type="noConversion"/>
  </si>
  <si>
    <t>0000136</t>
    <phoneticPr fontId="22" type="noConversion"/>
  </si>
  <si>
    <t>农行对私</t>
    <phoneticPr fontId="22" type="noConversion"/>
  </si>
  <si>
    <t>0020813</t>
    <phoneticPr fontId="22" type="noConversion"/>
  </si>
  <si>
    <t>0020813</t>
    <phoneticPr fontId="22" type="noConversion"/>
  </si>
  <si>
    <t>片</t>
    <phoneticPr fontId="22" type="noConversion"/>
  </si>
  <si>
    <t>18*10</t>
    <phoneticPr fontId="22" type="noConversion"/>
  </si>
  <si>
    <t>1500电工胶带</t>
    <phoneticPr fontId="22" type="noConversion"/>
  </si>
  <si>
    <t>卷</t>
    <phoneticPr fontId="22" type="noConversion"/>
  </si>
  <si>
    <t>0000337</t>
    <phoneticPr fontId="22" type="noConversion"/>
  </si>
  <si>
    <t>0001359</t>
    <phoneticPr fontId="22" type="noConversion"/>
  </si>
  <si>
    <t>0006676</t>
    <phoneticPr fontId="22" type="noConversion"/>
  </si>
  <si>
    <t>1621AF</t>
    <phoneticPr fontId="22" type="noConversion"/>
  </si>
  <si>
    <t>付</t>
    <phoneticPr fontId="22" type="noConversion"/>
  </si>
  <si>
    <t>现金</t>
    <phoneticPr fontId="22" type="noConversion"/>
  </si>
  <si>
    <t>0006674</t>
    <phoneticPr fontId="22" type="noConversion"/>
  </si>
  <si>
    <t>0006677</t>
    <phoneticPr fontId="22" type="noConversion"/>
  </si>
  <si>
    <t>0006678</t>
    <phoneticPr fontId="22" type="noConversion"/>
  </si>
  <si>
    <t>89.66</t>
    <phoneticPr fontId="60" type="noConversion"/>
  </si>
  <si>
    <t>长沙振湘劳保用品有限公司</t>
  </si>
  <si>
    <t>个</t>
    <phoneticPr fontId="22" type="noConversion"/>
  </si>
  <si>
    <t>0001362</t>
    <phoneticPr fontId="22" type="noConversion"/>
  </si>
  <si>
    <t>0000341</t>
    <phoneticPr fontId="22" type="noConversion"/>
  </si>
  <si>
    <t>个</t>
    <phoneticPr fontId="22" type="noConversion"/>
  </si>
  <si>
    <t>6001CN</t>
    <phoneticPr fontId="22" type="noConversion"/>
  </si>
  <si>
    <t>5N11</t>
    <phoneticPr fontId="22" type="noConversion"/>
  </si>
  <si>
    <t>片</t>
    <phoneticPr fontId="22" type="noConversion"/>
  </si>
  <si>
    <t>付</t>
    <phoneticPr fontId="22" type="noConversion"/>
  </si>
  <si>
    <t>2013-1-14已付12980</t>
    <phoneticPr fontId="22" type="noConversion"/>
  </si>
  <si>
    <t>9002A</t>
    <phoneticPr fontId="22" type="noConversion"/>
  </si>
  <si>
    <t>0001363</t>
    <phoneticPr fontId="22" type="noConversion"/>
  </si>
  <si>
    <t>中行对公</t>
    <phoneticPr fontId="22" type="noConversion"/>
  </si>
  <si>
    <t>/</t>
    <phoneticPr fontId="22" type="noConversion"/>
  </si>
  <si>
    <t>0001366</t>
    <phoneticPr fontId="22" type="noConversion"/>
  </si>
  <si>
    <t>/</t>
    <phoneticPr fontId="22" type="noConversion"/>
  </si>
  <si>
    <t>0001365</t>
    <phoneticPr fontId="22" type="noConversion"/>
  </si>
  <si>
    <t>0000130</t>
    <phoneticPr fontId="22" type="noConversion"/>
  </si>
  <si>
    <t>个</t>
    <phoneticPr fontId="22" type="noConversion"/>
  </si>
  <si>
    <t>0001364</t>
    <phoneticPr fontId="22" type="noConversion"/>
  </si>
  <si>
    <t>飞达货运现付</t>
    <phoneticPr fontId="22" type="noConversion"/>
  </si>
  <si>
    <t>0006679</t>
    <phoneticPr fontId="22" type="noConversion"/>
  </si>
  <si>
    <t>力宏物流现付</t>
    <phoneticPr fontId="22" type="noConversion"/>
  </si>
  <si>
    <t>0023187</t>
    <phoneticPr fontId="22" type="noConversion"/>
  </si>
  <si>
    <t>0000581</t>
    <phoneticPr fontId="22" type="noConversion"/>
  </si>
  <si>
    <t>0000147</t>
    <phoneticPr fontId="22" type="noConversion"/>
  </si>
  <si>
    <t>0001356</t>
    <phoneticPr fontId="22" type="noConversion"/>
  </si>
  <si>
    <t>0000148</t>
    <phoneticPr fontId="22" type="noConversion"/>
  </si>
  <si>
    <t>18*15+18.8*20</t>
    <phoneticPr fontId="60" type="noConversion"/>
  </si>
  <si>
    <t>周建丽</t>
    <phoneticPr fontId="22" type="noConversion"/>
  </si>
  <si>
    <t>18696772026</t>
    <phoneticPr fontId="22" type="noConversion"/>
  </si>
  <si>
    <t>9041A</t>
    <phoneticPr fontId="22" type="noConversion"/>
  </si>
  <si>
    <t>上海君安劳动保护用品有限公司</t>
    <phoneticPr fontId="22" type="noConversion"/>
  </si>
  <si>
    <t>中行对公</t>
    <phoneticPr fontId="22" type="noConversion"/>
  </si>
  <si>
    <t>上海市虹口区中山北一路1250号1号楼1908室</t>
  </si>
  <si>
    <t>9021A</t>
    <phoneticPr fontId="22" type="noConversion"/>
  </si>
  <si>
    <t>付</t>
    <phoneticPr fontId="22" type="noConversion"/>
  </si>
  <si>
    <t>9002V</t>
    <phoneticPr fontId="22" type="noConversion"/>
  </si>
  <si>
    <t>XOUT162544</t>
    <phoneticPr fontId="22" type="noConversion"/>
  </si>
  <si>
    <t>0001435</t>
    <phoneticPr fontId="22" type="noConversion"/>
  </si>
  <si>
    <t>0003173</t>
    <phoneticPr fontId="22" type="noConversion"/>
  </si>
  <si>
    <t>现金</t>
    <phoneticPr fontId="22" type="noConversion"/>
  </si>
  <si>
    <t>/</t>
    <phoneticPr fontId="22" type="noConversion"/>
  </si>
  <si>
    <t>023200191192</t>
    <phoneticPr fontId="22" type="noConversion"/>
  </si>
  <si>
    <t>顺丰到付</t>
    <phoneticPr fontId="22" type="noConversion"/>
  </si>
  <si>
    <t>0310204</t>
    <phoneticPr fontId="22" type="noConversion"/>
  </si>
  <si>
    <t>0001361</t>
    <phoneticPr fontId="22" type="noConversion"/>
  </si>
  <si>
    <t>高新物流到付</t>
    <phoneticPr fontId="22" type="noConversion"/>
  </si>
  <si>
    <t>0027116</t>
    <phoneticPr fontId="22" type="noConversion"/>
  </si>
  <si>
    <t>志康到付</t>
    <phoneticPr fontId="22" type="noConversion"/>
  </si>
  <si>
    <t>0000148</t>
    <phoneticPr fontId="22" type="noConversion"/>
  </si>
  <si>
    <t>9002V</t>
    <phoneticPr fontId="22" type="noConversion"/>
  </si>
  <si>
    <t>9021A</t>
    <phoneticPr fontId="22" type="noConversion"/>
  </si>
  <si>
    <t>0000351</t>
    <phoneticPr fontId="22" type="noConversion"/>
  </si>
  <si>
    <t>00673368</t>
    <phoneticPr fontId="22" type="noConversion"/>
  </si>
  <si>
    <t>00673371</t>
    <phoneticPr fontId="22" type="noConversion"/>
  </si>
  <si>
    <t>00673372</t>
    <phoneticPr fontId="22" type="noConversion"/>
  </si>
  <si>
    <t>02083797</t>
    <phoneticPr fontId="22" type="noConversion"/>
  </si>
  <si>
    <t>00673369</t>
    <phoneticPr fontId="22" type="noConversion"/>
  </si>
  <si>
    <t>00673370</t>
    <phoneticPr fontId="22" type="noConversion"/>
  </si>
  <si>
    <t>00673373</t>
    <phoneticPr fontId="22" type="noConversion"/>
  </si>
  <si>
    <t>00673373</t>
    <phoneticPr fontId="22" type="noConversion"/>
  </si>
  <si>
    <t>00673373</t>
    <phoneticPr fontId="22" type="noConversion"/>
  </si>
  <si>
    <t>重庆大足区智凤镇</t>
    <phoneticPr fontId="22" type="noConversion"/>
  </si>
  <si>
    <t>023200191208</t>
    <phoneticPr fontId="22" type="noConversion"/>
  </si>
  <si>
    <t>TESA</t>
  </si>
  <si>
    <t>中行对公</t>
    <phoneticPr fontId="22" type="noConversion"/>
  </si>
  <si>
    <t>付</t>
    <phoneticPr fontId="22" type="noConversion"/>
  </si>
  <si>
    <t>现金</t>
    <phoneticPr fontId="22" type="noConversion"/>
  </si>
  <si>
    <t>7*39.078  1样品</t>
    <phoneticPr fontId="60" type="noConversion"/>
  </si>
  <si>
    <t>个</t>
    <phoneticPr fontId="22" type="noConversion"/>
  </si>
  <si>
    <t>子弹型带线耳塞</t>
    <phoneticPr fontId="22" type="noConversion"/>
  </si>
  <si>
    <t>颗粒物防尘口罩-蓝色</t>
    <phoneticPr fontId="22" type="noConversion"/>
  </si>
  <si>
    <t>0001438</t>
    <phoneticPr fontId="22" type="noConversion"/>
  </si>
  <si>
    <t>0001437</t>
    <phoneticPr fontId="22" type="noConversion"/>
  </si>
  <si>
    <t>片</t>
    <phoneticPr fontId="22" type="noConversion"/>
  </si>
  <si>
    <t>1900340992994</t>
    <phoneticPr fontId="22" type="noConversion"/>
  </si>
  <si>
    <t>9002A</t>
    <phoneticPr fontId="22" type="noConversion"/>
  </si>
  <si>
    <t>个</t>
    <phoneticPr fontId="22" type="noConversion"/>
  </si>
  <si>
    <t>付</t>
    <phoneticPr fontId="22" type="noConversion"/>
  </si>
  <si>
    <t>嘉烨</t>
    <phoneticPr fontId="22" type="noConversion"/>
  </si>
  <si>
    <t>0006671/0006680</t>
    <phoneticPr fontId="22" type="noConversion"/>
  </si>
  <si>
    <t>0001357</t>
    <phoneticPr fontId="22" type="noConversion"/>
  </si>
  <si>
    <t>自提</t>
    <phoneticPr fontId="22" type="noConversion"/>
  </si>
  <si>
    <t>00673384</t>
    <phoneticPr fontId="22" type="noConversion"/>
  </si>
  <si>
    <t>1900340992995</t>
    <phoneticPr fontId="22" type="noConversion"/>
  </si>
  <si>
    <t>0003174</t>
    <phoneticPr fontId="22" type="noConversion"/>
  </si>
  <si>
    <t>00673382-83</t>
    <phoneticPr fontId="22" type="noConversion"/>
  </si>
  <si>
    <t>00673381</t>
    <phoneticPr fontId="22" type="noConversion"/>
  </si>
  <si>
    <t>/</t>
    <phoneticPr fontId="22" type="noConversion"/>
  </si>
  <si>
    <t>00673379-80</t>
    <phoneticPr fontId="22" type="noConversion"/>
  </si>
  <si>
    <t>00673378</t>
    <phoneticPr fontId="22" type="noConversion"/>
  </si>
  <si>
    <t>00673375-77</t>
    <phoneticPr fontId="22" type="noConversion"/>
  </si>
  <si>
    <t>00673374</t>
    <phoneticPr fontId="22" type="noConversion"/>
  </si>
  <si>
    <t>0001439</t>
    <phoneticPr fontId="22" type="noConversion"/>
  </si>
  <si>
    <t>片</t>
    <phoneticPr fontId="22" type="noConversion"/>
  </si>
  <si>
    <t>0000358</t>
    <phoneticPr fontId="22" type="noConversion"/>
  </si>
  <si>
    <t>0001440</t>
    <phoneticPr fontId="22" type="noConversion"/>
  </si>
  <si>
    <t>3.78</t>
    <phoneticPr fontId="60" type="noConversion"/>
  </si>
  <si>
    <t>飞达货运到付</t>
    <phoneticPr fontId="22" type="noConversion"/>
  </si>
  <si>
    <t>0000587</t>
    <phoneticPr fontId="22" type="noConversion"/>
  </si>
  <si>
    <t>0028639</t>
    <phoneticPr fontId="22" type="noConversion"/>
  </si>
  <si>
    <t>0310252</t>
    <phoneticPr fontId="22" type="noConversion"/>
  </si>
  <si>
    <t>0001255</t>
    <phoneticPr fontId="22" type="noConversion"/>
  </si>
  <si>
    <t>中友货运到付</t>
    <phoneticPr fontId="22" type="noConversion"/>
  </si>
  <si>
    <t>0003064</t>
    <phoneticPr fontId="22" type="noConversion"/>
  </si>
  <si>
    <t>付</t>
    <phoneticPr fontId="22" type="noConversion"/>
  </si>
  <si>
    <t>王丹维</t>
    <phoneticPr fontId="22" type="noConversion"/>
  </si>
  <si>
    <t>1365658407</t>
    <phoneticPr fontId="22" type="noConversion"/>
  </si>
  <si>
    <t>浙江台州市仙居县大战乡桐员溪</t>
    <phoneticPr fontId="22" type="noConversion"/>
  </si>
  <si>
    <t>1900340992996</t>
    <phoneticPr fontId="22" type="noConversion"/>
  </si>
  <si>
    <t>个人</t>
    <phoneticPr fontId="22" type="noConversion"/>
  </si>
  <si>
    <t>现金</t>
    <phoneticPr fontId="22" type="noConversion"/>
  </si>
  <si>
    <t>0001442</t>
    <phoneticPr fontId="22" type="noConversion"/>
  </si>
  <si>
    <t>自提</t>
    <phoneticPr fontId="22" type="noConversion"/>
  </si>
  <si>
    <t>/</t>
    <phoneticPr fontId="22" type="noConversion"/>
  </si>
  <si>
    <t>不开票</t>
    <phoneticPr fontId="22" type="noConversion"/>
  </si>
  <si>
    <t>0000385</t>
    <phoneticPr fontId="22" type="noConversion"/>
  </si>
  <si>
    <t>9042A</t>
    <phoneticPr fontId="22" type="noConversion"/>
  </si>
  <si>
    <t>个</t>
    <phoneticPr fontId="22" type="noConversion"/>
  </si>
  <si>
    <t>嘉烨</t>
    <phoneticPr fontId="22" type="noConversion"/>
  </si>
  <si>
    <t>0003177</t>
    <phoneticPr fontId="22" type="noConversion"/>
  </si>
  <si>
    <t>0003176</t>
    <phoneticPr fontId="22" type="noConversion"/>
  </si>
  <si>
    <t>重庆百货大楼股份有限公司劳保用品分公司</t>
    <phoneticPr fontId="22" type="noConversion"/>
  </si>
  <si>
    <t>0000386</t>
    <phoneticPr fontId="22" type="noConversion"/>
  </si>
  <si>
    <t>重庆通天焊机有限公司</t>
    <phoneticPr fontId="22" type="noConversion"/>
  </si>
  <si>
    <t>0001444</t>
    <phoneticPr fontId="22" type="noConversion"/>
  </si>
  <si>
    <t>0001445</t>
    <phoneticPr fontId="22" type="noConversion"/>
  </si>
  <si>
    <t>送货上门</t>
    <phoneticPr fontId="22" type="noConversion"/>
  </si>
  <si>
    <t>王老师</t>
    <phoneticPr fontId="22" type="noConversion"/>
  </si>
  <si>
    <t>13883350671</t>
    <phoneticPr fontId="22" type="noConversion"/>
  </si>
  <si>
    <t>重庆</t>
    <phoneticPr fontId="22" type="noConversion"/>
  </si>
  <si>
    <t>0001443</t>
    <phoneticPr fontId="22" type="noConversion"/>
  </si>
  <si>
    <t>23370380</t>
    <phoneticPr fontId="22" type="noConversion"/>
  </si>
  <si>
    <t>袁伟物流到付</t>
    <phoneticPr fontId="22" type="noConversion"/>
  </si>
  <si>
    <t>18821193763</t>
  </si>
  <si>
    <t>侯小姐</t>
    <phoneticPr fontId="22" type="noConversion"/>
  </si>
  <si>
    <t>普票</t>
    <phoneticPr fontId="22" type="noConversion"/>
  </si>
  <si>
    <t>0002500</t>
    <phoneticPr fontId="22" type="noConversion"/>
  </si>
  <si>
    <t>个</t>
    <phoneticPr fontId="22" type="noConversion"/>
  </si>
  <si>
    <t>/</t>
    <phoneticPr fontId="22" type="noConversion"/>
  </si>
  <si>
    <t>11-800</t>
  </si>
  <si>
    <t>重庆申蓉商贸有限公司</t>
    <phoneticPr fontId="22" type="noConversion"/>
  </si>
  <si>
    <t>11-800</t>
    <phoneticPr fontId="22" type="noConversion"/>
  </si>
  <si>
    <t>双</t>
    <phoneticPr fontId="22" type="noConversion"/>
  </si>
  <si>
    <t>0003178</t>
    <phoneticPr fontId="22" type="noConversion"/>
  </si>
  <si>
    <t>02083809</t>
    <phoneticPr fontId="22" type="noConversion"/>
  </si>
  <si>
    <t>23369542</t>
    <phoneticPr fontId="22" type="noConversion"/>
  </si>
  <si>
    <t>10565447</t>
    <phoneticPr fontId="22" type="noConversion"/>
  </si>
  <si>
    <t>30191654</t>
    <phoneticPr fontId="22" type="noConversion"/>
  </si>
  <si>
    <t>09156967</t>
    <phoneticPr fontId="22" type="noConversion"/>
  </si>
  <si>
    <t>重庆市血液中心</t>
    <phoneticPr fontId="22" type="noConversion"/>
  </si>
  <si>
    <t>6002CN</t>
    <phoneticPr fontId="22" type="noConversion"/>
  </si>
  <si>
    <t>/</t>
    <phoneticPr fontId="22" type="noConversion"/>
  </si>
  <si>
    <t>个</t>
    <phoneticPr fontId="22" type="noConversion"/>
  </si>
  <si>
    <t>0003179</t>
    <phoneticPr fontId="22" type="noConversion"/>
  </si>
  <si>
    <t>送货上门</t>
    <phoneticPr fontId="22" type="noConversion"/>
  </si>
  <si>
    <t>00400572</t>
    <phoneticPr fontId="22" type="noConversion"/>
  </si>
  <si>
    <t>00400571</t>
    <phoneticPr fontId="22" type="noConversion"/>
  </si>
  <si>
    <t>普票</t>
    <phoneticPr fontId="22" type="noConversion"/>
  </si>
  <si>
    <t>终端</t>
    <phoneticPr fontId="22" type="noConversion"/>
  </si>
  <si>
    <t>顺丰到付</t>
    <phoneticPr fontId="22" type="noConversion"/>
  </si>
  <si>
    <t>023200191253</t>
    <phoneticPr fontId="22" type="noConversion"/>
  </si>
  <si>
    <t>付</t>
    <phoneticPr fontId="22" type="noConversion"/>
  </si>
  <si>
    <t>片</t>
    <phoneticPr fontId="22" type="noConversion"/>
  </si>
  <si>
    <t>中行对公</t>
    <phoneticPr fontId="22" type="noConversion"/>
  </si>
  <si>
    <t>上海双马进出口有限公司</t>
  </si>
  <si>
    <t>个</t>
    <phoneticPr fontId="22" type="noConversion"/>
  </si>
  <si>
    <t>送货上门</t>
    <phoneticPr fontId="22" type="noConversion"/>
  </si>
  <si>
    <t>320D</t>
    <phoneticPr fontId="22" type="noConversion"/>
  </si>
  <si>
    <t>320P</t>
    <phoneticPr fontId="22" type="noConversion"/>
  </si>
  <si>
    <t>3N11CN</t>
    <phoneticPr fontId="22" type="noConversion"/>
  </si>
  <si>
    <t>套</t>
    <phoneticPr fontId="22" type="noConversion"/>
  </si>
  <si>
    <t>片</t>
    <phoneticPr fontId="22" type="noConversion"/>
  </si>
  <si>
    <t>0001446</t>
    <phoneticPr fontId="22" type="noConversion"/>
  </si>
  <si>
    <t>郑亦魏</t>
    <phoneticPr fontId="22" type="noConversion"/>
  </si>
  <si>
    <t>13761626307</t>
    <phoneticPr fontId="22" type="noConversion"/>
  </si>
  <si>
    <t>上海市黄浦区黄家阙路92号505室</t>
  </si>
  <si>
    <t>023200191244</t>
    <phoneticPr fontId="22" type="noConversion"/>
  </si>
  <si>
    <t>个人</t>
    <phoneticPr fontId="22" type="noConversion"/>
  </si>
  <si>
    <t>200*8.09 0嘉烨</t>
    <phoneticPr fontId="60" type="noConversion"/>
  </si>
  <si>
    <t>0001447</t>
    <phoneticPr fontId="22" type="noConversion"/>
  </si>
  <si>
    <t>林巧</t>
    <phoneticPr fontId="22" type="noConversion"/>
  </si>
  <si>
    <t>18615711299</t>
    <phoneticPr fontId="22" type="noConversion"/>
  </si>
  <si>
    <t>成都市武侯区临江东路3号</t>
    <phoneticPr fontId="22" type="noConversion"/>
  </si>
  <si>
    <t>023200191235</t>
    <phoneticPr fontId="22" type="noConversion"/>
  </si>
  <si>
    <t>嘉烨</t>
    <phoneticPr fontId="22" type="noConversion"/>
  </si>
  <si>
    <t>0003180</t>
    <phoneticPr fontId="22" type="noConversion"/>
  </si>
  <si>
    <t>6002CN</t>
    <phoneticPr fontId="22" type="noConversion"/>
  </si>
  <si>
    <t>/</t>
    <phoneticPr fontId="22" type="noConversion"/>
  </si>
  <si>
    <t>0*32+0*29 0嘉烨</t>
    <phoneticPr fontId="60" type="noConversion"/>
  </si>
  <si>
    <t>00281985</t>
    <phoneticPr fontId="22" type="noConversion"/>
  </si>
  <si>
    <t>/</t>
    <phoneticPr fontId="22" type="noConversion"/>
  </si>
  <si>
    <t>健隆双庆现付</t>
    <phoneticPr fontId="22" type="noConversion"/>
  </si>
  <si>
    <t>0082723</t>
    <phoneticPr fontId="22" type="noConversion"/>
  </si>
  <si>
    <t>爱马斯</t>
    <phoneticPr fontId="22" type="noConversion"/>
  </si>
  <si>
    <t>TLFCMD42100</t>
    <phoneticPr fontId="22" type="noConversion"/>
  </si>
  <si>
    <t>TLFCMD44100</t>
    <phoneticPr fontId="22" type="noConversion"/>
  </si>
  <si>
    <t>一次性医用乳胶无粉手套（中号）</t>
    <phoneticPr fontId="22" type="noConversion"/>
  </si>
  <si>
    <t>一次性医用乳胶无粉手套（小号）</t>
    <phoneticPr fontId="22" type="noConversion"/>
  </si>
  <si>
    <t>箱</t>
    <phoneticPr fontId="22" type="noConversion"/>
  </si>
  <si>
    <t>1611HC</t>
    <phoneticPr fontId="22" type="noConversion"/>
  </si>
  <si>
    <t>391-1000</t>
    <phoneticPr fontId="22" type="noConversion"/>
  </si>
  <si>
    <t>391-1001</t>
    <phoneticPr fontId="22" type="noConversion"/>
  </si>
  <si>
    <t>耳塞分配器底座</t>
  </si>
  <si>
    <t>个</t>
    <phoneticPr fontId="22" type="noConversion"/>
  </si>
  <si>
    <t>付</t>
    <phoneticPr fontId="22" type="noConversion"/>
  </si>
  <si>
    <t>圆柱型耳塞(配合耳塞分配器使用）</t>
    <phoneticPr fontId="22" type="noConversion"/>
  </si>
  <si>
    <t>92-600</t>
    <phoneticPr fontId="22" type="noConversion"/>
  </si>
  <si>
    <r>
      <t>3</t>
    </r>
    <r>
      <rPr>
        <sz val="10"/>
        <color indexed="8"/>
        <rFont val="宋体"/>
        <family val="3"/>
        <charset val="134"/>
      </rPr>
      <t>20D</t>
    </r>
    <phoneticPr fontId="22" type="noConversion"/>
  </si>
  <si>
    <t>套</t>
    <phoneticPr fontId="22" type="noConversion"/>
  </si>
  <si>
    <t>0001449</t>
    <phoneticPr fontId="22" type="noConversion"/>
  </si>
  <si>
    <t>峨嵋</t>
  </si>
  <si>
    <t>赵文久</t>
    <phoneticPr fontId="22" type="noConversion"/>
  </si>
  <si>
    <t>13981381862</t>
  </si>
  <si>
    <t>中行对公</t>
    <phoneticPr fontId="22" type="noConversion"/>
  </si>
  <si>
    <t>391-1001</t>
    <phoneticPr fontId="22" type="noConversion"/>
  </si>
  <si>
    <t>391-1000</t>
    <phoneticPr fontId="22" type="noConversion"/>
  </si>
  <si>
    <t>391-1004</t>
    <phoneticPr fontId="22" type="noConversion"/>
  </si>
  <si>
    <t>MSA</t>
    <phoneticPr fontId="22" type="noConversion"/>
  </si>
  <si>
    <t>V-A</t>
    <phoneticPr fontId="22" type="noConversion"/>
  </si>
  <si>
    <t>红色安全帽</t>
    <phoneticPr fontId="22" type="noConversion"/>
  </si>
  <si>
    <t>黄色安全帽</t>
    <phoneticPr fontId="22" type="noConversion"/>
  </si>
  <si>
    <t>付</t>
    <phoneticPr fontId="22" type="noConversion"/>
  </si>
  <si>
    <t>个</t>
    <phoneticPr fontId="22" type="noConversion"/>
  </si>
  <si>
    <t>顶</t>
    <phoneticPr fontId="22" type="noConversion"/>
  </si>
  <si>
    <t>高降噪子弹型耳塞(配合耳塞分配器使用)</t>
    <phoneticPr fontId="22" type="noConversion"/>
  </si>
  <si>
    <t>换货</t>
    <phoneticPr fontId="22" type="noConversion"/>
  </si>
  <si>
    <t>艾迈柯思贸易（上海）有限公司</t>
  </si>
  <si>
    <t>/</t>
    <phoneticPr fontId="22" type="noConversion"/>
  </si>
  <si>
    <t>帆布手套</t>
    <phoneticPr fontId="22" type="noConversion"/>
  </si>
  <si>
    <t>皮围裙</t>
    <phoneticPr fontId="22" type="noConversion"/>
  </si>
  <si>
    <t>线手套</t>
    <phoneticPr fontId="22" type="noConversion"/>
  </si>
  <si>
    <t>耐油手套</t>
    <phoneticPr fontId="22" type="noConversion"/>
  </si>
  <si>
    <t>帆布围裙</t>
    <phoneticPr fontId="22" type="noConversion"/>
  </si>
  <si>
    <t>6001CN</t>
    <phoneticPr fontId="22" type="noConversion"/>
  </si>
  <si>
    <t>双</t>
    <phoneticPr fontId="22" type="noConversion"/>
  </si>
  <si>
    <t>条</t>
    <phoneticPr fontId="22" type="noConversion"/>
  </si>
  <si>
    <t>退货</t>
    <phoneticPr fontId="22" type="noConversion"/>
  </si>
  <si>
    <t>0000365</t>
    <phoneticPr fontId="22" type="noConversion"/>
  </si>
  <si>
    <t>0000372</t>
    <phoneticPr fontId="22" type="noConversion"/>
  </si>
  <si>
    <t>现金</t>
    <phoneticPr fontId="22" type="noConversion"/>
  </si>
  <si>
    <t>0001454</t>
    <phoneticPr fontId="22" type="noConversion"/>
  </si>
  <si>
    <t>片</t>
    <phoneticPr fontId="22" type="noConversion"/>
  </si>
  <si>
    <t>0001451</t>
    <phoneticPr fontId="22" type="noConversion"/>
  </si>
  <si>
    <t>0001453</t>
    <phoneticPr fontId="22" type="noConversion"/>
  </si>
  <si>
    <t>00353844</t>
    <phoneticPr fontId="22" type="noConversion"/>
  </si>
  <si>
    <t>永川区红炉镇会龙桥村6社</t>
    <phoneticPr fontId="22" type="noConversion"/>
  </si>
  <si>
    <t>1900341024116</t>
    <phoneticPr fontId="22" type="noConversion"/>
  </si>
  <si>
    <t>00353845-3855</t>
    <phoneticPr fontId="22" type="noConversion"/>
  </si>
  <si>
    <t>1900341024117</t>
    <phoneticPr fontId="22" type="noConversion"/>
  </si>
  <si>
    <t>00353841</t>
    <phoneticPr fontId="22" type="noConversion"/>
  </si>
  <si>
    <t>1900341024118</t>
    <phoneticPr fontId="22" type="noConversion"/>
  </si>
  <si>
    <t>00353842-3843</t>
    <phoneticPr fontId="22" type="noConversion"/>
  </si>
  <si>
    <t>1900341024120</t>
    <phoneticPr fontId="22" type="noConversion"/>
  </si>
  <si>
    <t>0013130</t>
    <phoneticPr fontId="22" type="noConversion"/>
  </si>
  <si>
    <t>0011560</t>
    <phoneticPr fontId="22" type="noConversion"/>
  </si>
  <si>
    <t>派送样品备用</t>
    <phoneticPr fontId="22" type="noConversion"/>
  </si>
  <si>
    <t>罗丽</t>
    <phoneticPr fontId="22" type="noConversion"/>
  </si>
  <si>
    <t>37-176</t>
    <phoneticPr fontId="22" type="noConversion"/>
  </si>
  <si>
    <t>8号</t>
    <phoneticPr fontId="22" type="noConversion"/>
  </si>
  <si>
    <t>87-650</t>
    <phoneticPr fontId="22" type="noConversion"/>
  </si>
  <si>
    <t>87-950</t>
    <phoneticPr fontId="22" type="noConversion"/>
  </si>
  <si>
    <t>92-600</t>
    <phoneticPr fontId="22" type="noConversion"/>
  </si>
  <si>
    <t>11-624</t>
    <phoneticPr fontId="22" type="noConversion"/>
  </si>
  <si>
    <t>48-125</t>
    <phoneticPr fontId="22" type="noConversion"/>
  </si>
  <si>
    <t>48-126</t>
    <phoneticPr fontId="22" type="noConversion"/>
  </si>
  <si>
    <t>48-305</t>
    <phoneticPr fontId="22" type="noConversion"/>
  </si>
  <si>
    <t>48-500</t>
    <phoneticPr fontId="22" type="noConversion"/>
  </si>
  <si>
    <t>48-501</t>
    <phoneticPr fontId="22" type="noConversion"/>
  </si>
  <si>
    <t>48-700</t>
    <phoneticPr fontId="22" type="noConversion"/>
  </si>
  <si>
    <t>76-202</t>
    <phoneticPr fontId="22" type="noConversion"/>
  </si>
  <si>
    <t>76-501</t>
    <phoneticPr fontId="22" type="noConversion"/>
  </si>
  <si>
    <t>M</t>
    <phoneticPr fontId="22" type="noConversion"/>
  </si>
  <si>
    <t>颗粒物呼吸防护套装经济型</t>
    <phoneticPr fontId="22" type="noConversion"/>
  </si>
  <si>
    <t>0001352</t>
    <phoneticPr fontId="22" type="noConversion"/>
  </si>
  <si>
    <t>飞达货运到付</t>
    <phoneticPr fontId="22" type="noConversion"/>
  </si>
  <si>
    <t>0001112</t>
    <phoneticPr fontId="22" type="noConversion"/>
  </si>
  <si>
    <t>0021286</t>
    <phoneticPr fontId="22" type="noConversion"/>
  </si>
  <si>
    <t>0021285</t>
    <phoneticPr fontId="22" type="noConversion"/>
  </si>
  <si>
    <t>0000375</t>
    <phoneticPr fontId="22" type="noConversion"/>
  </si>
  <si>
    <t>0000374</t>
    <phoneticPr fontId="22" type="noConversion"/>
  </si>
  <si>
    <t>S系列头罩</t>
    <phoneticPr fontId="22" type="noConversion"/>
  </si>
  <si>
    <t>呼吸管</t>
    <phoneticPr fontId="22" type="noConversion"/>
  </si>
  <si>
    <t>空气调节阀</t>
    <phoneticPr fontId="22" type="noConversion"/>
  </si>
  <si>
    <t>空气管</t>
    <phoneticPr fontId="22" type="noConversion"/>
  </si>
  <si>
    <t>空气过滤控制板</t>
    <phoneticPr fontId="22" type="noConversion"/>
  </si>
  <si>
    <t>个</t>
    <phoneticPr fontId="22" type="noConversion"/>
  </si>
  <si>
    <t>根</t>
    <phoneticPr fontId="22" type="noConversion"/>
  </si>
  <si>
    <t>台</t>
    <phoneticPr fontId="22" type="noConversion"/>
  </si>
  <si>
    <t>重庆腾富物资有限公司</t>
    <phoneticPr fontId="22" type="noConversion"/>
  </si>
  <si>
    <t>0001456</t>
    <phoneticPr fontId="22" type="noConversion"/>
  </si>
  <si>
    <t>00400574</t>
    <phoneticPr fontId="22" type="noConversion"/>
  </si>
  <si>
    <t>中行对公</t>
    <phoneticPr fontId="22" type="noConversion"/>
  </si>
  <si>
    <t>00400573</t>
    <phoneticPr fontId="22" type="noConversion"/>
  </si>
  <si>
    <t>1900341024119</t>
    <phoneticPr fontId="22" type="noConversion"/>
  </si>
  <si>
    <t>重庆市九龙坡区老顶坡恒鑫名城兰美路118-47号</t>
    <phoneticPr fontId="22" type="noConversion"/>
  </si>
  <si>
    <t>0001458</t>
    <phoneticPr fontId="22" type="noConversion"/>
  </si>
  <si>
    <t>9002A</t>
    <phoneticPr fontId="22" type="noConversion"/>
  </si>
  <si>
    <t>0001455</t>
    <phoneticPr fontId="22" type="noConversion"/>
  </si>
  <si>
    <t>现金</t>
    <phoneticPr fontId="22" type="noConversion"/>
  </si>
  <si>
    <t>/</t>
    <phoneticPr fontId="22" type="noConversion"/>
  </si>
  <si>
    <t>退货</t>
    <phoneticPr fontId="22" type="noConversion"/>
  </si>
  <si>
    <t>0003364</t>
    <phoneticPr fontId="22" type="noConversion"/>
  </si>
  <si>
    <t>龙水</t>
    <phoneticPr fontId="22" type="noConversion"/>
  </si>
  <si>
    <t>0004262</t>
    <phoneticPr fontId="22" type="noConversion"/>
  </si>
  <si>
    <t>金宏达0007435</t>
    <phoneticPr fontId="22" type="noConversion"/>
  </si>
  <si>
    <t>XS-2013-03-20-046</t>
    <phoneticPr fontId="22" type="noConversion"/>
  </si>
  <si>
    <t>重通集团成飞（大安）风电设备有限公司</t>
  </si>
  <si>
    <t>个</t>
    <phoneticPr fontId="22" type="noConversion"/>
  </si>
  <si>
    <t>0001459</t>
    <phoneticPr fontId="22" type="noConversion"/>
  </si>
  <si>
    <t>15500258383</t>
    <phoneticPr fontId="22" type="noConversion"/>
  </si>
  <si>
    <t>毛容</t>
    <phoneticPr fontId="22" type="noConversion"/>
  </si>
  <si>
    <t>终端</t>
    <phoneticPr fontId="22" type="noConversion"/>
  </si>
  <si>
    <t>手工发票</t>
    <phoneticPr fontId="22" type="noConversion"/>
  </si>
  <si>
    <t>320D</t>
    <phoneticPr fontId="22" type="noConversion"/>
  </si>
  <si>
    <t>颗粒物呼吸防护套装经济型</t>
  </si>
  <si>
    <t>套</t>
    <phoneticPr fontId="22" type="noConversion"/>
  </si>
  <si>
    <t>0003183</t>
    <phoneticPr fontId="22" type="noConversion"/>
  </si>
  <si>
    <t>0001460</t>
    <phoneticPr fontId="22" type="noConversion"/>
  </si>
  <si>
    <t>送货上门</t>
    <phoneticPr fontId="22" type="noConversion"/>
  </si>
  <si>
    <t>耐酸碱手套 M</t>
    <phoneticPr fontId="22" type="noConversion"/>
  </si>
  <si>
    <t>重庆南洋劳保用品有限公司</t>
    <phoneticPr fontId="22" type="noConversion"/>
  </si>
  <si>
    <t>加厚帆布手套</t>
    <phoneticPr fontId="22" type="noConversion"/>
  </si>
  <si>
    <t>/</t>
    <phoneticPr fontId="22" type="noConversion"/>
  </si>
  <si>
    <t>皮围裙</t>
    <phoneticPr fontId="22" type="noConversion"/>
  </si>
  <si>
    <t>线手套</t>
    <phoneticPr fontId="22" type="noConversion"/>
  </si>
  <si>
    <t>牛仔布围裙</t>
    <phoneticPr fontId="22" type="noConversion"/>
  </si>
  <si>
    <t>双</t>
    <phoneticPr fontId="22" type="noConversion"/>
  </si>
  <si>
    <t>条</t>
    <phoneticPr fontId="22" type="noConversion"/>
  </si>
  <si>
    <t>XOUT163951</t>
    <phoneticPr fontId="22" type="noConversion"/>
  </si>
  <si>
    <t>3301CN</t>
    <phoneticPr fontId="22" type="noConversion"/>
  </si>
  <si>
    <t>0003182</t>
    <phoneticPr fontId="22" type="noConversion"/>
  </si>
  <si>
    <t>有机蒸气滤毒盒</t>
    <phoneticPr fontId="60" type="noConversion"/>
  </si>
  <si>
    <t>现金</t>
    <phoneticPr fontId="22" type="noConversion"/>
  </si>
  <si>
    <t>片</t>
    <phoneticPr fontId="22" type="noConversion"/>
  </si>
  <si>
    <t>0003185</t>
    <phoneticPr fontId="22" type="noConversion"/>
  </si>
  <si>
    <t>SA201303200143</t>
    <phoneticPr fontId="22" type="noConversion"/>
  </si>
  <si>
    <t>晟达物流到付</t>
    <phoneticPr fontId="22" type="noConversion"/>
  </si>
  <si>
    <t>0000085</t>
    <phoneticPr fontId="22" type="noConversion"/>
  </si>
  <si>
    <t>金宏达物流</t>
    <phoneticPr fontId="22" type="noConversion"/>
  </si>
  <si>
    <t>0003843</t>
    <phoneticPr fontId="22" type="noConversion"/>
  </si>
  <si>
    <t>03538010</t>
    <phoneticPr fontId="22" type="noConversion"/>
  </si>
  <si>
    <t>送货上门</t>
    <phoneticPr fontId="22" type="noConversion"/>
  </si>
  <si>
    <t>/</t>
    <phoneticPr fontId="22" type="noConversion"/>
  </si>
  <si>
    <t>重庆百货大楼股份有限公司劳保用品分公司</t>
    <phoneticPr fontId="22" type="noConversion"/>
  </si>
  <si>
    <t>双</t>
    <phoneticPr fontId="22" type="noConversion"/>
  </si>
  <si>
    <t>个人</t>
    <phoneticPr fontId="22" type="noConversion"/>
  </si>
  <si>
    <t>个</t>
    <phoneticPr fontId="22" type="noConversion"/>
  </si>
  <si>
    <t>现金</t>
    <phoneticPr fontId="22" type="noConversion"/>
  </si>
  <si>
    <t>/</t>
    <phoneticPr fontId="22" type="noConversion"/>
  </si>
  <si>
    <t>件</t>
    <phoneticPr fontId="22" type="noConversion"/>
  </si>
  <si>
    <t>0001461</t>
    <phoneticPr fontId="22" type="noConversion"/>
  </si>
  <si>
    <t>付</t>
    <phoneticPr fontId="22" type="noConversion"/>
  </si>
  <si>
    <t>0001452</t>
    <phoneticPr fontId="22" type="noConversion"/>
  </si>
  <si>
    <t>反光背心</t>
    <phoneticPr fontId="22" type="noConversion"/>
  </si>
  <si>
    <t>0003376</t>
    <phoneticPr fontId="22" type="noConversion"/>
  </si>
  <si>
    <t>件</t>
    <phoneticPr fontId="22" type="noConversion"/>
  </si>
  <si>
    <t>开会用</t>
    <phoneticPr fontId="22" type="noConversion"/>
  </si>
  <si>
    <t>防护服L</t>
  </si>
  <si>
    <r>
      <t>3</t>
    </r>
    <r>
      <rPr>
        <sz val="10"/>
        <color indexed="8"/>
        <rFont val="宋体"/>
        <family val="3"/>
        <charset val="134"/>
      </rPr>
      <t>7-176</t>
    </r>
    <phoneticPr fontId="22" type="noConversion"/>
  </si>
  <si>
    <t>双</t>
    <phoneticPr fontId="22" type="noConversion"/>
  </si>
  <si>
    <t>9号</t>
    <phoneticPr fontId="22" type="noConversion"/>
  </si>
  <si>
    <t>付</t>
    <phoneticPr fontId="22" type="noConversion"/>
  </si>
  <si>
    <t>02546691</t>
    <phoneticPr fontId="22" type="noConversion"/>
  </si>
  <si>
    <t>/</t>
    <phoneticPr fontId="22" type="noConversion"/>
  </si>
  <si>
    <t>0001031</t>
    <phoneticPr fontId="22" type="noConversion"/>
  </si>
  <si>
    <t>0414067</t>
    <phoneticPr fontId="22" type="noConversion"/>
  </si>
  <si>
    <t>个</t>
    <phoneticPr fontId="22" type="noConversion"/>
  </si>
  <si>
    <t>00353856</t>
    <phoneticPr fontId="22" type="noConversion"/>
  </si>
  <si>
    <t>1900364436620</t>
    <phoneticPr fontId="22" type="noConversion"/>
  </si>
  <si>
    <t>3301CN</t>
    <phoneticPr fontId="22" type="noConversion"/>
  </si>
  <si>
    <t>3N11CN</t>
    <phoneticPr fontId="22" type="noConversion"/>
  </si>
  <si>
    <t>385CN</t>
    <phoneticPr fontId="22" type="noConversion"/>
  </si>
  <si>
    <t>片</t>
    <phoneticPr fontId="22" type="noConversion"/>
  </si>
  <si>
    <t>0001463</t>
    <phoneticPr fontId="22" type="noConversion"/>
  </si>
  <si>
    <t>武汉利丰达贸易有限公司</t>
    <phoneticPr fontId="22" type="noConversion"/>
  </si>
  <si>
    <t>620P</t>
    <phoneticPr fontId="22" type="noConversion"/>
  </si>
  <si>
    <t>尘毒呼吸防护套装(MRO)实用型</t>
    <phoneticPr fontId="22" type="noConversion"/>
  </si>
  <si>
    <t>套</t>
    <phoneticPr fontId="22" type="noConversion"/>
  </si>
  <si>
    <t>0001464-1466</t>
    <phoneticPr fontId="22" type="noConversion"/>
  </si>
  <si>
    <t>9嘉烨</t>
    <phoneticPr fontId="60" type="noConversion"/>
  </si>
  <si>
    <t>29.05*4+24.2*166</t>
    <phoneticPr fontId="60" type="noConversion"/>
  </si>
  <si>
    <t>37-175</t>
    <phoneticPr fontId="22" type="noConversion"/>
  </si>
  <si>
    <t>/</t>
    <phoneticPr fontId="22" type="noConversion"/>
  </si>
  <si>
    <t>00671541</t>
    <phoneticPr fontId="22" type="noConversion"/>
  </si>
  <si>
    <t>9042A</t>
    <phoneticPr fontId="22" type="noConversion"/>
  </si>
  <si>
    <t>0003211</t>
    <phoneticPr fontId="22" type="noConversion"/>
  </si>
  <si>
    <t>0003389</t>
    <phoneticPr fontId="22" type="noConversion"/>
  </si>
  <si>
    <t>0003189</t>
    <phoneticPr fontId="22" type="noConversion"/>
  </si>
  <si>
    <t>9002A</t>
    <phoneticPr fontId="22" type="noConversion"/>
  </si>
  <si>
    <t>个</t>
    <phoneticPr fontId="22" type="noConversion"/>
  </si>
  <si>
    <t>折叠式防护口罩(环保包装）</t>
    <phoneticPr fontId="22" type="noConversion"/>
  </si>
  <si>
    <t>0003210</t>
    <phoneticPr fontId="22" type="noConversion"/>
  </si>
  <si>
    <t>0003186</t>
    <phoneticPr fontId="22" type="noConversion"/>
  </si>
  <si>
    <t>付</t>
    <phoneticPr fontId="22" type="noConversion"/>
  </si>
  <si>
    <t>子弹型带线耳塞</t>
    <phoneticPr fontId="22" type="noConversion"/>
  </si>
  <si>
    <t>建辉货运到付</t>
    <phoneticPr fontId="22" type="noConversion"/>
  </si>
  <si>
    <t>0009539</t>
    <phoneticPr fontId="22" type="noConversion"/>
  </si>
  <si>
    <t>顺昌建辉到付</t>
    <phoneticPr fontId="22" type="noConversion"/>
  </si>
  <si>
    <t>0011831</t>
    <phoneticPr fontId="22" type="noConversion"/>
  </si>
  <si>
    <t>顺昌建辉现付</t>
    <phoneticPr fontId="22" type="noConversion"/>
  </si>
  <si>
    <t>0011832</t>
    <phoneticPr fontId="22" type="noConversion"/>
  </si>
  <si>
    <t>0002775</t>
    <phoneticPr fontId="22" type="noConversion"/>
  </si>
  <si>
    <t>0003212</t>
    <phoneticPr fontId="22" type="noConversion"/>
  </si>
  <si>
    <t>318-1005</t>
    <phoneticPr fontId="22" type="noConversion"/>
  </si>
  <si>
    <t>片</t>
    <phoneticPr fontId="22" type="noConversion"/>
  </si>
  <si>
    <t>320D</t>
    <phoneticPr fontId="22" type="noConversion"/>
  </si>
  <si>
    <t>0003188</t>
    <phoneticPr fontId="22" type="noConversion"/>
  </si>
  <si>
    <t>终端</t>
    <phoneticPr fontId="22" type="noConversion"/>
  </si>
  <si>
    <t>叶志强</t>
    <phoneticPr fontId="22" type="noConversion"/>
  </si>
  <si>
    <t>18990938243</t>
  </si>
  <si>
    <t>/</t>
    <phoneticPr fontId="22" type="noConversion"/>
  </si>
  <si>
    <t>TLCV46100</t>
    <phoneticPr fontId="22" type="noConversion"/>
  </si>
  <si>
    <t>一次性乳胶手套（经济型）大号</t>
    <phoneticPr fontId="22" type="noConversion"/>
  </si>
  <si>
    <t>箱</t>
    <phoneticPr fontId="22" type="noConversion"/>
  </si>
  <si>
    <t>重庆鸽牌电线电缆有限公司</t>
    <phoneticPr fontId="22" type="noConversion"/>
  </si>
  <si>
    <t>赵开源</t>
    <phoneticPr fontId="22" type="noConversion"/>
  </si>
  <si>
    <t>15826065873</t>
    <phoneticPr fontId="22" type="noConversion"/>
  </si>
  <si>
    <t>重庆市渝北区空港大道998号</t>
    <phoneticPr fontId="22" type="noConversion"/>
  </si>
  <si>
    <t>徐州市广通科技发展有限公司</t>
    <phoneticPr fontId="22" type="noConversion"/>
  </si>
  <si>
    <t>压缩空气过滤及调节控制板</t>
    <phoneticPr fontId="22" type="noConversion"/>
  </si>
  <si>
    <t>W-2806</t>
    <phoneticPr fontId="22" type="noConversion"/>
  </si>
  <si>
    <t>个</t>
    <phoneticPr fontId="22" type="noConversion"/>
  </si>
  <si>
    <t>压缩空气管</t>
    <phoneticPr fontId="22" type="noConversion"/>
  </si>
  <si>
    <t>W-9435-50</t>
    <phoneticPr fontId="22" type="noConversion"/>
  </si>
  <si>
    <t>V-300</t>
    <phoneticPr fontId="22" type="noConversion"/>
  </si>
  <si>
    <t>BT-20S</t>
    <phoneticPr fontId="22" type="noConversion"/>
  </si>
  <si>
    <t>S-757</t>
    <phoneticPr fontId="22" type="noConversion"/>
  </si>
  <si>
    <t>空气调节阀</t>
    <phoneticPr fontId="22" type="noConversion"/>
  </si>
  <si>
    <t>呼吸管</t>
    <phoneticPr fontId="22" type="noConversion"/>
  </si>
  <si>
    <t>喷涂头罩</t>
    <phoneticPr fontId="22" type="noConversion"/>
  </si>
  <si>
    <t>根</t>
    <phoneticPr fontId="22" type="noConversion"/>
  </si>
  <si>
    <t>V-100</t>
    <phoneticPr fontId="22" type="noConversion"/>
  </si>
  <si>
    <t>送风电机套件</t>
    <phoneticPr fontId="22" type="noConversion"/>
  </si>
  <si>
    <t>头罩</t>
    <phoneticPr fontId="22" type="noConversion"/>
  </si>
  <si>
    <t>TR-315E</t>
    <phoneticPr fontId="22" type="noConversion"/>
  </si>
  <si>
    <t>S-533L</t>
    <phoneticPr fontId="22" type="noConversion"/>
  </si>
  <si>
    <t>片</t>
    <phoneticPr fontId="22" type="noConversion"/>
  </si>
  <si>
    <t>XSD-2013-03-28-00244</t>
    <phoneticPr fontId="22" type="noConversion"/>
  </si>
  <si>
    <t>0003213</t>
    <phoneticPr fontId="22" type="noConversion"/>
  </si>
  <si>
    <t>顶</t>
    <phoneticPr fontId="22" type="noConversion"/>
  </si>
  <si>
    <t>个人</t>
    <phoneticPr fontId="22" type="noConversion"/>
  </si>
  <si>
    <t>现金</t>
    <phoneticPr fontId="22" type="noConversion"/>
  </si>
  <si>
    <t>87-650</t>
    <phoneticPr fontId="22" type="noConversion"/>
  </si>
  <si>
    <t>9042A</t>
    <phoneticPr fontId="22" type="noConversion"/>
  </si>
  <si>
    <t>0003214</t>
    <phoneticPr fontId="22" type="noConversion"/>
  </si>
  <si>
    <t>Universal Plus-手套（L）</t>
  </si>
  <si>
    <t>9041A</t>
    <phoneticPr fontId="22" type="noConversion"/>
  </si>
  <si>
    <t>付</t>
    <phoneticPr fontId="22" type="noConversion"/>
  </si>
  <si>
    <t>潍坊鲲鹏安全防护用品有限公司</t>
    <phoneticPr fontId="22" type="noConversion"/>
  </si>
  <si>
    <t>广州市南方劳保用品供应有限公司</t>
    <phoneticPr fontId="22" type="noConversion"/>
  </si>
  <si>
    <t>1711AF</t>
    <phoneticPr fontId="22" type="noConversion"/>
  </si>
  <si>
    <t>0003215</t>
    <phoneticPr fontId="22" type="noConversion"/>
  </si>
  <si>
    <t>09234588</t>
    <phoneticPr fontId="22" type="noConversion"/>
  </si>
  <si>
    <t>/</t>
    <phoneticPr fontId="22" type="noConversion"/>
  </si>
  <si>
    <t>健隆双庆到付</t>
    <phoneticPr fontId="22" type="noConversion"/>
  </si>
  <si>
    <t>0056239</t>
    <phoneticPr fontId="22" type="noConversion"/>
  </si>
  <si>
    <t>0008730</t>
    <phoneticPr fontId="22" type="noConversion"/>
  </si>
  <si>
    <t>0003221</t>
    <phoneticPr fontId="22" type="noConversion"/>
  </si>
  <si>
    <t>09770183</t>
    <phoneticPr fontId="22" type="noConversion"/>
  </si>
  <si>
    <t>0000206</t>
    <phoneticPr fontId="22" type="noConversion"/>
  </si>
  <si>
    <t>0003217</t>
    <phoneticPr fontId="22" type="noConversion"/>
  </si>
  <si>
    <t>重庆誉商代</t>
    <phoneticPr fontId="22" type="noConversion"/>
  </si>
  <si>
    <t>自提</t>
    <phoneticPr fontId="22" type="noConversion"/>
  </si>
  <si>
    <t>不开票</t>
    <phoneticPr fontId="22" type="noConversion"/>
  </si>
  <si>
    <t>渠道</t>
    <phoneticPr fontId="22" type="noConversion"/>
  </si>
  <si>
    <t>9042A</t>
    <phoneticPr fontId="22" type="noConversion"/>
  </si>
  <si>
    <t>个</t>
    <phoneticPr fontId="22" type="noConversion"/>
  </si>
  <si>
    <t>0003218</t>
    <phoneticPr fontId="22" type="noConversion"/>
  </si>
  <si>
    <t>重庆百货大楼股份有限公司劳保用品分公司</t>
    <phoneticPr fontId="22" type="noConversion"/>
  </si>
  <si>
    <t>0003222</t>
    <phoneticPr fontId="22" type="noConversion"/>
  </si>
  <si>
    <t>37-176</t>
    <phoneticPr fontId="22" type="noConversion"/>
  </si>
  <si>
    <t>双</t>
    <phoneticPr fontId="22" type="noConversion"/>
  </si>
  <si>
    <t>0003216</t>
    <phoneticPr fontId="22" type="noConversion"/>
  </si>
  <si>
    <t>9041A</t>
    <phoneticPr fontId="22" type="noConversion"/>
  </si>
  <si>
    <t>0003220</t>
    <phoneticPr fontId="22" type="noConversion"/>
  </si>
  <si>
    <t>0003219</t>
    <phoneticPr fontId="22" type="noConversion"/>
  </si>
  <si>
    <t>重庆力原纺织厂</t>
    <phoneticPr fontId="22" type="noConversion"/>
  </si>
  <si>
    <t>张经理</t>
    <phoneticPr fontId="22" type="noConversion"/>
  </si>
  <si>
    <t>13608305919</t>
    <phoneticPr fontId="22" type="noConversion"/>
  </si>
  <si>
    <t>终端</t>
    <phoneticPr fontId="22" type="noConversion"/>
  </si>
  <si>
    <t>科派门业</t>
    <phoneticPr fontId="22" type="noConversion"/>
  </si>
  <si>
    <t>320D</t>
    <phoneticPr fontId="22" type="noConversion"/>
  </si>
  <si>
    <t>0003190</t>
    <phoneticPr fontId="22" type="noConversion"/>
  </si>
  <si>
    <t>邹孝斌</t>
    <phoneticPr fontId="22" type="noConversion"/>
  </si>
  <si>
    <t>15025342772</t>
    <phoneticPr fontId="22" type="noConversion"/>
  </si>
  <si>
    <t>重庆市巴南区界石镇武新村恒兴庄社科派门业</t>
    <phoneticPr fontId="22" type="noConversion"/>
  </si>
  <si>
    <t>片</t>
    <phoneticPr fontId="22" type="noConversion"/>
  </si>
  <si>
    <t>四川安博特安全防护科技有限公司</t>
    <phoneticPr fontId="22" type="noConversion"/>
  </si>
  <si>
    <t>Solvex-手套（9码）</t>
  </si>
  <si>
    <t>Solvex-手套（8码）</t>
    <phoneticPr fontId="22" type="noConversion"/>
  </si>
  <si>
    <t>0000209</t>
    <phoneticPr fontId="22" type="noConversion"/>
  </si>
  <si>
    <t>尘毒呼吸防护套装经济型</t>
  </si>
  <si>
    <r>
      <t>3</t>
    </r>
    <r>
      <rPr>
        <sz val="10"/>
        <color indexed="8"/>
        <rFont val="宋体"/>
        <family val="3"/>
        <charset val="134"/>
      </rPr>
      <t>20P</t>
    </r>
    <phoneticPr fontId="22" type="noConversion"/>
  </si>
  <si>
    <t>套</t>
    <phoneticPr fontId="22" type="noConversion"/>
  </si>
  <si>
    <t>42.939*38+34.866*50</t>
    <phoneticPr fontId="60" type="noConversion"/>
  </si>
  <si>
    <t>0003191</t>
    <phoneticPr fontId="22" type="noConversion"/>
  </si>
  <si>
    <t>布围腰</t>
    <phoneticPr fontId="22" type="noConversion"/>
  </si>
  <si>
    <t>布袖套</t>
    <phoneticPr fontId="22" type="noConversion"/>
  </si>
  <si>
    <t>条</t>
    <phoneticPr fontId="22" type="noConversion"/>
  </si>
  <si>
    <t>0003192</t>
    <phoneticPr fontId="22" type="noConversion"/>
  </si>
  <si>
    <t>7嘉烨</t>
    <phoneticPr fontId="60" type="noConversion"/>
  </si>
  <si>
    <t>3000系列组合喷漆型</t>
  </si>
  <si>
    <t>套</t>
    <phoneticPr fontId="22" type="noConversion"/>
  </si>
  <si>
    <t>重庆耐德自动化技术有限公司</t>
    <phoneticPr fontId="22" type="noConversion"/>
  </si>
  <si>
    <t>3嘉烨 4样品 0*13.2</t>
    <phoneticPr fontId="60" type="noConversion"/>
  </si>
  <si>
    <t>件</t>
    <phoneticPr fontId="22" type="noConversion"/>
  </si>
  <si>
    <t>白色带帽连体防护服L</t>
    <phoneticPr fontId="22" type="noConversion"/>
  </si>
  <si>
    <t>防护服XL</t>
    <phoneticPr fontId="60" type="noConversion"/>
  </si>
  <si>
    <t>防护服</t>
    <phoneticPr fontId="22" type="noConversion"/>
  </si>
  <si>
    <t>防护服L</t>
    <phoneticPr fontId="22" type="noConversion"/>
  </si>
  <si>
    <t>/</t>
    <phoneticPr fontId="22" type="noConversion"/>
  </si>
  <si>
    <t>现金</t>
    <phoneticPr fontId="22" type="noConversion"/>
  </si>
  <si>
    <t>0003223</t>
    <phoneticPr fontId="22" type="noConversion"/>
  </si>
  <si>
    <t>唐老师</t>
    <phoneticPr fontId="22" type="noConversion"/>
  </si>
  <si>
    <t>13983608364</t>
    <phoneticPr fontId="22" type="noConversion"/>
  </si>
  <si>
    <t>重庆市北部新区杨柳路6号</t>
  </si>
  <si>
    <t>00353858</t>
    <phoneticPr fontId="22" type="noConversion"/>
  </si>
  <si>
    <t>00353857</t>
    <phoneticPr fontId="22" type="noConversion"/>
  </si>
  <si>
    <t>0006606</t>
    <phoneticPr fontId="22" type="noConversion"/>
  </si>
  <si>
    <t>1900364436622</t>
    <phoneticPr fontId="22" type="noConversion"/>
  </si>
  <si>
    <t>00671562</t>
    <phoneticPr fontId="22" type="noConversion"/>
  </si>
  <si>
    <t>00366989</t>
    <phoneticPr fontId="22" type="noConversion"/>
  </si>
  <si>
    <t>XS-2013-03-29-235</t>
    <phoneticPr fontId="22" type="noConversion"/>
  </si>
  <si>
    <t>0.5</t>
    <phoneticPr fontId="60" type="noConversion"/>
  </si>
  <si>
    <t>璧山丁家</t>
    <phoneticPr fontId="22" type="noConversion"/>
  </si>
  <si>
    <t>00353859-3860</t>
    <phoneticPr fontId="22" type="noConversion"/>
  </si>
  <si>
    <t>韵达现付</t>
    <phoneticPr fontId="22" type="noConversion"/>
  </si>
  <si>
    <t>1900364436623</t>
    <phoneticPr fontId="22" type="noConversion"/>
  </si>
  <si>
    <t>023200191217</t>
    <phoneticPr fontId="22" type="noConversion"/>
  </si>
  <si>
    <t>海斯坦普金属成型（武汉）有限公司重庆分公司</t>
    <phoneticPr fontId="22" type="noConversion"/>
  </si>
  <si>
    <t>00353861</t>
    <phoneticPr fontId="22" type="noConversion"/>
  </si>
  <si>
    <t>1900364436624</t>
    <phoneticPr fontId="22" type="noConversion"/>
  </si>
  <si>
    <t>391-1000</t>
    <phoneticPr fontId="22" type="noConversion"/>
  </si>
  <si>
    <t>391-1004</t>
    <phoneticPr fontId="22" type="noConversion"/>
  </si>
  <si>
    <t>个</t>
    <phoneticPr fontId="22" type="noConversion"/>
  </si>
  <si>
    <t>付</t>
    <phoneticPr fontId="22" type="noConversion"/>
  </si>
  <si>
    <t>0003193</t>
    <phoneticPr fontId="22" type="noConversion"/>
  </si>
  <si>
    <t>00353862</t>
    <phoneticPr fontId="22" type="noConversion"/>
  </si>
  <si>
    <t>023193164419</t>
    <phoneticPr fontId="22" type="noConversion"/>
  </si>
  <si>
    <t>XSD-2013-04-02-00010</t>
    <phoneticPr fontId="22" type="noConversion"/>
  </si>
  <si>
    <t>防水围腰</t>
    <phoneticPr fontId="22" type="noConversion"/>
  </si>
  <si>
    <t>布袖套</t>
    <phoneticPr fontId="22" type="noConversion"/>
  </si>
  <si>
    <t>双</t>
    <phoneticPr fontId="22" type="noConversion"/>
  </si>
  <si>
    <t>条</t>
    <phoneticPr fontId="22" type="noConversion"/>
  </si>
  <si>
    <t>XOUT164970</t>
    <phoneticPr fontId="22" type="noConversion"/>
  </si>
  <si>
    <t>0003227</t>
    <phoneticPr fontId="22" type="noConversion"/>
  </si>
  <si>
    <t>620P</t>
    <phoneticPr fontId="22" type="noConversion"/>
  </si>
  <si>
    <t>0003225</t>
    <phoneticPr fontId="22" type="noConversion"/>
  </si>
  <si>
    <t>0008879</t>
    <phoneticPr fontId="22" type="noConversion"/>
  </si>
  <si>
    <t>高新物流</t>
    <phoneticPr fontId="22" type="noConversion"/>
  </si>
  <si>
    <t>0011043</t>
    <phoneticPr fontId="22" type="noConversion"/>
  </si>
  <si>
    <t>0412041</t>
    <phoneticPr fontId="22" type="noConversion"/>
  </si>
  <si>
    <t>0038266</t>
    <phoneticPr fontId="22" type="noConversion"/>
  </si>
  <si>
    <t>00353863</t>
    <phoneticPr fontId="22" type="noConversion"/>
  </si>
  <si>
    <t>00671568</t>
    <phoneticPr fontId="22" type="noConversion"/>
  </si>
  <si>
    <t>42-474</t>
    <phoneticPr fontId="22" type="noConversion"/>
  </si>
  <si>
    <t>罗丽</t>
    <phoneticPr fontId="22" type="noConversion"/>
  </si>
  <si>
    <t>中行对公</t>
    <phoneticPr fontId="22" type="noConversion"/>
  </si>
  <si>
    <t>6002CN</t>
    <phoneticPr fontId="22" type="noConversion"/>
  </si>
  <si>
    <t>12 嘉烨</t>
    <phoneticPr fontId="60" type="noConversion"/>
  </si>
  <si>
    <t>0003194</t>
    <phoneticPr fontId="22" type="noConversion"/>
  </si>
  <si>
    <t>嘉烨</t>
    <phoneticPr fontId="22" type="noConversion"/>
  </si>
  <si>
    <t>00353864</t>
    <phoneticPr fontId="22" type="noConversion"/>
  </si>
  <si>
    <t>1900364436625</t>
    <phoneticPr fontId="22" type="noConversion"/>
  </si>
  <si>
    <t>个</t>
    <phoneticPr fontId="22" type="noConversion"/>
  </si>
  <si>
    <t>0003229</t>
    <phoneticPr fontId="22" type="noConversion"/>
  </si>
  <si>
    <t>/</t>
    <phoneticPr fontId="22" type="noConversion"/>
  </si>
  <si>
    <t>布鞋套</t>
    <phoneticPr fontId="22" type="noConversion"/>
  </si>
  <si>
    <t>现金</t>
    <phoneticPr fontId="22" type="noConversion"/>
  </si>
  <si>
    <t>不开票</t>
    <phoneticPr fontId="22" type="noConversion"/>
  </si>
  <si>
    <t>XOUT165124</t>
    <phoneticPr fontId="22" type="noConversion"/>
  </si>
  <si>
    <t>0003195</t>
    <phoneticPr fontId="22" type="noConversion"/>
  </si>
  <si>
    <t>张正黎</t>
    <phoneticPr fontId="22" type="noConversion"/>
  </si>
  <si>
    <t>13060255372</t>
    <phoneticPr fontId="22" type="noConversion"/>
  </si>
  <si>
    <t>0001467</t>
    <phoneticPr fontId="22" type="noConversion"/>
  </si>
  <si>
    <t>付款金额</t>
    <phoneticPr fontId="22" type="noConversion"/>
  </si>
  <si>
    <t>未付金额</t>
    <phoneticPr fontId="22" type="noConversion"/>
  </si>
  <si>
    <t>0003230</t>
    <phoneticPr fontId="22" type="noConversion"/>
  </si>
  <si>
    <t>1900338189322</t>
    <phoneticPr fontId="22" type="noConversion"/>
  </si>
  <si>
    <t>中行对公</t>
    <phoneticPr fontId="22" type="noConversion"/>
  </si>
  <si>
    <t>09234685</t>
    <phoneticPr fontId="22" type="noConversion"/>
  </si>
  <si>
    <t>00353865</t>
    <phoneticPr fontId="22" type="noConversion"/>
  </si>
  <si>
    <t>1900364436627</t>
    <phoneticPr fontId="22" type="noConversion"/>
  </si>
  <si>
    <t>/</t>
    <phoneticPr fontId="22" type="noConversion"/>
  </si>
  <si>
    <t>2嘉烨  3*3.6+500*3.96</t>
    <phoneticPr fontId="60" type="noConversion"/>
  </si>
  <si>
    <t>0011464</t>
    <phoneticPr fontId="22" type="noConversion"/>
  </si>
  <si>
    <t>0700130</t>
    <phoneticPr fontId="22" type="noConversion"/>
  </si>
  <si>
    <t>0003232</t>
    <phoneticPr fontId="22" type="noConversion"/>
  </si>
  <si>
    <t>不开票</t>
    <phoneticPr fontId="22" type="noConversion"/>
  </si>
  <si>
    <r>
      <t>9.8</t>
    </r>
    <r>
      <rPr>
        <sz val="11"/>
        <color indexed="8"/>
        <rFont val="宋体"/>
        <family val="3"/>
        <charset val="134"/>
      </rPr>
      <t>*3+7.66*88</t>
    </r>
    <phoneticPr fontId="22" type="noConversion"/>
  </si>
  <si>
    <t>样品</t>
    <phoneticPr fontId="22" type="noConversion"/>
  </si>
  <si>
    <t>0003196</t>
    <phoneticPr fontId="22" type="noConversion"/>
  </si>
  <si>
    <t>自提</t>
    <phoneticPr fontId="22" type="noConversion"/>
  </si>
  <si>
    <r>
      <t>4</t>
    </r>
    <r>
      <rPr>
        <sz val="11"/>
        <color indexed="8"/>
        <rFont val="宋体"/>
        <family val="3"/>
        <charset val="134"/>
      </rPr>
      <t>2-474</t>
    </r>
    <phoneticPr fontId="22" type="noConversion"/>
  </si>
  <si>
    <t>1.66+1.62</t>
    <phoneticPr fontId="22" type="noConversion"/>
  </si>
  <si>
    <t>1.55+1.6</t>
    <phoneticPr fontId="22" type="noConversion"/>
  </si>
  <si>
    <t>1.46+1.55</t>
    <phoneticPr fontId="22" type="noConversion"/>
  </si>
  <si>
    <t>13.33  3-12.93  17</t>
    <phoneticPr fontId="22" type="noConversion"/>
  </si>
  <si>
    <t>45.8*2+45.8*3</t>
    <phoneticPr fontId="22" type="noConversion"/>
  </si>
  <si>
    <t>45.8*7+42*3</t>
    <phoneticPr fontId="22" type="noConversion"/>
  </si>
  <si>
    <t>45.8*24+45*50</t>
    <phoneticPr fontId="22" type="noConversion"/>
  </si>
  <si>
    <t>18.5*6+17.5*290</t>
    <phoneticPr fontId="22" type="noConversion"/>
  </si>
  <si>
    <t>29.5*200+30*200</t>
    <phoneticPr fontId="22" type="noConversion"/>
  </si>
  <si>
    <t>300*29.5+600*29</t>
  </si>
  <si>
    <t>1.39*400+1.4*100</t>
  </si>
  <si>
    <t>17*2+146*17.5</t>
    <phoneticPr fontId="22" type="noConversion"/>
  </si>
  <si>
    <t>1.58+1.82</t>
    <phoneticPr fontId="22" type="noConversion"/>
  </si>
  <si>
    <t>17.5*240+12*17</t>
  </si>
  <si>
    <t xml:space="preserve"> </t>
    <phoneticPr fontId="22" type="noConversion"/>
  </si>
  <si>
    <t>嘉烨*27+14.1*20</t>
    <phoneticPr fontId="60" type="noConversion"/>
  </si>
  <si>
    <t>1621AF</t>
    <phoneticPr fontId="22" type="noConversion"/>
  </si>
  <si>
    <t>H6P3E</t>
    <phoneticPr fontId="22" type="noConversion"/>
  </si>
  <si>
    <t>PJJJ35-33</t>
    <phoneticPr fontId="22" type="noConversion"/>
  </si>
  <si>
    <t>卡斯顿</t>
  </si>
  <si>
    <t>双</t>
    <phoneticPr fontId="22" type="noConversion"/>
  </si>
  <si>
    <t>个</t>
    <phoneticPr fontId="22" type="noConversion"/>
  </si>
  <si>
    <t>付</t>
    <phoneticPr fontId="22" type="noConversion"/>
  </si>
  <si>
    <t>片</t>
    <phoneticPr fontId="22" type="noConversion"/>
  </si>
  <si>
    <t>/</t>
    <phoneticPr fontId="22" type="noConversion"/>
  </si>
  <si>
    <t>00671594</t>
    <phoneticPr fontId="22" type="noConversion"/>
  </si>
  <si>
    <t>0003197</t>
    <phoneticPr fontId="22" type="noConversion"/>
  </si>
  <si>
    <t>上海贺恒工业科技有限公司</t>
    <phoneticPr fontId="22" type="noConversion"/>
  </si>
  <si>
    <t>300度隔热手套</t>
    <phoneticPr fontId="22" type="noConversion"/>
  </si>
  <si>
    <t>牛皮防寒手套</t>
    <phoneticPr fontId="22" type="noConversion"/>
  </si>
  <si>
    <t>0003235</t>
    <phoneticPr fontId="22" type="noConversion"/>
  </si>
  <si>
    <t>抵扣</t>
    <phoneticPr fontId="22" type="noConversion"/>
  </si>
  <si>
    <t>0003236</t>
    <phoneticPr fontId="22" type="noConversion"/>
  </si>
  <si>
    <t>/</t>
    <phoneticPr fontId="22" type="noConversion"/>
  </si>
  <si>
    <t>3744K</t>
    <phoneticPr fontId="22" type="noConversion"/>
  </si>
  <si>
    <t>片</t>
    <phoneticPr fontId="22" type="noConversion"/>
  </si>
  <si>
    <t>不开票</t>
    <phoneticPr fontId="22" type="noConversion"/>
  </si>
  <si>
    <t>线手套</t>
    <phoneticPr fontId="22" type="noConversion"/>
  </si>
  <si>
    <t>重通集团成飞（大安）风电设备有限公司</t>
    <phoneticPr fontId="22" type="noConversion"/>
  </si>
  <si>
    <t>个</t>
    <phoneticPr fontId="22" type="noConversion"/>
  </si>
  <si>
    <t>双</t>
    <phoneticPr fontId="22" type="noConversion"/>
  </si>
  <si>
    <t>0003198</t>
    <phoneticPr fontId="22" type="noConversion"/>
  </si>
  <si>
    <t>0003199</t>
    <phoneticPr fontId="22" type="noConversion"/>
  </si>
  <si>
    <t>00390191-0192</t>
    <phoneticPr fontId="22" type="noConversion"/>
  </si>
  <si>
    <t>送票上门</t>
    <phoneticPr fontId="22" type="noConversion"/>
  </si>
  <si>
    <t>0000303</t>
    <phoneticPr fontId="22" type="noConversion"/>
  </si>
  <si>
    <t>广达货运到付</t>
    <phoneticPr fontId="22" type="noConversion"/>
  </si>
  <si>
    <t>0012042</t>
    <phoneticPr fontId="22" type="noConversion"/>
  </si>
  <si>
    <t>飞达货运现付</t>
    <phoneticPr fontId="22" type="noConversion"/>
  </si>
  <si>
    <t>0001496</t>
    <phoneticPr fontId="22" type="noConversion"/>
  </si>
  <si>
    <t>XOUT165742</t>
    <phoneticPr fontId="22" type="noConversion"/>
  </si>
  <si>
    <t>贵州省六盘水市人民医院药剂科</t>
    <phoneticPr fontId="22" type="noConversion"/>
  </si>
  <si>
    <t>付</t>
    <phoneticPr fontId="22" type="noConversion"/>
  </si>
  <si>
    <t>0001470</t>
    <phoneticPr fontId="22" type="noConversion"/>
  </si>
  <si>
    <t>韵达到付</t>
    <phoneticPr fontId="22" type="noConversion"/>
  </si>
  <si>
    <t>刘洪</t>
    <phoneticPr fontId="22" type="noConversion"/>
  </si>
  <si>
    <t>13595882698</t>
    <phoneticPr fontId="22" type="noConversion"/>
  </si>
  <si>
    <t>1900364436628</t>
    <phoneticPr fontId="22" type="noConversion"/>
  </si>
  <si>
    <t>2嘉烨+700*4.9</t>
    <phoneticPr fontId="60" type="noConversion"/>
  </si>
  <si>
    <t>XS-2013-03-29-061</t>
    <phoneticPr fontId="22" type="noConversion"/>
  </si>
  <si>
    <t>8.73</t>
    <phoneticPr fontId="60" type="noConversion"/>
  </si>
  <si>
    <t>0001472</t>
    <phoneticPr fontId="22" type="noConversion"/>
  </si>
  <si>
    <t>0042941</t>
    <phoneticPr fontId="22" type="noConversion"/>
  </si>
  <si>
    <t>刘芳</t>
  </si>
  <si>
    <t>0831-8357768</t>
  </si>
  <si>
    <t>有机蒸气异味及颗粒物防护口罩( 耳带式）</t>
    <phoneticPr fontId="60" type="noConversion"/>
  </si>
  <si>
    <t>9041A</t>
    <phoneticPr fontId="60" type="noConversion"/>
  </si>
  <si>
    <t>3.69</t>
    <phoneticPr fontId="60" type="noConversion"/>
  </si>
  <si>
    <t>0003232</t>
    <phoneticPr fontId="22" type="noConversion"/>
  </si>
  <si>
    <t>个</t>
    <phoneticPr fontId="22" type="noConversion"/>
  </si>
  <si>
    <t>0000619</t>
    <phoneticPr fontId="22" type="noConversion"/>
  </si>
  <si>
    <t>/</t>
    <phoneticPr fontId="22" type="noConversion"/>
  </si>
  <si>
    <t>4.28*500+4.5162*400</t>
    <phoneticPr fontId="60" type="noConversion"/>
  </si>
  <si>
    <t>0001473</t>
    <phoneticPr fontId="22" type="noConversion"/>
  </si>
  <si>
    <t>0001474</t>
    <phoneticPr fontId="22" type="noConversion"/>
  </si>
  <si>
    <t>9041A</t>
    <phoneticPr fontId="22" type="noConversion"/>
  </si>
  <si>
    <t>0001476</t>
    <phoneticPr fontId="22" type="noConversion"/>
  </si>
  <si>
    <t>0003200</t>
    <phoneticPr fontId="22" type="noConversion"/>
  </si>
  <si>
    <t>个</t>
    <phoneticPr fontId="22" type="noConversion"/>
  </si>
  <si>
    <t>0001475</t>
    <phoneticPr fontId="22" type="noConversion"/>
  </si>
  <si>
    <t>3301CN</t>
    <phoneticPr fontId="22" type="noConversion"/>
  </si>
  <si>
    <t>3N11CN</t>
    <phoneticPr fontId="22" type="noConversion"/>
  </si>
  <si>
    <t>片</t>
    <phoneticPr fontId="22" type="noConversion"/>
  </si>
  <si>
    <t>自提</t>
    <phoneticPr fontId="22" type="noConversion"/>
  </si>
  <si>
    <t>0001477</t>
    <phoneticPr fontId="22" type="noConversion"/>
  </si>
  <si>
    <t>中行对公</t>
    <phoneticPr fontId="22" type="noConversion"/>
  </si>
  <si>
    <t>顺丰到付</t>
    <phoneticPr fontId="22" type="noConversion"/>
  </si>
  <si>
    <t>00390193</t>
    <phoneticPr fontId="22" type="noConversion"/>
  </si>
  <si>
    <t>1900364436644</t>
    <phoneticPr fontId="22" type="noConversion"/>
  </si>
  <si>
    <t>韵达现付</t>
    <phoneticPr fontId="22" type="noConversion"/>
  </si>
  <si>
    <t>00389922</t>
    <phoneticPr fontId="22" type="noConversion"/>
  </si>
  <si>
    <t>多开28元</t>
    <phoneticPr fontId="22" type="noConversion"/>
  </si>
  <si>
    <t>抵扣</t>
    <phoneticPr fontId="22" type="noConversion"/>
  </si>
  <si>
    <t>农行对私</t>
    <phoneticPr fontId="22" type="noConversion"/>
  </si>
  <si>
    <t>顺丰到付</t>
    <phoneticPr fontId="22" type="noConversion"/>
  </si>
  <si>
    <t>023193164455</t>
    <phoneticPr fontId="22" type="noConversion"/>
  </si>
  <si>
    <t>023193164428</t>
    <phoneticPr fontId="22" type="noConversion"/>
  </si>
  <si>
    <t>个</t>
    <phoneticPr fontId="22" type="noConversion"/>
  </si>
  <si>
    <t>贵州世康科贸有限责任公司</t>
  </si>
  <si>
    <t>贵阳市金阳新区贵阳国际会议展览中心D区第D3栋（D）3层10号房</t>
    <phoneticPr fontId="22" type="noConversion"/>
  </si>
  <si>
    <t>赵华琴</t>
    <phoneticPr fontId="22" type="noConversion"/>
  </si>
  <si>
    <t>15329706819</t>
  </si>
  <si>
    <t>/</t>
    <phoneticPr fontId="22" type="noConversion"/>
  </si>
  <si>
    <t>023193164437</t>
    <phoneticPr fontId="22" type="noConversion"/>
  </si>
  <si>
    <t>力宏物流到付</t>
    <phoneticPr fontId="22" type="noConversion"/>
  </si>
  <si>
    <t>嘉烨</t>
    <phoneticPr fontId="22" type="noConversion"/>
  </si>
  <si>
    <t>0004316</t>
    <phoneticPr fontId="22" type="noConversion"/>
  </si>
  <si>
    <t>19.422*4+19.42*20</t>
    <phoneticPr fontId="60" type="noConversion"/>
  </si>
  <si>
    <t>付</t>
    <phoneticPr fontId="22" type="noConversion"/>
  </si>
  <si>
    <t>0000645</t>
    <phoneticPr fontId="22" type="noConversion"/>
  </si>
  <si>
    <t>280度隔热手套</t>
    <phoneticPr fontId="22" type="noConversion"/>
  </si>
  <si>
    <t>重庆诗仙太白古晟酒业有限公司</t>
    <phoneticPr fontId="22" type="noConversion"/>
  </si>
  <si>
    <t>允老师</t>
    <phoneticPr fontId="22" type="noConversion"/>
  </si>
  <si>
    <t>15823695289</t>
    <phoneticPr fontId="22" type="noConversion"/>
  </si>
  <si>
    <t>南川</t>
    <phoneticPr fontId="22" type="noConversion"/>
  </si>
  <si>
    <t>普票</t>
    <phoneticPr fontId="22" type="noConversion"/>
  </si>
  <si>
    <t>深圳市鹏亮工贸有限公司</t>
    <phoneticPr fontId="22" type="noConversion"/>
  </si>
  <si>
    <t>重庆华迈仪器有限公司</t>
    <phoneticPr fontId="22" type="noConversion"/>
  </si>
  <si>
    <t>南岸区海棠溪街道南坪东路516号1栋18-3</t>
    <phoneticPr fontId="22" type="noConversion"/>
  </si>
  <si>
    <t>九龙坡区华岩镇石堰村</t>
    <phoneticPr fontId="22" type="noConversion"/>
  </si>
  <si>
    <t>00400575</t>
    <phoneticPr fontId="22" type="noConversion"/>
  </si>
  <si>
    <t>换货</t>
    <phoneticPr fontId="22" type="noConversion"/>
  </si>
  <si>
    <t>08974250</t>
    <phoneticPr fontId="22" type="noConversion"/>
  </si>
  <si>
    <t>个</t>
    <phoneticPr fontId="22" type="noConversion"/>
  </si>
  <si>
    <t>张红昌</t>
  </si>
  <si>
    <t>贵州市遵义市香港路开发区农行 遵义飘安医疗器械有限公司</t>
  </si>
  <si>
    <t>13096708788/13035535788</t>
  </si>
  <si>
    <t>P95 有机异味及颗粒物防护口罩</t>
  </si>
  <si>
    <t>00390194</t>
    <phoneticPr fontId="22" type="noConversion"/>
  </si>
  <si>
    <t>1900364436642</t>
    <phoneticPr fontId="22" type="noConversion"/>
  </si>
  <si>
    <t>泸州个人</t>
  </si>
  <si>
    <t>/</t>
    <phoneticPr fontId="22" type="noConversion"/>
  </si>
  <si>
    <t>00390195</t>
    <phoneticPr fontId="22" type="noConversion"/>
  </si>
  <si>
    <t>00390196-0199</t>
    <phoneticPr fontId="22" type="noConversion"/>
  </si>
  <si>
    <t>1900364436641</t>
    <phoneticPr fontId="22" type="noConversion"/>
  </si>
  <si>
    <t>00390200-0201</t>
    <phoneticPr fontId="22" type="noConversion"/>
  </si>
  <si>
    <t>1900364436640</t>
    <phoneticPr fontId="22" type="noConversion"/>
  </si>
  <si>
    <t>00671632</t>
    <phoneticPr fontId="22" type="noConversion"/>
  </si>
  <si>
    <t>不开票</t>
    <phoneticPr fontId="22" type="noConversion"/>
  </si>
  <si>
    <t>宜宾县柏溪镇新浩物资经营部</t>
    <phoneticPr fontId="22" type="noConversion"/>
  </si>
  <si>
    <t>4650A</t>
  </si>
  <si>
    <t>泸州个人</t>
    <phoneticPr fontId="22" type="noConversion"/>
  </si>
  <si>
    <t>硅胶半面型单滤盒防尘面罩（中号）</t>
  </si>
  <si>
    <t>个</t>
    <phoneticPr fontId="22" type="noConversion"/>
  </si>
  <si>
    <t>刘元丽</t>
  </si>
  <si>
    <t>15609099728</t>
  </si>
  <si>
    <t>宜宾</t>
    <phoneticPr fontId="22" type="noConversion"/>
  </si>
  <si>
    <t>终端</t>
    <phoneticPr fontId="22" type="noConversion"/>
  </si>
  <si>
    <t>Honeywell</t>
    <phoneticPr fontId="22" type="noConversion"/>
  </si>
  <si>
    <t>防穿刺安全鞋</t>
    <phoneticPr fontId="22" type="noConversion"/>
  </si>
  <si>
    <t>0919703</t>
    <phoneticPr fontId="22" type="noConversion"/>
  </si>
  <si>
    <t>重庆市特安劳保用品有限公司</t>
    <phoneticPr fontId="22" type="noConversion"/>
  </si>
  <si>
    <t>00072065</t>
    <phoneticPr fontId="60" type="noConversion"/>
  </si>
  <si>
    <t>上海和赛富安全科技有限公司</t>
    <phoneticPr fontId="22" type="noConversion"/>
  </si>
  <si>
    <t>9002V</t>
    <phoneticPr fontId="22" type="noConversion"/>
  </si>
  <si>
    <t>上海市松江区南乐路1275弄115号4幢</t>
    <phoneticPr fontId="22" type="noConversion"/>
  </si>
  <si>
    <t>中行对公</t>
    <phoneticPr fontId="22" type="noConversion"/>
  </si>
  <si>
    <t>4-12已付1680</t>
    <phoneticPr fontId="22" type="noConversion"/>
  </si>
  <si>
    <t>片</t>
    <phoneticPr fontId="22" type="noConversion"/>
  </si>
  <si>
    <t>宜宾（附送货单）</t>
    <phoneticPr fontId="22" type="noConversion"/>
  </si>
  <si>
    <t>0000652</t>
    <phoneticPr fontId="22" type="noConversion"/>
  </si>
  <si>
    <t>韵达现付</t>
    <phoneticPr fontId="22" type="noConversion"/>
  </si>
  <si>
    <t>1900364436639</t>
    <phoneticPr fontId="22" type="noConversion"/>
  </si>
  <si>
    <t>高新到付</t>
    <phoneticPr fontId="22" type="noConversion"/>
  </si>
  <si>
    <t>0010774</t>
    <phoneticPr fontId="22" type="noConversion"/>
  </si>
  <si>
    <t>预过滤棉</t>
    <phoneticPr fontId="22" type="noConversion"/>
  </si>
  <si>
    <t>泸州个人</t>
    <phoneticPr fontId="22" type="noConversion"/>
  </si>
  <si>
    <t>陈山</t>
    <phoneticPr fontId="22" type="noConversion"/>
  </si>
  <si>
    <t>13700988382</t>
    <phoneticPr fontId="22" type="noConversion"/>
  </si>
  <si>
    <t>泸州市纳溪区</t>
    <phoneticPr fontId="22" type="noConversion"/>
  </si>
  <si>
    <t>/</t>
    <phoneticPr fontId="22" type="noConversion"/>
  </si>
  <si>
    <t>重庆仁力化工有限公司</t>
    <phoneticPr fontId="22" type="noConversion"/>
  </si>
  <si>
    <t>9002A</t>
    <phoneticPr fontId="22" type="noConversion"/>
  </si>
  <si>
    <t>121.16*5+40*110</t>
    <phoneticPr fontId="60" type="noConversion"/>
  </si>
  <si>
    <t>现金</t>
    <phoneticPr fontId="22" type="noConversion"/>
  </si>
  <si>
    <t>周仁力</t>
    <phoneticPr fontId="22" type="noConversion"/>
  </si>
  <si>
    <t>0001479</t>
    <phoneticPr fontId="22" type="noConversion"/>
  </si>
  <si>
    <t>安能物流现付</t>
    <phoneticPr fontId="22" type="noConversion"/>
  </si>
  <si>
    <t>胡金成</t>
    <phoneticPr fontId="22" type="noConversion"/>
  </si>
  <si>
    <t>15921244783</t>
    <phoneticPr fontId="22" type="noConversion"/>
  </si>
  <si>
    <t>11849682</t>
    <phoneticPr fontId="22" type="noConversion"/>
  </si>
  <si>
    <t>18696708998</t>
  </si>
  <si>
    <t>0003201</t>
    <phoneticPr fontId="22" type="noConversion"/>
  </si>
  <si>
    <t>德邦到付</t>
    <phoneticPr fontId="22" type="noConversion"/>
  </si>
  <si>
    <t>9002V</t>
    <phoneticPr fontId="22" type="noConversion"/>
  </si>
  <si>
    <t>04335631</t>
    <phoneticPr fontId="22" type="noConversion"/>
  </si>
  <si>
    <t>15135097</t>
    <phoneticPr fontId="22" type="noConversion"/>
  </si>
  <si>
    <t>安全眼镜</t>
    <phoneticPr fontId="22" type="noConversion"/>
  </si>
  <si>
    <t>付</t>
    <phoneticPr fontId="22" type="noConversion"/>
  </si>
  <si>
    <t>思博瑞安</t>
    <phoneticPr fontId="22" type="noConversion"/>
  </si>
  <si>
    <t>03424555</t>
    <phoneticPr fontId="22" type="noConversion"/>
  </si>
  <si>
    <t>防护服7M/20L/8XL</t>
    <phoneticPr fontId="22" type="noConversion"/>
  </si>
  <si>
    <t>防护服12M/11L/11XL/4XXL</t>
    <phoneticPr fontId="22" type="noConversion"/>
  </si>
  <si>
    <t>0001481</t>
    <phoneticPr fontId="22" type="noConversion"/>
  </si>
  <si>
    <t>个</t>
    <phoneticPr fontId="22" type="noConversion"/>
  </si>
  <si>
    <t>0001482</t>
    <phoneticPr fontId="22" type="noConversion"/>
  </si>
  <si>
    <t>防雾眼镜</t>
    <phoneticPr fontId="22" type="noConversion"/>
  </si>
  <si>
    <t>贵阳鑫玉富祥贸易有限公司</t>
    <phoneticPr fontId="22" type="noConversion"/>
  </si>
  <si>
    <t>片</t>
    <phoneticPr fontId="22" type="noConversion"/>
  </si>
  <si>
    <t>中行对公</t>
    <phoneticPr fontId="22" type="noConversion"/>
  </si>
  <si>
    <t>13985115648</t>
  </si>
  <si>
    <t>涂尊伟</t>
  </si>
  <si>
    <t>贵阳</t>
    <phoneticPr fontId="22" type="noConversion"/>
  </si>
  <si>
    <t>/</t>
    <phoneticPr fontId="22" type="noConversion"/>
  </si>
  <si>
    <t>00390202-0205</t>
    <phoneticPr fontId="22" type="noConversion"/>
  </si>
  <si>
    <t>6000 全面罩视窗保护膜</t>
  </si>
  <si>
    <t>陈俊达</t>
    <phoneticPr fontId="22" type="noConversion"/>
  </si>
  <si>
    <t>张</t>
    <phoneticPr fontId="22" type="noConversion"/>
  </si>
  <si>
    <t>片</t>
    <phoneticPr fontId="22" type="noConversion"/>
  </si>
  <si>
    <t>农行：唐磊6228480470978480213</t>
    <phoneticPr fontId="22" type="noConversion"/>
  </si>
  <si>
    <t>陈俊达：13452158575</t>
    <phoneticPr fontId="22" type="noConversion"/>
  </si>
  <si>
    <t>6000全面具视窗保护膜</t>
    <phoneticPr fontId="60" type="noConversion"/>
  </si>
  <si>
    <t>2.5</t>
    <phoneticPr fontId="60" type="noConversion"/>
  </si>
  <si>
    <t>重庆奔马物资有限公司</t>
    <phoneticPr fontId="22" type="noConversion"/>
  </si>
  <si>
    <t>0000623</t>
    <phoneticPr fontId="22" type="noConversion"/>
  </si>
  <si>
    <t>0001484</t>
    <phoneticPr fontId="22" type="noConversion"/>
  </si>
  <si>
    <t>3301CN</t>
    <phoneticPr fontId="22" type="noConversion"/>
  </si>
  <si>
    <t>3N11CN</t>
    <phoneticPr fontId="22" type="noConversion"/>
  </si>
  <si>
    <t>PS-100焊接面罩</t>
    <phoneticPr fontId="22" type="noConversion"/>
  </si>
  <si>
    <t>XH003896749</t>
    <phoneticPr fontId="22" type="noConversion"/>
  </si>
  <si>
    <t>个</t>
    <phoneticPr fontId="22" type="noConversion"/>
  </si>
  <si>
    <t>XSD-2013-4-15-00119</t>
    <phoneticPr fontId="22" type="noConversion"/>
  </si>
  <si>
    <t>重庆诚济医疗器械有限公司</t>
    <phoneticPr fontId="22" type="noConversion"/>
  </si>
  <si>
    <t>片</t>
    <phoneticPr fontId="22" type="noConversion"/>
  </si>
  <si>
    <t>飞达货运提付</t>
    <phoneticPr fontId="22" type="noConversion"/>
  </si>
  <si>
    <t>0005756</t>
    <phoneticPr fontId="22" type="noConversion"/>
  </si>
  <si>
    <t>上海欣韵贸易有限公司</t>
    <phoneticPr fontId="22" type="noConversion"/>
  </si>
  <si>
    <t>9002A</t>
    <phoneticPr fontId="22" type="noConversion"/>
  </si>
  <si>
    <t>折叠式防护口罩(双片包装)</t>
    <phoneticPr fontId="22" type="noConversion"/>
  </si>
  <si>
    <t>中山市肯天工业材料有限公司</t>
    <phoneticPr fontId="22" type="noConversion"/>
  </si>
  <si>
    <t>0000624</t>
    <phoneticPr fontId="22" type="noConversion"/>
  </si>
  <si>
    <t>14.2</t>
    <phoneticPr fontId="60" type="noConversion"/>
  </si>
  <si>
    <t>30*27.4+23.94*416+20*20.89（拆）</t>
    <phoneticPr fontId="60" type="noConversion"/>
  </si>
  <si>
    <t>3.09*6+3.65*110</t>
    <phoneticPr fontId="60" type="noConversion"/>
  </si>
  <si>
    <t>8样品 29*11.7+0*12</t>
    <phoneticPr fontId="60" type="noConversion"/>
  </si>
  <si>
    <t>0001485-0001487</t>
    <phoneticPr fontId="22" type="noConversion"/>
  </si>
  <si>
    <t>1 嘉烨+0*55.3</t>
    <phoneticPr fontId="60" type="noConversion"/>
  </si>
  <si>
    <t>40嘉烨</t>
    <phoneticPr fontId="22" type="noConversion"/>
  </si>
  <si>
    <t>80嘉烨+0*12.15</t>
    <phoneticPr fontId="60" type="noConversion"/>
  </si>
  <si>
    <t>0*1.88+1.58*63</t>
    <phoneticPr fontId="60" type="noConversion"/>
  </si>
  <si>
    <t>中行对公</t>
    <phoneticPr fontId="22" type="noConversion"/>
  </si>
  <si>
    <t>0003202</t>
    <phoneticPr fontId="22" type="noConversion"/>
  </si>
  <si>
    <t>/</t>
    <phoneticPr fontId="22" type="noConversion"/>
  </si>
  <si>
    <t>佩英货运到付</t>
    <phoneticPr fontId="22" type="noConversion"/>
  </si>
  <si>
    <t>0021834</t>
    <phoneticPr fontId="22" type="noConversion"/>
  </si>
  <si>
    <t>0001480</t>
    <phoneticPr fontId="22" type="noConversion"/>
  </si>
  <si>
    <t>0010066</t>
    <phoneticPr fontId="22" type="noConversion"/>
  </si>
  <si>
    <t>0001483</t>
    <phoneticPr fontId="22" type="noConversion"/>
  </si>
  <si>
    <t>0006275</t>
    <phoneticPr fontId="22" type="noConversion"/>
  </si>
  <si>
    <t>0016314</t>
    <phoneticPr fontId="22" type="noConversion"/>
  </si>
  <si>
    <t>0043024</t>
    <phoneticPr fontId="22" type="noConversion"/>
  </si>
  <si>
    <t>0010404</t>
    <phoneticPr fontId="22" type="noConversion"/>
  </si>
  <si>
    <t>志康物流到付</t>
    <phoneticPr fontId="22" type="noConversion"/>
  </si>
  <si>
    <t>0003300</t>
    <phoneticPr fontId="22" type="noConversion"/>
  </si>
  <si>
    <t>件</t>
    <phoneticPr fontId="22" type="noConversion"/>
  </si>
  <si>
    <t>0000626</t>
    <phoneticPr fontId="22" type="noConversion"/>
  </si>
  <si>
    <t>顺昌建辉到付</t>
    <phoneticPr fontId="22" type="noConversion"/>
  </si>
  <si>
    <t>0005146</t>
    <phoneticPr fontId="22" type="noConversion"/>
  </si>
  <si>
    <t>023193164446</t>
    <phoneticPr fontId="22" type="noConversion"/>
  </si>
  <si>
    <t>库存数（双）</t>
    <phoneticPr fontId="60" type="noConversion"/>
  </si>
  <si>
    <t>0000653</t>
    <phoneticPr fontId="22" type="noConversion"/>
  </si>
  <si>
    <t>SA201304090122</t>
    <phoneticPr fontId="22" type="noConversion"/>
  </si>
  <si>
    <t>张剑</t>
  </si>
  <si>
    <t>14787860628</t>
  </si>
  <si>
    <t>中行对公</t>
    <phoneticPr fontId="22" type="noConversion"/>
  </si>
  <si>
    <t>7772CN</t>
    <phoneticPr fontId="22" type="noConversion"/>
  </si>
  <si>
    <t>个</t>
    <phoneticPr fontId="22" type="noConversion"/>
  </si>
  <si>
    <t>双</t>
    <phoneticPr fontId="22" type="noConversion"/>
  </si>
  <si>
    <t>巫山县松林汽车维修有限公司</t>
    <phoneticPr fontId="22" type="noConversion"/>
  </si>
  <si>
    <t>3M</t>
    <phoneticPr fontId="22" type="noConversion"/>
  </si>
  <si>
    <t>318-1005</t>
    <phoneticPr fontId="22" type="noConversion"/>
  </si>
  <si>
    <t>片</t>
    <phoneticPr fontId="22" type="noConversion"/>
  </si>
  <si>
    <t>付</t>
    <phoneticPr fontId="22" type="noConversion"/>
  </si>
  <si>
    <t>件</t>
    <phoneticPr fontId="22" type="noConversion"/>
  </si>
  <si>
    <t>320D</t>
    <phoneticPr fontId="22" type="noConversion"/>
  </si>
  <si>
    <t>48-501</t>
    <phoneticPr fontId="22" type="noConversion"/>
  </si>
  <si>
    <t>套</t>
    <phoneticPr fontId="22" type="noConversion"/>
  </si>
  <si>
    <t>绿色带帽连体防护服XXL</t>
    <phoneticPr fontId="22" type="noConversion"/>
  </si>
  <si>
    <t>白色带帽连体防护服XL</t>
    <phoneticPr fontId="22" type="noConversion"/>
  </si>
  <si>
    <t>白色带帽连体防护服12M/11L/11XL/4XXL</t>
    <phoneticPr fontId="22" type="noConversion"/>
  </si>
  <si>
    <t>233*3.31+840*3.214</t>
    <phoneticPr fontId="60" type="noConversion"/>
  </si>
  <si>
    <t>嘉烨</t>
    <phoneticPr fontId="22" type="noConversion"/>
  </si>
  <si>
    <t>33.111*2+27.144*199</t>
    <phoneticPr fontId="60" type="noConversion"/>
  </si>
  <si>
    <t>样品</t>
    <phoneticPr fontId="22" type="noConversion"/>
  </si>
  <si>
    <t>应急包</t>
    <phoneticPr fontId="22" type="noConversion"/>
  </si>
  <si>
    <t>420D</t>
    <phoneticPr fontId="22" type="noConversion"/>
  </si>
  <si>
    <t>给工厂做样品</t>
    <phoneticPr fontId="22" type="noConversion"/>
  </si>
  <si>
    <t>李攀梅</t>
    <phoneticPr fontId="22" type="noConversion"/>
  </si>
  <si>
    <t>公司员工一人一个</t>
    <phoneticPr fontId="22" type="noConversion"/>
  </si>
  <si>
    <t>李端</t>
    <phoneticPr fontId="22" type="noConversion"/>
  </si>
  <si>
    <t>/</t>
    <phoneticPr fontId="22" type="noConversion"/>
  </si>
  <si>
    <t>00139897</t>
    <phoneticPr fontId="22" type="noConversion"/>
  </si>
  <si>
    <t>现金</t>
    <phoneticPr fontId="22" type="noConversion"/>
  </si>
  <si>
    <t>自提</t>
    <phoneticPr fontId="22" type="noConversion"/>
  </si>
  <si>
    <t>15310501555</t>
    <phoneticPr fontId="22" type="noConversion"/>
  </si>
  <si>
    <t>巫山县巫峡路666号</t>
    <phoneticPr fontId="22" type="noConversion"/>
  </si>
  <si>
    <t>00390206</t>
    <phoneticPr fontId="22" type="noConversion"/>
  </si>
  <si>
    <t>终端</t>
    <phoneticPr fontId="22" type="noConversion"/>
  </si>
  <si>
    <t>0001488</t>
    <phoneticPr fontId="22" type="noConversion"/>
  </si>
  <si>
    <t>0001489</t>
    <phoneticPr fontId="22" type="noConversion"/>
  </si>
  <si>
    <t>1422A</t>
    <phoneticPr fontId="22" type="noConversion"/>
  </si>
  <si>
    <t>医用一次性防护服大号</t>
  </si>
  <si>
    <t>8*0.77+150*0.72+0.71*1000</t>
    <phoneticPr fontId="60" type="noConversion"/>
  </si>
  <si>
    <t>中行对公</t>
    <phoneticPr fontId="22" type="noConversion"/>
  </si>
  <si>
    <t>德邦86886963</t>
    <phoneticPr fontId="22" type="noConversion"/>
  </si>
  <si>
    <t>德邦69695196</t>
    <phoneticPr fontId="22" type="noConversion"/>
  </si>
  <si>
    <t>00390209</t>
    <phoneticPr fontId="22" type="noConversion"/>
  </si>
  <si>
    <t>1900364436635</t>
    <phoneticPr fontId="22" type="noConversion"/>
  </si>
  <si>
    <t>00390210</t>
    <phoneticPr fontId="22" type="noConversion"/>
  </si>
  <si>
    <t>1900364436636</t>
    <phoneticPr fontId="22" type="noConversion"/>
  </si>
  <si>
    <t>00390207-0208</t>
    <phoneticPr fontId="22" type="noConversion"/>
  </si>
  <si>
    <t>1900364436637</t>
    <phoneticPr fontId="22" type="noConversion"/>
  </si>
  <si>
    <t>南岸茶园新区机电路18号</t>
    <phoneticPr fontId="22" type="noConversion"/>
  </si>
  <si>
    <t>南岸茶园新区机电路18号</t>
    <phoneticPr fontId="22" type="noConversion"/>
  </si>
  <si>
    <t>XOUT166921</t>
    <phoneticPr fontId="22" type="noConversion"/>
  </si>
  <si>
    <t>童华</t>
    <phoneticPr fontId="22" type="noConversion"/>
  </si>
  <si>
    <t>15923520008</t>
    <phoneticPr fontId="22" type="noConversion"/>
  </si>
  <si>
    <t>重庆观音桥建北七支路光宇大厦4楼检测所</t>
    <phoneticPr fontId="22" type="noConversion"/>
  </si>
  <si>
    <t>1900364436634</t>
    <phoneticPr fontId="22" type="noConversion"/>
  </si>
  <si>
    <t>1.4*40+1.48*800+2500*1.44</t>
    <phoneticPr fontId="60" type="noConversion"/>
  </si>
  <si>
    <t>0004774</t>
    <phoneticPr fontId="22" type="noConversion"/>
  </si>
  <si>
    <t>00400576</t>
    <phoneticPr fontId="22" type="noConversion"/>
  </si>
  <si>
    <t>付</t>
    <phoneticPr fontId="22" type="noConversion"/>
  </si>
  <si>
    <t>个</t>
    <phoneticPr fontId="22" type="noConversion"/>
  </si>
  <si>
    <t>0001492</t>
    <phoneticPr fontId="22" type="noConversion"/>
  </si>
  <si>
    <t>敖翔</t>
    <phoneticPr fontId="22" type="noConversion"/>
  </si>
  <si>
    <t>18680893324</t>
    <phoneticPr fontId="22" type="noConversion"/>
  </si>
  <si>
    <t>12.6*3+90*12.3+12.4*200</t>
    <phoneticPr fontId="60" type="noConversion"/>
  </si>
  <si>
    <t>嘉烨</t>
    <phoneticPr fontId="22" type="noConversion"/>
  </si>
  <si>
    <t>重庆市昊泽工贸有限公司</t>
    <phoneticPr fontId="22" type="noConversion"/>
  </si>
  <si>
    <t>0002102</t>
    <phoneticPr fontId="22" type="noConversion"/>
  </si>
  <si>
    <t>0001494</t>
    <phoneticPr fontId="22" type="noConversion"/>
  </si>
  <si>
    <t>斯博瑞安</t>
    <phoneticPr fontId="22" type="noConversion"/>
  </si>
  <si>
    <t>BC6240470</t>
  </si>
  <si>
    <t>安全鞋40码</t>
    <phoneticPr fontId="22" type="noConversion"/>
  </si>
  <si>
    <t>双</t>
    <phoneticPr fontId="22" type="noConversion"/>
  </si>
  <si>
    <t>半面型防护面罩（小号）</t>
  </si>
  <si>
    <t>折叠式防护口罩(双片包装）</t>
    <phoneticPr fontId="22" type="noConversion"/>
  </si>
  <si>
    <t>0001493</t>
    <phoneticPr fontId="22" type="noConversion"/>
  </si>
  <si>
    <t>丁文典</t>
    <phoneticPr fontId="22" type="noConversion"/>
  </si>
  <si>
    <t>15902369095</t>
    <phoneticPr fontId="22" type="noConversion"/>
  </si>
  <si>
    <t>中行对公</t>
    <phoneticPr fontId="22" type="noConversion"/>
  </si>
  <si>
    <t>35273552</t>
    <phoneticPr fontId="22" type="noConversion"/>
  </si>
  <si>
    <t>00390211</t>
    <phoneticPr fontId="22" type="noConversion"/>
  </si>
  <si>
    <t>3-18付2W农行对私，3-29付7W中行对公，4-12,付3W中行对公，1.5W农行对私，4-19,16716.63中行对公</t>
    <phoneticPr fontId="22" type="noConversion"/>
  </si>
  <si>
    <t>现金</t>
    <phoneticPr fontId="22" type="noConversion"/>
  </si>
  <si>
    <t>/</t>
    <phoneticPr fontId="22" type="noConversion"/>
  </si>
  <si>
    <t>张文</t>
    <phoneticPr fontId="22" type="noConversion"/>
  </si>
  <si>
    <t>两路</t>
    <phoneticPr fontId="22" type="noConversion"/>
  </si>
  <si>
    <t>13883567551</t>
    <phoneticPr fontId="22" type="noConversion"/>
  </si>
  <si>
    <t>不开票</t>
    <phoneticPr fontId="22" type="noConversion"/>
  </si>
  <si>
    <t>个人</t>
    <phoneticPr fontId="22" type="noConversion"/>
  </si>
  <si>
    <t>1样品 12.35*38</t>
    <phoneticPr fontId="60" type="noConversion"/>
  </si>
  <si>
    <t>韵达现付</t>
    <phoneticPr fontId="22" type="noConversion"/>
  </si>
  <si>
    <t>0004775</t>
    <phoneticPr fontId="22" type="noConversion"/>
  </si>
  <si>
    <t>lakeland</t>
    <phoneticPr fontId="22" type="noConversion"/>
  </si>
  <si>
    <t>医用一次性防护服(200M40L)</t>
    <phoneticPr fontId="22" type="noConversion"/>
  </si>
  <si>
    <t>AMN428ETS</t>
    <phoneticPr fontId="22" type="noConversion"/>
  </si>
  <si>
    <t>套</t>
    <phoneticPr fontId="22" type="noConversion"/>
  </si>
  <si>
    <t>92-600</t>
    <phoneticPr fontId="22" type="noConversion"/>
  </si>
  <si>
    <t>XOUT167077</t>
    <phoneticPr fontId="22" type="noConversion"/>
  </si>
  <si>
    <t>退货</t>
    <phoneticPr fontId="22" type="noConversion"/>
  </si>
  <si>
    <t>4嘉烨</t>
    <phoneticPr fontId="22" type="noConversion"/>
  </si>
  <si>
    <t>半面型防护面罩（小号）</t>
    <phoneticPr fontId="22" type="noConversion"/>
  </si>
  <si>
    <t>防护服C级（L）</t>
    <phoneticPr fontId="22" type="noConversion"/>
  </si>
  <si>
    <t>眼镜</t>
    <phoneticPr fontId="22" type="noConversion"/>
  </si>
  <si>
    <t>安顺市金凤凰医疗器械有限责任公司</t>
    <phoneticPr fontId="22" type="noConversion"/>
  </si>
  <si>
    <t>37-176</t>
    <phoneticPr fontId="22" type="noConversion"/>
  </si>
  <si>
    <t>贵州省安顺市中华北路商业街101-102号</t>
  </si>
  <si>
    <t>简玉龙</t>
    <phoneticPr fontId="22" type="noConversion"/>
  </si>
  <si>
    <t>13985737048</t>
  </si>
  <si>
    <t>430*0+420*2</t>
    <phoneticPr fontId="60" type="noConversion"/>
  </si>
  <si>
    <t>片</t>
    <phoneticPr fontId="22" type="noConversion"/>
  </si>
  <si>
    <t>44.5*154+11*43.7</t>
    <phoneticPr fontId="60" type="noConversion"/>
  </si>
  <si>
    <t>17.25*60+64*14.00</t>
    <phoneticPr fontId="60" type="noConversion"/>
  </si>
  <si>
    <t>1.39*132+340*1.4</t>
    <phoneticPr fontId="60" type="noConversion"/>
  </si>
  <si>
    <t>4.75*90+4.9*0+44*4.5</t>
    <phoneticPr fontId="60" type="noConversion"/>
  </si>
  <si>
    <t>税票金额</t>
    <phoneticPr fontId="22" type="noConversion"/>
  </si>
</sst>
</file>

<file path=xl/styles.xml><?xml version="1.0" encoding="utf-8"?>
<styleSheet xmlns="http://schemas.openxmlformats.org/spreadsheetml/2006/main">
  <numFmts count="11">
    <numFmt numFmtId="176" formatCode="yyyy\/m\/d"/>
    <numFmt numFmtId="177" formatCode="0.00_);[Red]\(0.00\)"/>
    <numFmt numFmtId="178" formatCode="0.0000_);[Red]\(0.0000\)"/>
    <numFmt numFmtId="179" formatCode="0.00_ "/>
    <numFmt numFmtId="180" formatCode="0.000_);[Red]\(0.000\)"/>
    <numFmt numFmtId="181" formatCode="0_ "/>
    <numFmt numFmtId="182" formatCode="yyyy/m/d;@"/>
    <numFmt numFmtId="183" formatCode="0_);[Red]\(0\)"/>
    <numFmt numFmtId="184" formatCode="0_);\(0\)"/>
    <numFmt numFmtId="185" formatCode="0.000_);\(0.000\)"/>
    <numFmt numFmtId="186" formatCode="000000"/>
  </numFmts>
  <fonts count="78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8"/>
      <color indexed="81"/>
      <name val="宋体"/>
      <family val="3"/>
      <charset val="134"/>
    </font>
    <font>
      <b/>
      <sz val="8"/>
      <color indexed="81"/>
      <name val="Tahoma"/>
      <family val="2"/>
    </font>
    <font>
      <sz val="10"/>
      <color rgb="FF0000FF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ajor"/>
    </font>
    <font>
      <sz val="10"/>
      <color indexed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Times New Roman"/>
      <family val="1"/>
    </font>
    <font>
      <sz val="9"/>
      <color indexed="8"/>
      <name val="宋体"/>
      <family val="3"/>
      <charset val="134"/>
      <scheme val="major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383">
    <xf numFmtId="0" fontId="0" fillId="0" borderId="0" xfId="0">
      <alignment vertical="center"/>
    </xf>
    <xf numFmtId="0" fontId="19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182" fontId="26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182" fontId="26" fillId="0" borderId="0" xfId="0" applyNumberFormat="1" applyFont="1" applyAlignment="1">
      <alignment horizontal="left" vertical="center"/>
    </xf>
    <xf numFmtId="182" fontId="25" fillId="0" borderId="0" xfId="0" applyNumberFormat="1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30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182" fontId="19" fillId="0" borderId="0" xfId="0" applyNumberFormat="1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82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0" borderId="0" xfId="25" applyNumberFormat="1" applyFont="1" applyFill="1" applyBorder="1" applyAlignment="1">
      <alignment horizontal="left" vertical="center"/>
    </xf>
    <xf numFmtId="49" fontId="19" fillId="0" borderId="0" xfId="25" applyNumberFormat="1" applyFont="1" applyFill="1" applyBorder="1" applyAlignment="1">
      <alignment horizontal="left" vertical="center"/>
    </xf>
    <xf numFmtId="176" fontId="19" fillId="0" borderId="0" xfId="25" applyNumberFormat="1" applyFont="1" applyFill="1" applyBorder="1" applyAlignment="1">
      <alignment horizontal="left" vertical="center"/>
    </xf>
    <xf numFmtId="178" fontId="19" fillId="0" borderId="0" xfId="25" applyNumberFormat="1" applyFont="1" applyFill="1" applyBorder="1" applyAlignment="1">
      <alignment horizontal="left" vertical="center"/>
    </xf>
    <xf numFmtId="180" fontId="19" fillId="0" borderId="0" xfId="25" applyNumberFormat="1" applyFont="1" applyFill="1" applyBorder="1" applyAlignment="1">
      <alignment horizontal="left" vertical="center"/>
    </xf>
    <xf numFmtId="179" fontId="19" fillId="0" borderId="0" xfId="25" applyNumberFormat="1" applyFont="1" applyFill="1" applyBorder="1" applyAlignment="1">
      <alignment horizontal="left" vertical="center"/>
    </xf>
    <xf numFmtId="0" fontId="21" fillId="0" borderId="0" xfId="25" applyFont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 wrapText="1"/>
    </xf>
    <xf numFmtId="0" fontId="21" fillId="0" borderId="0" xfId="25" applyFont="1" applyFill="1" applyAlignment="1">
      <alignment horizontal="left" vertical="center"/>
    </xf>
    <xf numFmtId="49" fontId="46" fillId="0" borderId="0" xfId="25" applyNumberFormat="1" applyFont="1" applyFill="1" applyBorder="1" applyAlignment="1">
      <alignment horizontal="left" vertical="center"/>
    </xf>
    <xf numFmtId="49" fontId="47" fillId="0" borderId="0" xfId="25" applyNumberFormat="1" applyFont="1" applyFill="1" applyBorder="1" applyAlignment="1">
      <alignment horizontal="left" vertical="center"/>
    </xf>
    <xf numFmtId="49" fontId="48" fillId="0" borderId="0" xfId="25" applyNumberFormat="1" applyFont="1" applyFill="1" applyBorder="1" applyAlignment="1">
      <alignment horizontal="left" vertical="center"/>
    </xf>
    <xf numFmtId="0" fontId="18" fillId="0" borderId="0" xfId="25" applyNumberFormat="1" applyFont="1" applyFill="1" applyBorder="1" applyAlignment="1">
      <alignment horizontal="center" vertical="center"/>
    </xf>
    <xf numFmtId="182" fontId="18" fillId="0" borderId="15" xfId="25" applyNumberFormat="1" applyFont="1" applyFill="1" applyBorder="1" applyAlignment="1">
      <alignment horizontal="center" vertical="center" wrapText="1"/>
    </xf>
    <xf numFmtId="0" fontId="18" fillId="0" borderId="15" xfId="25" applyNumberFormat="1" applyFont="1" applyFill="1" applyBorder="1" applyAlignment="1">
      <alignment horizontal="center" vertical="center" wrapText="1"/>
    </xf>
    <xf numFmtId="179" fontId="18" fillId="0" borderId="15" xfId="25" applyNumberFormat="1" applyFont="1" applyFill="1" applyBorder="1" applyAlignment="1">
      <alignment horizontal="center" vertical="center" wrapText="1"/>
    </xf>
    <xf numFmtId="179" fontId="49" fillId="0" borderId="15" xfId="25" applyNumberFormat="1" applyFont="1" applyFill="1" applyBorder="1" applyAlignment="1">
      <alignment horizontal="center" vertical="center" wrapText="1"/>
    </xf>
    <xf numFmtId="180" fontId="18" fillId="0" borderId="15" xfId="25" applyNumberFormat="1" applyFont="1" applyFill="1" applyBorder="1" applyAlignment="1">
      <alignment horizontal="center" vertical="center" wrapText="1"/>
    </xf>
    <xf numFmtId="177" fontId="18" fillId="0" borderId="15" xfId="25" applyNumberFormat="1" applyFont="1" applyFill="1" applyBorder="1" applyAlignment="1">
      <alignment horizontal="center" vertical="center" wrapText="1"/>
    </xf>
    <xf numFmtId="49" fontId="18" fillId="0" borderId="15" xfId="25" applyNumberFormat="1" applyFont="1" applyFill="1" applyBorder="1" applyAlignment="1">
      <alignment horizontal="center" vertical="center" wrapText="1"/>
    </xf>
    <xf numFmtId="176" fontId="18" fillId="0" borderId="15" xfId="25" applyNumberFormat="1" applyFont="1" applyFill="1" applyBorder="1" applyAlignment="1">
      <alignment horizontal="center" vertical="center" wrapText="1"/>
    </xf>
    <xf numFmtId="0" fontId="21" fillId="0" borderId="0" xfId="25" applyFont="1" applyBorder="1" applyAlignment="1">
      <alignment horizontal="left" vertical="center"/>
    </xf>
    <xf numFmtId="0" fontId="21" fillId="0" borderId="0" xfId="25" applyFont="1" applyFill="1" applyBorder="1" applyAlignment="1">
      <alignment horizontal="left" vertical="center"/>
    </xf>
    <xf numFmtId="49" fontId="19" fillId="0" borderId="0" xfId="25" applyNumberFormat="1" applyFont="1" applyBorder="1">
      <alignment vertical="center"/>
    </xf>
    <xf numFmtId="0" fontId="52" fillId="0" borderId="0" xfId="25" applyNumberFormat="1" applyFont="1" applyFill="1" applyBorder="1" applyAlignment="1">
      <alignment horizontal="left" vertical="center"/>
    </xf>
    <xf numFmtId="49" fontId="52" fillId="0" borderId="0" xfId="25" applyNumberFormat="1" applyFont="1" applyFill="1" applyBorder="1" applyAlignment="1">
      <alignment horizontal="left" vertical="center"/>
    </xf>
    <xf numFmtId="0" fontId="52" fillId="0" borderId="0" xfId="25" applyFont="1" applyFill="1" applyBorder="1" applyAlignment="1">
      <alignment horizontal="left" vertical="center"/>
    </xf>
    <xf numFmtId="179" fontId="52" fillId="0" borderId="0" xfId="25" applyNumberFormat="1" applyFont="1" applyFill="1" applyBorder="1" applyAlignment="1">
      <alignment horizontal="left" vertical="center"/>
    </xf>
    <xf numFmtId="14" fontId="18" fillId="0" borderId="15" xfId="25" applyNumberFormat="1" applyFont="1" applyFill="1" applyBorder="1" applyAlignment="1">
      <alignment horizontal="center" vertical="center" wrapText="1"/>
    </xf>
    <xf numFmtId="14" fontId="19" fillId="0" borderId="0" xfId="25" applyNumberFormat="1" applyFont="1" applyFill="1" applyBorder="1" applyAlignment="1">
      <alignment horizontal="left" vertical="center"/>
    </xf>
    <xf numFmtId="14" fontId="21" fillId="0" borderId="0" xfId="25" applyNumberFormat="1" applyFont="1" applyFill="1" applyBorder="1" applyAlignment="1">
      <alignment horizontal="left" vertical="center"/>
    </xf>
    <xf numFmtId="0" fontId="51" fillId="0" borderId="0" xfId="0" applyNumberFormat="1" applyFont="1" applyFill="1" applyBorder="1" applyAlignment="1">
      <alignment horizontal="left" vertical="center"/>
    </xf>
    <xf numFmtId="49" fontId="51" fillId="0" borderId="0" xfId="0" applyNumberFormat="1" applyFont="1" applyFill="1" applyBorder="1" applyAlignment="1">
      <alignment horizontal="left" vertical="center"/>
    </xf>
    <xf numFmtId="176" fontId="51" fillId="0" borderId="0" xfId="0" applyNumberFormat="1" applyFont="1" applyFill="1" applyBorder="1" applyAlignment="1">
      <alignment horizontal="left" vertical="center"/>
    </xf>
    <xf numFmtId="14" fontId="51" fillId="0" borderId="10" xfId="0" applyNumberFormat="1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14" fontId="52" fillId="17" borderId="10" xfId="0" applyNumberFormat="1" applyFont="1" applyFill="1" applyBorder="1" applyAlignment="1">
      <alignment horizontal="center" vertical="center"/>
    </xf>
    <xf numFmtId="0" fontId="52" fillId="17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left" vertical="center"/>
    </xf>
    <xf numFmtId="14" fontId="54" fillId="0" borderId="0" xfId="25" applyNumberFormat="1" applyFont="1" applyFill="1" applyBorder="1" applyAlignment="1">
      <alignment horizontal="left" vertical="center"/>
    </xf>
    <xf numFmtId="0" fontId="55" fillId="0" borderId="10" xfId="0" applyFont="1" applyBorder="1" applyAlignment="1">
      <alignment horizontal="center" vertical="center"/>
    </xf>
    <xf numFmtId="0" fontId="56" fillId="0" borderId="0" xfId="25" applyNumberFormat="1" applyFont="1" applyFill="1" applyBorder="1" applyAlignment="1">
      <alignment horizontal="left" vertical="center"/>
    </xf>
    <xf numFmtId="176" fontId="56" fillId="0" borderId="0" xfId="25" applyNumberFormat="1" applyFont="1" applyFill="1" applyBorder="1" applyAlignment="1">
      <alignment horizontal="left" vertical="center"/>
    </xf>
    <xf numFmtId="0" fontId="19" fillId="0" borderId="1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vertical="center"/>
    </xf>
    <xf numFmtId="177" fontId="19" fillId="0" borderId="0" xfId="0" applyNumberFormat="1" applyFont="1" applyAlignment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4" fontId="65" fillId="0" borderId="0" xfId="25" applyNumberFormat="1" applyFont="1" applyFill="1" applyBorder="1" applyAlignment="1">
      <alignment horizontal="left" vertical="center"/>
    </xf>
    <xf numFmtId="14" fontId="19" fillId="0" borderId="0" xfId="25" applyNumberFormat="1" applyFont="1" applyBorder="1" applyAlignment="1">
      <alignment horizontal="center" vertical="center"/>
    </xf>
    <xf numFmtId="49" fontId="18" fillId="26" borderId="15" xfId="25" applyNumberFormat="1" applyFont="1" applyFill="1" applyBorder="1" applyAlignment="1">
      <alignment horizontal="center" vertical="center" wrapText="1"/>
    </xf>
    <xf numFmtId="179" fontId="18" fillId="26" borderId="15" xfId="25" applyNumberFormat="1" applyFont="1" applyFill="1" applyBorder="1" applyAlignment="1">
      <alignment horizontal="center" vertical="center" wrapText="1"/>
    </xf>
    <xf numFmtId="14" fontId="18" fillId="26" borderId="15" xfId="25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2" fontId="25" fillId="0" borderId="0" xfId="25" applyNumberFormat="1" applyFont="1" applyFill="1" applyBorder="1" applyAlignment="1">
      <alignment horizontal="left" vertical="center"/>
    </xf>
    <xf numFmtId="0" fontId="25" fillId="0" borderId="0" xfId="25" applyNumberFormat="1" applyFont="1" applyFill="1" applyBorder="1" applyAlignment="1">
      <alignment horizontal="left" vertical="center"/>
    </xf>
    <xf numFmtId="49" fontId="25" fillId="0" borderId="0" xfId="25" applyNumberFormat="1" applyFont="1" applyFill="1" applyBorder="1" applyAlignment="1">
      <alignment horizontal="left" vertical="center"/>
    </xf>
    <xf numFmtId="14" fontId="25" fillId="0" borderId="0" xfId="25" applyNumberFormat="1" applyFont="1" applyFill="1" applyBorder="1" applyAlignment="1">
      <alignment horizontal="left" vertical="center"/>
    </xf>
    <xf numFmtId="176" fontId="25" fillId="0" borderId="0" xfId="25" applyNumberFormat="1" applyFont="1" applyFill="1" applyBorder="1" applyAlignment="1">
      <alignment horizontal="left" vertical="center"/>
    </xf>
    <xf numFmtId="179" fontId="25" fillId="0" borderId="0" xfId="25" applyNumberFormat="1" applyFont="1" applyFill="1" applyBorder="1" applyAlignment="1">
      <alignment horizontal="left" vertical="center"/>
    </xf>
    <xf numFmtId="0" fontId="67" fillId="0" borderId="0" xfId="25" applyFont="1" applyFill="1" applyAlignment="1">
      <alignment horizontal="left" vertical="center"/>
    </xf>
    <xf numFmtId="180" fontId="25" fillId="0" borderId="0" xfId="25" applyNumberFormat="1" applyFont="1" applyFill="1" applyBorder="1" applyAlignment="1">
      <alignment horizontal="left" vertical="center"/>
    </xf>
    <xf numFmtId="177" fontId="25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8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177" fontId="28" fillId="0" borderId="11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48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177" fontId="19" fillId="0" borderId="0" xfId="0" applyNumberFormat="1" applyFont="1" applyFill="1" applyAlignment="1">
      <alignment horizontal="left" vertical="center"/>
    </xf>
    <xf numFmtId="0" fontId="19" fillId="0" borderId="0" xfId="0" applyFont="1" applyFill="1">
      <alignment vertical="center"/>
    </xf>
    <xf numFmtId="0" fontId="19" fillId="30" borderId="0" xfId="0" applyFont="1" applyFill="1" applyAlignment="1">
      <alignment horizontal="left" vertical="center"/>
    </xf>
    <xf numFmtId="177" fontId="19" fillId="30" borderId="0" xfId="0" applyNumberFormat="1" applyFont="1" applyFill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left" vertical="center"/>
    </xf>
    <xf numFmtId="177" fontId="19" fillId="0" borderId="10" xfId="0" applyNumberFormat="1" applyFont="1" applyFill="1" applyBorder="1" applyAlignment="1">
      <alignment horizontal="left" vertical="center"/>
    </xf>
    <xf numFmtId="181" fontId="25" fillId="0" borderId="10" xfId="0" applyNumberFormat="1" applyFont="1" applyFill="1" applyBorder="1" applyAlignment="1">
      <alignment horizontal="left" vertical="center"/>
    </xf>
    <xf numFmtId="49" fontId="19" fillId="0" borderId="10" xfId="25" applyNumberFormat="1" applyFont="1" applyFill="1" applyBorder="1" applyAlignment="1">
      <alignment horizontal="left" vertical="center"/>
    </xf>
    <xf numFmtId="180" fontId="19" fillId="0" borderId="10" xfId="25" applyNumberFormat="1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177" fontId="18" fillId="0" borderId="1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4" fontId="61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2" fontId="18" fillId="0" borderId="10" xfId="0" applyNumberFormat="1" applyFont="1" applyFill="1" applyBorder="1" applyAlignment="1">
      <alignment horizontal="center" vertical="center" wrapText="1"/>
    </xf>
    <xf numFmtId="179" fontId="18" fillId="0" borderId="10" xfId="0" applyNumberFormat="1" applyFont="1" applyFill="1" applyBorder="1" applyAlignment="1">
      <alignment horizontal="center" vertical="center" wrapText="1"/>
    </xf>
    <xf numFmtId="14" fontId="18" fillId="0" borderId="13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176" fontId="18" fillId="27" borderId="10" xfId="0" applyNumberFormat="1" applyFont="1" applyFill="1" applyBorder="1" applyAlignment="1">
      <alignment horizontal="center" vertical="center" wrapText="1"/>
    </xf>
    <xf numFmtId="49" fontId="18" fillId="27" borderId="10" xfId="0" applyNumberFormat="1" applyFont="1" applyFill="1" applyBorder="1" applyAlignment="1">
      <alignment horizontal="center" vertical="center" wrapText="1"/>
    </xf>
    <xf numFmtId="49" fontId="19" fillId="28" borderId="10" xfId="0" applyNumberFormat="1" applyFont="1" applyFill="1" applyBorder="1" applyAlignment="1">
      <alignment horizontal="center" vertical="center" wrapText="1"/>
    </xf>
    <xf numFmtId="177" fontId="18" fillId="28" borderId="10" xfId="0" applyNumberFormat="1" applyFont="1" applyFill="1" applyBorder="1" applyAlignment="1">
      <alignment horizontal="center" vertical="center" wrapText="1"/>
    </xf>
    <xf numFmtId="182" fontId="18" fillId="28" borderId="11" xfId="0" applyNumberFormat="1" applyFont="1" applyFill="1" applyBorder="1" applyAlignment="1">
      <alignment horizontal="center" vertical="center" wrapText="1"/>
    </xf>
    <xf numFmtId="49" fontId="18" fillId="28" borderId="11" xfId="0" applyNumberFormat="1" applyFont="1" applyFill="1" applyBorder="1" applyAlignment="1">
      <alignment horizontal="center" vertical="center" wrapText="1"/>
    </xf>
    <xf numFmtId="184" fontId="18" fillId="0" borderId="1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0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26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1" fillId="0" borderId="10" xfId="0" applyFont="1" applyBorder="1" applyAlignment="1">
      <alignment horizontal="center" vertical="center"/>
    </xf>
    <xf numFmtId="49" fontId="21" fillId="0" borderId="10" xfId="0" applyNumberFormat="1" applyFont="1" applyBorder="1">
      <alignment vertical="center"/>
    </xf>
    <xf numFmtId="49" fontId="18" fillId="31" borderId="10" xfId="0" applyNumberFormat="1" applyFont="1" applyFill="1" applyBorder="1" applyAlignment="1">
      <alignment horizontal="center" vertical="center"/>
    </xf>
    <xf numFmtId="0" fontId="18" fillId="31" borderId="10" xfId="0" applyFont="1" applyFill="1" applyBorder="1" applyAlignment="1">
      <alignment horizontal="center" vertical="center"/>
    </xf>
    <xf numFmtId="177" fontId="18" fillId="31" borderId="10" xfId="0" applyNumberFormat="1" applyFont="1" applyFill="1" applyBorder="1" applyAlignment="1">
      <alignment horizontal="center" vertical="center"/>
    </xf>
    <xf numFmtId="0" fontId="19" fillId="31" borderId="0" xfId="0" applyFont="1" applyFill="1" applyAlignment="1">
      <alignment horizontal="center" vertical="center"/>
    </xf>
    <xf numFmtId="49" fontId="67" fillId="31" borderId="10" xfId="0" applyNumberFormat="1" applyFont="1" applyFill="1" applyBorder="1" applyAlignment="1">
      <alignment horizontal="center" vertical="center"/>
    </xf>
    <xf numFmtId="0" fontId="0" fillId="31" borderId="10" xfId="0" applyFill="1" applyBorder="1">
      <alignment vertical="center"/>
    </xf>
    <xf numFmtId="0" fontId="0" fillId="31" borderId="10" xfId="0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center" vertical="center"/>
    </xf>
    <xf numFmtId="0" fontId="20" fillId="0" borderId="0" xfId="25" applyNumberFormat="1" applyFont="1" applyFill="1" applyBorder="1" applyAlignment="1">
      <alignment horizontal="center" vertical="center"/>
    </xf>
    <xf numFmtId="0" fontId="25" fillId="0" borderId="0" xfId="25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 wrapText="1"/>
    </xf>
    <xf numFmtId="0" fontId="69" fillId="0" borderId="0" xfId="0" applyNumberFormat="1" applyFont="1" applyFill="1" applyBorder="1" applyAlignment="1">
      <alignment horizontal="left" vertical="center"/>
    </xf>
    <xf numFmtId="0" fontId="70" fillId="0" borderId="0" xfId="0" applyNumberFormat="1" applyFont="1" applyFill="1" applyBorder="1" applyAlignment="1">
      <alignment horizontal="left" vertical="center"/>
    </xf>
    <xf numFmtId="0" fontId="71" fillId="0" borderId="0" xfId="0" applyFont="1" applyAlignment="1">
      <alignment horizontal="left" vertical="center"/>
    </xf>
    <xf numFmtId="0" fontId="72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82" fontId="19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177" fontId="25" fillId="0" borderId="0" xfId="0" applyNumberFormat="1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/>
    </xf>
    <xf numFmtId="0" fontId="19" fillId="0" borderId="10" xfId="0" applyNumberFormat="1" applyFont="1" applyFill="1" applyBorder="1" applyAlignment="1">
      <alignment horizontal="left" vertical="center"/>
    </xf>
    <xf numFmtId="177" fontId="19" fillId="25" borderId="10" xfId="0" applyNumberFormat="1" applyFont="1" applyFill="1" applyBorder="1" applyAlignment="1">
      <alignment horizontal="left" vertical="center"/>
    </xf>
    <xf numFmtId="183" fontId="19" fillId="0" borderId="0" xfId="0" applyNumberFormat="1" applyFont="1" applyFill="1" applyBorder="1" applyAlignment="1">
      <alignment horizontal="left" vertical="center"/>
    </xf>
    <xf numFmtId="180" fontId="25" fillId="0" borderId="0" xfId="0" applyNumberFormat="1" applyFont="1" applyFill="1" applyBorder="1" applyAlignment="1">
      <alignment horizontal="left" vertical="center"/>
    </xf>
    <xf numFmtId="177" fontId="25" fillId="25" borderId="10" xfId="0" applyNumberFormat="1" applyFont="1" applyFill="1" applyBorder="1" applyAlignment="1">
      <alignment horizontal="left" vertical="center"/>
    </xf>
    <xf numFmtId="14" fontId="25" fillId="0" borderId="0" xfId="0" applyNumberFormat="1" applyFont="1" applyFill="1" applyBorder="1" applyAlignment="1">
      <alignment horizontal="left" vertical="center"/>
    </xf>
    <xf numFmtId="49" fontId="25" fillId="0" borderId="0" xfId="0" applyNumberFormat="1" applyFont="1" applyFill="1" applyBorder="1" applyAlignment="1">
      <alignment horizontal="left" vertical="center"/>
    </xf>
    <xf numFmtId="176" fontId="25" fillId="0" borderId="0" xfId="0" applyNumberFormat="1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  <xf numFmtId="181" fontId="19" fillId="0" borderId="0" xfId="0" applyNumberFormat="1" applyFont="1" applyFill="1" applyBorder="1" applyAlignment="1">
      <alignment horizontal="left" vertical="center"/>
    </xf>
    <xf numFmtId="0" fontId="19" fillId="25" borderId="10" xfId="0" applyNumberFormat="1" applyFont="1" applyFill="1" applyBorder="1" applyAlignment="1">
      <alignment horizontal="left" vertical="center"/>
    </xf>
    <xf numFmtId="177" fontId="61" fillId="0" borderId="0" xfId="0" applyNumberFormat="1" applyFont="1" applyFill="1" applyBorder="1" applyAlignment="1">
      <alignment horizontal="left" vertical="center"/>
    </xf>
    <xf numFmtId="0" fontId="19" fillId="24" borderId="0" xfId="0" applyNumberFormat="1" applyFont="1" applyFill="1" applyBorder="1" applyAlignment="1">
      <alignment horizontal="left" vertical="center"/>
    </xf>
    <xf numFmtId="177" fontId="19" fillId="25" borderId="14" xfId="0" applyNumberFormat="1" applyFont="1" applyFill="1" applyBorder="1" applyAlignment="1">
      <alignment horizontal="left" vertical="center"/>
    </xf>
    <xf numFmtId="177" fontId="19" fillId="26" borderId="10" xfId="0" applyNumberFormat="1" applyFont="1" applyFill="1" applyBorder="1" applyAlignment="1">
      <alignment horizontal="left" vertical="center"/>
    </xf>
    <xf numFmtId="184" fontId="19" fillId="0" borderId="0" xfId="0" applyNumberFormat="1" applyFont="1" applyFill="1" applyBorder="1" applyAlignment="1">
      <alignment horizontal="left" vertical="center"/>
    </xf>
    <xf numFmtId="185" fontId="19" fillId="0" borderId="0" xfId="0" applyNumberFormat="1" applyFont="1" applyFill="1" applyBorder="1" applyAlignment="1">
      <alignment horizontal="left" vertical="center"/>
    </xf>
    <xf numFmtId="182" fontId="70" fillId="0" borderId="0" xfId="0" applyNumberFormat="1" applyFont="1" applyFill="1" applyBorder="1" applyAlignment="1">
      <alignment horizontal="left" vertical="center"/>
    </xf>
    <xf numFmtId="180" fontId="7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Alignment="1">
      <alignment horizontal="left" vertical="center"/>
    </xf>
    <xf numFmtId="179" fontId="19" fillId="0" borderId="0" xfId="0" applyNumberFormat="1" applyFont="1" applyFill="1" applyAlignment="1">
      <alignment horizontal="left" vertical="center"/>
    </xf>
    <xf numFmtId="177" fontId="19" fillId="24" borderId="10" xfId="0" applyNumberFormat="1" applyFont="1" applyFill="1" applyBorder="1" applyAlignment="1">
      <alignment horizontal="left" vertical="center"/>
    </xf>
    <xf numFmtId="186" fontId="19" fillId="0" borderId="0" xfId="0" applyNumberFormat="1" applyFont="1" applyFill="1" applyBorder="1" applyAlignment="1">
      <alignment horizontal="left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61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 wrapText="1"/>
    </xf>
    <xf numFmtId="177" fontId="19" fillId="25" borderId="13" xfId="0" applyNumberFormat="1" applyFont="1" applyFill="1" applyBorder="1" applyAlignment="1">
      <alignment horizontal="left" vertical="center"/>
    </xf>
    <xf numFmtId="177" fontId="19" fillId="25" borderId="10" xfId="25" applyNumberFormat="1" applyFont="1" applyFill="1" applyBorder="1" applyAlignment="1">
      <alignment horizontal="left" vertical="center"/>
    </xf>
    <xf numFmtId="184" fontId="19" fillId="0" borderId="0" xfId="25" applyNumberFormat="1" applyFont="1" applyFill="1" applyBorder="1" applyAlignment="1">
      <alignment horizontal="left" vertical="center"/>
    </xf>
    <xf numFmtId="177" fontId="19" fillId="24" borderId="10" xfId="25" applyNumberFormat="1" applyFont="1" applyFill="1" applyBorder="1" applyAlignment="1">
      <alignment horizontal="left" vertical="center"/>
    </xf>
    <xf numFmtId="180" fontId="61" fillId="0" borderId="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177" fontId="25" fillId="24" borderId="10" xfId="0" applyNumberFormat="1" applyFont="1" applyFill="1" applyBorder="1" applyAlignment="1">
      <alignment horizontal="left" vertical="center"/>
    </xf>
    <xf numFmtId="184" fontId="25" fillId="0" borderId="0" xfId="0" applyNumberFormat="1" applyFont="1" applyFill="1" applyBorder="1" applyAlignment="1">
      <alignment horizontal="left" vertical="center"/>
    </xf>
    <xf numFmtId="0" fontId="19" fillId="25" borderId="13" xfId="0" applyNumberFormat="1" applyFont="1" applyFill="1" applyBorder="1" applyAlignment="1">
      <alignment horizontal="left" vertical="center"/>
    </xf>
    <xf numFmtId="177" fontId="19" fillId="26" borderId="13" xfId="0" applyNumberFormat="1" applyFont="1" applyFill="1" applyBorder="1" applyAlignment="1">
      <alignment horizontal="left" vertical="center"/>
    </xf>
    <xf numFmtId="0" fontId="19" fillId="29" borderId="0" xfId="0" applyNumberFormat="1" applyFont="1" applyFill="1" applyBorder="1" applyAlignment="1">
      <alignment horizontal="left" vertical="center"/>
    </xf>
    <xf numFmtId="0" fontId="25" fillId="29" borderId="0" xfId="0" applyNumberFormat="1" applyFont="1" applyFill="1" applyBorder="1" applyAlignment="1">
      <alignment horizontal="left" vertical="center"/>
    </xf>
    <xf numFmtId="49" fontId="61" fillId="0" borderId="0" xfId="0" applyNumberFormat="1" applyFont="1" applyFill="1" applyBorder="1" applyAlignment="1">
      <alignment horizontal="left" vertical="center"/>
    </xf>
    <xf numFmtId="182" fontId="61" fillId="0" borderId="0" xfId="0" applyNumberFormat="1" applyFont="1" applyFill="1" applyBorder="1" applyAlignment="1">
      <alignment horizontal="left" vertical="center"/>
    </xf>
    <xf numFmtId="184" fontId="61" fillId="0" borderId="0" xfId="0" applyNumberFormat="1" applyFont="1" applyFill="1" applyBorder="1" applyAlignment="1">
      <alignment horizontal="left" vertical="center"/>
    </xf>
    <xf numFmtId="14" fontId="61" fillId="0" borderId="0" xfId="0" applyNumberFormat="1" applyFont="1" applyFill="1" applyBorder="1" applyAlignment="1">
      <alignment horizontal="left" vertical="center"/>
    </xf>
    <xf numFmtId="0" fontId="19" fillId="26" borderId="1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52" fillId="0" borderId="0" xfId="0" applyFont="1" applyBorder="1" applyAlignment="1">
      <alignment horizontal="center" vertical="center"/>
    </xf>
    <xf numFmtId="14" fontId="51" fillId="0" borderId="0" xfId="0" applyNumberFormat="1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182" fontId="19" fillId="32" borderId="0" xfId="25" applyNumberFormat="1" applyFont="1" applyFill="1" applyBorder="1" applyAlignment="1">
      <alignment horizontal="left" vertical="center"/>
    </xf>
    <xf numFmtId="176" fontId="19" fillId="32" borderId="0" xfId="25" applyNumberFormat="1" applyFont="1" applyFill="1" applyBorder="1" applyAlignment="1">
      <alignment horizontal="left" vertical="center"/>
    </xf>
    <xf numFmtId="49" fontId="19" fillId="32" borderId="0" xfId="25" applyNumberFormat="1" applyFont="1" applyFill="1" applyBorder="1" applyAlignment="1">
      <alignment horizontal="left" vertical="center"/>
    </xf>
    <xf numFmtId="179" fontId="19" fillId="32" borderId="0" xfId="25" applyNumberFormat="1" applyFont="1" applyFill="1" applyBorder="1" applyAlignment="1">
      <alignment horizontal="left" vertical="center"/>
    </xf>
    <xf numFmtId="182" fontId="25" fillId="32" borderId="0" xfId="25" applyNumberFormat="1" applyFont="1" applyFill="1" applyBorder="1" applyAlignment="1">
      <alignment horizontal="left" vertical="center"/>
    </xf>
    <xf numFmtId="176" fontId="25" fillId="32" borderId="0" xfId="25" applyNumberFormat="1" applyFont="1" applyFill="1" applyBorder="1" applyAlignment="1">
      <alignment horizontal="left" vertical="center"/>
    </xf>
    <xf numFmtId="49" fontId="25" fillId="32" borderId="0" xfId="25" applyNumberFormat="1" applyFont="1" applyFill="1" applyBorder="1" applyAlignment="1">
      <alignment horizontal="left" vertical="center"/>
    </xf>
    <xf numFmtId="179" fontId="25" fillId="32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26" borderId="10" xfId="0" applyFill="1" applyBorder="1">
      <alignment vertical="center"/>
    </xf>
    <xf numFmtId="0" fontId="21" fillId="0" borderId="10" xfId="0" applyFont="1" applyBorder="1">
      <alignment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74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10" xfId="0" applyFont="1" applyFill="1" applyBorder="1">
      <alignment vertical="center"/>
    </xf>
    <xf numFmtId="0" fontId="76" fillId="0" borderId="0" xfId="0" applyFont="1" applyAlignment="1">
      <alignment horizontal="left" vertical="center"/>
    </xf>
    <xf numFmtId="49" fontId="76" fillId="0" borderId="0" xfId="0" applyNumberFormat="1" applyFont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61" fillId="0" borderId="1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center" vertical="center"/>
    </xf>
    <xf numFmtId="177" fontId="18" fillId="0" borderId="10" xfId="0" applyNumberFormat="1" applyFont="1" applyFill="1" applyBorder="1" applyAlignment="1">
      <alignment horizontal="center" vertical="center" wrapText="1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80" fontId="18" fillId="0" borderId="11" xfId="0" applyNumberFormat="1" applyFont="1" applyFill="1" applyBorder="1" applyAlignment="1">
      <alignment horizontal="center" vertical="center" wrapText="1"/>
    </xf>
    <xf numFmtId="177" fontId="20" fillId="0" borderId="0" xfId="0" applyNumberFormat="1" applyFont="1" applyFill="1" applyBorder="1" applyAlignment="1">
      <alignment horizontal="left" vertical="center"/>
    </xf>
    <xf numFmtId="180" fontId="20" fillId="0" borderId="0" xfId="0" applyNumberFormat="1" applyFont="1" applyFill="1" applyBorder="1" applyAlignment="1">
      <alignment horizontal="left" vertical="center"/>
    </xf>
    <xf numFmtId="177" fontId="22" fillId="0" borderId="0" xfId="0" applyNumberFormat="1" applyFont="1" applyFill="1" applyBorder="1" applyAlignment="1">
      <alignment horizontal="left" vertical="center"/>
    </xf>
    <xf numFmtId="177" fontId="77" fillId="0" borderId="0" xfId="0" applyNumberFormat="1" applyFont="1" applyFill="1" applyBorder="1" applyAlignment="1">
      <alignment horizontal="left" vertical="center"/>
    </xf>
    <xf numFmtId="177" fontId="20" fillId="26" borderId="0" xfId="0" applyNumberFormat="1" applyFont="1" applyFill="1" applyBorder="1" applyAlignment="1">
      <alignment horizontal="left" vertical="center"/>
    </xf>
    <xf numFmtId="185" fontId="20" fillId="0" borderId="0" xfId="0" applyNumberFormat="1" applyFont="1" applyFill="1" applyBorder="1" applyAlignment="1">
      <alignment horizontal="left" vertical="center"/>
    </xf>
    <xf numFmtId="177" fontId="20" fillId="0" borderId="0" xfId="25" applyNumberFormat="1" applyFont="1" applyFill="1" applyBorder="1" applyAlignment="1">
      <alignment horizontal="left" vertical="center"/>
    </xf>
    <xf numFmtId="177" fontId="77" fillId="0" borderId="0" xfId="25" applyNumberFormat="1" applyFont="1" applyFill="1" applyBorder="1" applyAlignment="1">
      <alignment horizontal="left" vertical="center"/>
    </xf>
    <xf numFmtId="180" fontId="22" fillId="26" borderId="0" xfId="0" applyNumberFormat="1" applyFont="1" applyFill="1" applyBorder="1" applyAlignment="1">
      <alignment horizontal="left" vertical="center"/>
    </xf>
    <xf numFmtId="180" fontId="77" fillId="0" borderId="0" xfId="0" applyNumberFormat="1" applyFont="1" applyFill="1" applyBorder="1" applyAlignment="1">
      <alignment horizontal="left" vertical="center"/>
    </xf>
    <xf numFmtId="180" fontId="22" fillId="0" borderId="0" xfId="0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0" fillId="0" borderId="10" xfId="0" applyFill="1" applyBorder="1">
      <alignment vertical="center"/>
    </xf>
    <xf numFmtId="177" fontId="19" fillId="26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0" fontId="61" fillId="0" borderId="0" xfId="25" applyNumberFormat="1" applyFont="1" applyFill="1" applyBorder="1" applyAlignment="1">
      <alignment horizontal="left" vertical="center"/>
    </xf>
    <xf numFmtId="0" fontId="19" fillId="0" borderId="0" xfId="25" applyNumberFormat="1" applyFont="1" applyFill="1" applyBorder="1" applyAlignment="1">
      <alignment horizontal="left" vertical="center"/>
    </xf>
    <xf numFmtId="177" fontId="19" fillId="25" borderId="15" xfId="0" applyNumberFormat="1" applyFont="1" applyFill="1" applyBorder="1" applyAlignment="1">
      <alignment horizontal="left" vertical="center"/>
    </xf>
    <xf numFmtId="177" fontId="19" fillId="25" borderId="12" xfId="0" applyNumberFormat="1" applyFont="1" applyFill="1" applyBorder="1" applyAlignment="1">
      <alignment horizontal="left" vertical="center"/>
    </xf>
    <xf numFmtId="49" fontId="19" fillId="30" borderId="0" xfId="0" applyNumberFormat="1" applyFont="1" applyFill="1" applyAlignment="1">
      <alignment horizontal="center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36"/>
  <sheetViews>
    <sheetView tabSelected="1" zoomScaleSheetLayoutView="100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R22" sqref="R22"/>
    </sheetView>
  </sheetViews>
  <sheetFormatPr defaultRowHeight="12" customHeight="1"/>
  <cols>
    <col min="1" max="1" width="9.625" style="25" customWidth="1"/>
    <col min="2" max="2" width="24.25" style="225" customWidth="1"/>
    <col min="3" max="3" width="7.125" style="219" customWidth="1"/>
    <col min="4" max="4" width="29" style="225" customWidth="1"/>
    <col min="5" max="5" width="11.625" style="196" customWidth="1"/>
    <col min="6" max="6" width="6.625" style="205" customWidth="1"/>
    <col min="7" max="7" width="7.125" style="26" customWidth="1"/>
    <col min="8" max="8" width="11" style="31" customWidth="1"/>
    <col min="9" max="9" width="14.625" style="27" customWidth="1"/>
    <col min="10" max="10" width="14" style="28" customWidth="1"/>
    <col min="11" max="11" width="12.375" style="25" customWidth="1"/>
    <col min="12" max="12" width="13.875" style="56" customWidth="1"/>
    <col min="13" max="13" width="8" style="29" customWidth="1"/>
    <col min="14" max="14" width="8.5" style="28" customWidth="1"/>
    <col min="15" max="15" width="9.375" style="32" customWidth="1"/>
    <col min="16" max="16" width="9.625" style="56" customWidth="1"/>
    <col min="17" max="17" width="13.75" style="26" customWidth="1"/>
    <col min="18" max="18" width="16.625" style="26" customWidth="1"/>
    <col min="19" max="32" width="9" style="26"/>
    <col min="33" max="16384" width="9" style="35"/>
  </cols>
  <sheetData>
    <row r="1" spans="1:32" s="39" customFormat="1">
      <c r="A1" s="40" t="s">
        <v>216</v>
      </c>
      <c r="B1" s="41" t="s">
        <v>217</v>
      </c>
      <c r="C1" s="41" t="s">
        <v>6</v>
      </c>
      <c r="D1" s="41" t="s">
        <v>1111</v>
      </c>
      <c r="E1" s="41" t="s">
        <v>975</v>
      </c>
      <c r="F1" s="42" t="s">
        <v>219</v>
      </c>
      <c r="G1" s="43" t="s">
        <v>145</v>
      </c>
      <c r="H1" s="44" t="s">
        <v>221</v>
      </c>
      <c r="I1" s="45" t="s">
        <v>222</v>
      </c>
      <c r="J1" s="46" t="s">
        <v>1728</v>
      </c>
      <c r="K1" s="40" t="s">
        <v>223</v>
      </c>
      <c r="L1" s="55" t="s">
        <v>224</v>
      </c>
      <c r="M1" s="47" t="s">
        <v>225</v>
      </c>
      <c r="N1" s="89" t="s">
        <v>226</v>
      </c>
      <c r="O1" s="90" t="s">
        <v>968</v>
      </c>
      <c r="P1" s="91" t="s">
        <v>227</v>
      </c>
      <c r="Q1" s="39" t="s">
        <v>228</v>
      </c>
      <c r="R1" s="39" t="s">
        <v>796</v>
      </c>
    </row>
    <row r="2" spans="1:32" s="33" customFormat="1" ht="13.5" customHeight="1">
      <c r="A2" s="25">
        <v>41012</v>
      </c>
      <c r="B2" s="225" t="s">
        <v>1989</v>
      </c>
      <c r="C2" s="219" t="s">
        <v>758</v>
      </c>
      <c r="D2" s="225" t="s">
        <v>241</v>
      </c>
      <c r="E2" s="196">
        <v>6200</v>
      </c>
      <c r="F2" s="119">
        <v>6</v>
      </c>
      <c r="G2" s="26" t="s">
        <v>230</v>
      </c>
      <c r="H2" s="30">
        <v>53.08</v>
      </c>
      <c r="I2" s="27">
        <f>F2*H2</f>
        <v>318.48</v>
      </c>
      <c r="J2" s="28"/>
      <c r="K2" s="25" t="s">
        <v>5500</v>
      </c>
      <c r="L2" s="25">
        <v>41022</v>
      </c>
      <c r="M2" s="29" t="s">
        <v>256</v>
      </c>
      <c r="N2" s="28" t="s">
        <v>257</v>
      </c>
      <c r="O2" s="32">
        <v>45118.03</v>
      </c>
      <c r="P2" s="56">
        <v>41053</v>
      </c>
      <c r="Q2" s="379" t="s">
        <v>258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 s="33" customFormat="1" ht="13.5" customHeight="1">
      <c r="A3" s="25">
        <v>41012</v>
      </c>
      <c r="B3" s="225" t="s">
        <v>229</v>
      </c>
      <c r="C3" s="219" t="s">
        <v>758</v>
      </c>
      <c r="D3" s="225" t="s">
        <v>183</v>
      </c>
      <c r="E3" s="225" t="s">
        <v>1874</v>
      </c>
      <c r="F3" s="119">
        <v>50</v>
      </c>
      <c r="G3" s="26" t="s">
        <v>232</v>
      </c>
      <c r="H3" s="30">
        <v>10.7864</v>
      </c>
      <c r="I3" s="27">
        <f>F3*H3</f>
        <v>539.32000000000005</v>
      </c>
      <c r="J3" s="28"/>
      <c r="K3" s="25" t="s">
        <v>5500</v>
      </c>
      <c r="L3" s="25">
        <v>41022</v>
      </c>
      <c r="M3" s="29" t="s">
        <v>256</v>
      </c>
      <c r="N3" s="28" t="s">
        <v>257</v>
      </c>
      <c r="O3" s="32">
        <v>45118.03</v>
      </c>
      <c r="P3" s="56">
        <v>41053</v>
      </c>
      <c r="Q3" s="379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s="33" customFormat="1" ht="15" customHeight="1">
      <c r="A4" s="25">
        <v>41016</v>
      </c>
      <c r="B4" s="225" t="s">
        <v>229</v>
      </c>
      <c r="C4" s="219" t="s">
        <v>758</v>
      </c>
      <c r="D4" s="225" t="s">
        <v>1770</v>
      </c>
      <c r="E4" s="196" t="s">
        <v>235</v>
      </c>
      <c r="F4" s="119">
        <v>2000</v>
      </c>
      <c r="G4" s="26" t="s">
        <v>230</v>
      </c>
      <c r="H4" s="31">
        <v>1.1200000000000001</v>
      </c>
      <c r="I4" s="27">
        <f t="shared" ref="I4:I35" si="0">H4*F4</f>
        <v>2240</v>
      </c>
      <c r="J4" s="28"/>
      <c r="K4" s="25" t="s">
        <v>5500</v>
      </c>
      <c r="L4" s="25" t="s">
        <v>1855</v>
      </c>
      <c r="M4" s="25" t="s">
        <v>1855</v>
      </c>
      <c r="N4" s="28" t="s">
        <v>5329</v>
      </c>
      <c r="O4" s="26"/>
      <c r="P4" s="56"/>
      <c r="Q4" s="26" t="s">
        <v>259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s="33" customFormat="1" ht="13.5" customHeight="1">
      <c r="A5" s="25">
        <v>41017</v>
      </c>
      <c r="B5" s="225" t="s">
        <v>229</v>
      </c>
      <c r="C5" s="219" t="s">
        <v>758</v>
      </c>
      <c r="D5" s="225" t="s">
        <v>355</v>
      </c>
      <c r="E5" s="196" t="s">
        <v>260</v>
      </c>
      <c r="F5" s="119">
        <v>40</v>
      </c>
      <c r="G5" s="26" t="s">
        <v>230</v>
      </c>
      <c r="H5" s="31"/>
      <c r="I5" s="27">
        <f t="shared" si="0"/>
        <v>0</v>
      </c>
      <c r="J5" s="28"/>
      <c r="K5" s="25" t="s">
        <v>5500</v>
      </c>
      <c r="L5" s="25" t="s">
        <v>1855</v>
      </c>
      <c r="M5" s="25" t="s">
        <v>1855</v>
      </c>
      <c r="N5" s="28" t="s">
        <v>5329</v>
      </c>
      <c r="O5" s="26"/>
      <c r="P5" s="56"/>
      <c r="Q5" s="26" t="s">
        <v>261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s="33" customFormat="1" ht="13.5" customHeight="1">
      <c r="A6" s="25">
        <v>41017</v>
      </c>
      <c r="B6" s="225" t="s">
        <v>229</v>
      </c>
      <c r="C6" s="219" t="s">
        <v>758</v>
      </c>
      <c r="D6" s="225" t="s">
        <v>359</v>
      </c>
      <c r="E6" s="196">
        <v>1711</v>
      </c>
      <c r="F6" s="119">
        <v>15</v>
      </c>
      <c r="G6" s="26" t="s">
        <v>240</v>
      </c>
      <c r="H6" s="31"/>
      <c r="I6" s="27">
        <f t="shared" si="0"/>
        <v>0</v>
      </c>
      <c r="J6" s="28"/>
      <c r="K6" s="25" t="s">
        <v>5500</v>
      </c>
      <c r="L6" s="25" t="s">
        <v>1855</v>
      </c>
      <c r="M6" s="25" t="s">
        <v>1855</v>
      </c>
      <c r="N6" s="28" t="s">
        <v>5329</v>
      </c>
      <c r="O6" s="26"/>
      <c r="P6" s="56"/>
      <c r="Q6" s="26" t="s">
        <v>261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s="33" customFormat="1" ht="11.25" customHeight="1">
      <c r="A7" s="25">
        <v>41017</v>
      </c>
      <c r="B7" s="225" t="s">
        <v>229</v>
      </c>
      <c r="C7" s="219" t="s">
        <v>758</v>
      </c>
      <c r="D7" s="225" t="s">
        <v>1744</v>
      </c>
      <c r="E7" s="196">
        <v>6003</v>
      </c>
      <c r="F7" s="119">
        <v>30</v>
      </c>
      <c r="G7" s="26" t="s">
        <v>230</v>
      </c>
      <c r="H7" s="31"/>
      <c r="I7" s="27">
        <f t="shared" si="0"/>
        <v>0</v>
      </c>
      <c r="J7" s="28"/>
      <c r="K7" s="25" t="s">
        <v>5500</v>
      </c>
      <c r="L7" s="25" t="s">
        <v>1855</v>
      </c>
      <c r="M7" s="25" t="s">
        <v>1855</v>
      </c>
      <c r="N7" s="28" t="s">
        <v>5329</v>
      </c>
      <c r="O7" s="26"/>
      <c r="P7" s="56"/>
      <c r="Q7" s="26" t="s">
        <v>261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s="33" customFormat="1" ht="13.5" customHeight="1">
      <c r="A8" s="25">
        <v>41017</v>
      </c>
      <c r="B8" s="225" t="s">
        <v>254</v>
      </c>
      <c r="C8" s="219" t="s">
        <v>758</v>
      </c>
      <c r="D8" s="225" t="s">
        <v>352</v>
      </c>
      <c r="E8" s="196">
        <v>7502</v>
      </c>
      <c r="F8" s="119">
        <v>20</v>
      </c>
      <c r="G8" s="26" t="s">
        <v>230</v>
      </c>
      <c r="H8" s="31">
        <v>125</v>
      </c>
      <c r="I8" s="27">
        <f t="shared" si="0"/>
        <v>2500</v>
      </c>
      <c r="J8" s="28"/>
      <c r="K8" s="25" t="s">
        <v>5500</v>
      </c>
      <c r="L8" s="25" t="s">
        <v>1855</v>
      </c>
      <c r="M8" s="25" t="s">
        <v>1855</v>
      </c>
      <c r="N8" s="28" t="s">
        <v>5942</v>
      </c>
      <c r="O8" s="343" t="s">
        <v>5942</v>
      </c>
      <c r="P8" s="56" t="s">
        <v>5942</v>
      </c>
      <c r="Q8" s="26" t="s">
        <v>262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s="33" customFormat="1" ht="13.5" customHeight="1">
      <c r="A9" s="25">
        <v>41018</v>
      </c>
      <c r="B9" s="225" t="s">
        <v>229</v>
      </c>
      <c r="C9" s="219" t="s">
        <v>758</v>
      </c>
      <c r="D9" s="5" t="s">
        <v>2023</v>
      </c>
      <c r="E9" s="196" t="s">
        <v>263</v>
      </c>
      <c r="F9" s="119">
        <v>5</v>
      </c>
      <c r="G9" s="26" t="s">
        <v>240</v>
      </c>
      <c r="H9" s="31">
        <v>30.15</v>
      </c>
      <c r="I9" s="27">
        <f t="shared" si="0"/>
        <v>150.75</v>
      </c>
      <c r="J9" s="28"/>
      <c r="K9" s="25">
        <v>41018</v>
      </c>
      <c r="L9" s="25">
        <v>41022</v>
      </c>
      <c r="M9" s="29" t="s">
        <v>256</v>
      </c>
      <c r="N9" s="28" t="s">
        <v>257</v>
      </c>
      <c r="O9" s="32">
        <v>45118.03</v>
      </c>
      <c r="P9" s="56">
        <v>41053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s="33" customFormat="1" ht="13.5" customHeight="1">
      <c r="A10" s="25">
        <v>41018</v>
      </c>
      <c r="B10" s="225" t="s">
        <v>229</v>
      </c>
      <c r="C10" s="219" t="s">
        <v>758</v>
      </c>
      <c r="D10" s="225" t="s">
        <v>289</v>
      </c>
      <c r="E10" s="196">
        <v>10434</v>
      </c>
      <c r="F10" s="119">
        <v>15</v>
      </c>
      <c r="G10" s="26" t="s">
        <v>240</v>
      </c>
      <c r="H10" s="31">
        <v>16.079999999999998</v>
      </c>
      <c r="I10" s="27">
        <f t="shared" si="0"/>
        <v>241.2</v>
      </c>
      <c r="J10" s="28"/>
      <c r="K10" s="25">
        <v>41018</v>
      </c>
      <c r="L10" s="25">
        <v>41022</v>
      </c>
      <c r="M10" s="29" t="s">
        <v>256</v>
      </c>
      <c r="N10" s="28" t="s">
        <v>257</v>
      </c>
      <c r="O10" s="32">
        <v>45118.03</v>
      </c>
      <c r="P10" s="56">
        <v>41053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s="33" customFormat="1" ht="13.5" customHeight="1">
      <c r="A11" s="25">
        <v>41018</v>
      </c>
      <c r="B11" s="225" t="s">
        <v>229</v>
      </c>
      <c r="C11" s="219" t="s">
        <v>758</v>
      </c>
      <c r="D11" s="225" t="s">
        <v>309</v>
      </c>
      <c r="E11" s="196">
        <v>1110</v>
      </c>
      <c r="F11" s="119">
        <v>50</v>
      </c>
      <c r="G11" s="26" t="s">
        <v>240</v>
      </c>
      <c r="H11" s="31">
        <v>0.8</v>
      </c>
      <c r="I11" s="27">
        <f t="shared" si="0"/>
        <v>40</v>
      </c>
      <c r="J11" s="28"/>
      <c r="K11" s="25">
        <v>41018</v>
      </c>
      <c r="L11" s="25">
        <v>41022</v>
      </c>
      <c r="M11" s="29" t="s">
        <v>256</v>
      </c>
      <c r="N11" s="28" t="s">
        <v>257</v>
      </c>
      <c r="O11" s="32">
        <v>45118.03</v>
      </c>
      <c r="P11" s="56">
        <v>41053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s="33" customFormat="1" ht="16.5" customHeight="1">
      <c r="A12" s="25">
        <v>41018</v>
      </c>
      <c r="B12" s="225" t="s">
        <v>229</v>
      </c>
      <c r="C12" s="219" t="s">
        <v>758</v>
      </c>
      <c r="D12" s="225" t="s">
        <v>242</v>
      </c>
      <c r="E12" s="196" t="s">
        <v>243</v>
      </c>
      <c r="F12" s="119">
        <v>60</v>
      </c>
      <c r="G12" s="26" t="s">
        <v>230</v>
      </c>
      <c r="H12" s="31">
        <v>19.86</v>
      </c>
      <c r="I12" s="27">
        <f t="shared" si="0"/>
        <v>1191.5999999999999</v>
      </c>
      <c r="J12" s="28"/>
      <c r="K12" s="25">
        <v>41018</v>
      </c>
      <c r="L12" s="25">
        <v>41022</v>
      </c>
      <c r="M12" s="29" t="s">
        <v>256</v>
      </c>
      <c r="N12" s="28" t="s">
        <v>257</v>
      </c>
      <c r="O12" s="32">
        <v>45118.03</v>
      </c>
      <c r="P12" s="56">
        <v>41053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s="33" customFormat="1" ht="13.5" customHeight="1">
      <c r="A13" s="25">
        <v>41018</v>
      </c>
      <c r="B13" s="225" t="s">
        <v>229</v>
      </c>
      <c r="C13" s="219" t="s">
        <v>758</v>
      </c>
      <c r="D13" s="225" t="s">
        <v>233</v>
      </c>
      <c r="E13" s="196" t="s">
        <v>234</v>
      </c>
      <c r="F13" s="119">
        <v>100</v>
      </c>
      <c r="G13" s="26" t="s">
        <v>232</v>
      </c>
      <c r="H13" s="31">
        <v>6.16</v>
      </c>
      <c r="I13" s="27">
        <f t="shared" si="0"/>
        <v>616</v>
      </c>
      <c r="J13" s="28"/>
      <c r="K13" s="25">
        <v>41018</v>
      </c>
      <c r="L13" s="25">
        <v>41022</v>
      </c>
      <c r="M13" s="29" t="s">
        <v>256</v>
      </c>
      <c r="N13" s="28" t="s">
        <v>257</v>
      </c>
      <c r="O13" s="32">
        <v>45118.03</v>
      </c>
      <c r="P13" s="56">
        <v>41053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s="33" customFormat="1" ht="13.5" customHeight="1">
      <c r="A14" s="25">
        <v>41018</v>
      </c>
      <c r="B14" s="225" t="s">
        <v>229</v>
      </c>
      <c r="C14" s="219" t="s">
        <v>758</v>
      </c>
      <c r="D14" s="225" t="s">
        <v>264</v>
      </c>
      <c r="E14" s="196">
        <v>501</v>
      </c>
      <c r="F14" s="119">
        <v>60</v>
      </c>
      <c r="G14" s="26" t="s">
        <v>230</v>
      </c>
      <c r="H14" s="31">
        <v>1.81</v>
      </c>
      <c r="I14" s="27">
        <f t="shared" si="0"/>
        <v>108.60000000000001</v>
      </c>
      <c r="J14" s="28"/>
      <c r="K14" s="25">
        <v>41018</v>
      </c>
      <c r="L14" s="25">
        <v>41022</v>
      </c>
      <c r="M14" s="29" t="s">
        <v>256</v>
      </c>
      <c r="N14" s="28" t="s">
        <v>257</v>
      </c>
      <c r="O14" s="32">
        <v>45118.03</v>
      </c>
      <c r="P14" s="56">
        <v>41053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s="26" customFormat="1" ht="13.5" customHeight="1">
      <c r="A15" s="25">
        <v>41018</v>
      </c>
      <c r="B15" s="225" t="s">
        <v>229</v>
      </c>
      <c r="C15" s="219" t="s">
        <v>758</v>
      </c>
      <c r="D15" s="225" t="s">
        <v>845</v>
      </c>
      <c r="E15" s="196">
        <v>16618</v>
      </c>
      <c r="F15" s="119">
        <v>20</v>
      </c>
      <c r="G15" s="26" t="s">
        <v>240</v>
      </c>
      <c r="H15" s="31">
        <v>36.85</v>
      </c>
      <c r="I15" s="27">
        <f t="shared" si="0"/>
        <v>737</v>
      </c>
      <c r="J15" s="28"/>
      <c r="K15" s="25">
        <v>41018</v>
      </c>
      <c r="L15" s="25">
        <v>41022</v>
      </c>
      <c r="M15" s="29" t="s">
        <v>256</v>
      </c>
      <c r="N15" s="28" t="s">
        <v>257</v>
      </c>
      <c r="O15" s="32">
        <v>45118.03</v>
      </c>
      <c r="P15" s="56">
        <v>41053</v>
      </c>
    </row>
    <row r="16" spans="1:32" s="33" customFormat="1" ht="13.5" customHeight="1">
      <c r="A16" s="25">
        <v>41025</v>
      </c>
      <c r="B16" s="225" t="s">
        <v>229</v>
      </c>
      <c r="C16" s="219" t="s">
        <v>758</v>
      </c>
      <c r="D16" s="225" t="s">
        <v>1877</v>
      </c>
      <c r="E16" s="196" t="s">
        <v>235</v>
      </c>
      <c r="F16" s="119">
        <v>1000</v>
      </c>
      <c r="G16" s="26" t="s">
        <v>230</v>
      </c>
      <c r="H16" s="31">
        <v>1.24</v>
      </c>
      <c r="I16" s="27">
        <f t="shared" si="0"/>
        <v>1240</v>
      </c>
      <c r="J16" s="28"/>
      <c r="K16" s="25">
        <v>41025</v>
      </c>
      <c r="L16" s="25">
        <v>41025</v>
      </c>
      <c r="M16" s="29" t="s">
        <v>256</v>
      </c>
      <c r="N16" s="28" t="s">
        <v>257</v>
      </c>
      <c r="O16" s="32">
        <v>45118.03</v>
      </c>
      <c r="P16" s="56">
        <v>41053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s="33" customFormat="1" ht="13.5" customHeight="1">
      <c r="A17" s="25">
        <v>41025</v>
      </c>
      <c r="B17" s="225" t="s">
        <v>229</v>
      </c>
      <c r="C17" s="219" t="s">
        <v>758</v>
      </c>
      <c r="D17" s="225" t="s">
        <v>1878</v>
      </c>
      <c r="E17" s="196" t="s">
        <v>246</v>
      </c>
      <c r="F17" s="119">
        <v>1000</v>
      </c>
      <c r="G17" s="26" t="s">
        <v>230</v>
      </c>
      <c r="H17" s="31">
        <v>1.66</v>
      </c>
      <c r="I17" s="27">
        <f t="shared" si="0"/>
        <v>1660</v>
      </c>
      <c r="J17" s="28"/>
      <c r="K17" s="25">
        <v>41025</v>
      </c>
      <c r="L17" s="25">
        <v>41025</v>
      </c>
      <c r="M17" s="29" t="s">
        <v>256</v>
      </c>
      <c r="N17" s="28" t="s">
        <v>257</v>
      </c>
      <c r="O17" s="32">
        <v>45118.03</v>
      </c>
      <c r="P17" s="56">
        <v>41053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s="33" customFormat="1" ht="13.5" customHeight="1">
      <c r="A18" s="25">
        <v>41025</v>
      </c>
      <c r="B18" s="225" t="s">
        <v>229</v>
      </c>
      <c r="C18" s="219" t="s">
        <v>758</v>
      </c>
      <c r="D18" s="225" t="s">
        <v>683</v>
      </c>
      <c r="E18" s="196" t="s">
        <v>266</v>
      </c>
      <c r="F18" s="119">
        <v>500</v>
      </c>
      <c r="G18" s="26" t="s">
        <v>240</v>
      </c>
      <c r="H18" s="31">
        <v>3.31</v>
      </c>
      <c r="I18" s="27">
        <f t="shared" si="0"/>
        <v>1655</v>
      </c>
      <c r="J18" s="28"/>
      <c r="K18" s="25">
        <v>41025</v>
      </c>
      <c r="L18" s="25">
        <v>41025</v>
      </c>
      <c r="M18" s="29" t="s">
        <v>256</v>
      </c>
      <c r="N18" s="28" t="s">
        <v>257</v>
      </c>
      <c r="O18" s="32">
        <v>45118.03</v>
      </c>
      <c r="P18" s="56">
        <v>41053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s="33" customFormat="1" ht="13.5" customHeight="1">
      <c r="A19" s="25">
        <v>41025</v>
      </c>
      <c r="B19" s="225" t="s">
        <v>229</v>
      </c>
      <c r="C19" s="219" t="s">
        <v>758</v>
      </c>
      <c r="D19" s="342" t="s">
        <v>1885</v>
      </c>
      <c r="E19" s="196" t="s">
        <v>249</v>
      </c>
      <c r="F19" s="119">
        <v>20</v>
      </c>
      <c r="G19" s="26" t="s">
        <v>240</v>
      </c>
      <c r="H19" s="31">
        <v>15.41</v>
      </c>
      <c r="I19" s="27">
        <f t="shared" si="0"/>
        <v>308.2</v>
      </c>
      <c r="J19" s="28"/>
      <c r="K19" s="25">
        <v>41025</v>
      </c>
      <c r="L19" s="25">
        <v>41025</v>
      </c>
      <c r="M19" s="29" t="s">
        <v>256</v>
      </c>
      <c r="N19" s="28" t="s">
        <v>257</v>
      </c>
      <c r="O19" s="32">
        <v>45118.03</v>
      </c>
      <c r="P19" s="56">
        <v>41053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s="33" customFormat="1" ht="13.5" customHeight="1">
      <c r="A20" s="25">
        <v>41025</v>
      </c>
      <c r="B20" s="225" t="s">
        <v>229</v>
      </c>
      <c r="C20" s="219" t="s">
        <v>758</v>
      </c>
      <c r="D20" s="225" t="s">
        <v>267</v>
      </c>
      <c r="E20" s="196">
        <v>12308</v>
      </c>
      <c r="F20" s="119">
        <v>20</v>
      </c>
      <c r="G20" s="26" t="s">
        <v>240</v>
      </c>
      <c r="H20" s="31">
        <v>19.43</v>
      </c>
      <c r="I20" s="27">
        <f t="shared" si="0"/>
        <v>388.6</v>
      </c>
      <c r="J20" s="28"/>
      <c r="K20" s="25">
        <v>41025</v>
      </c>
      <c r="L20" s="25">
        <v>41025</v>
      </c>
      <c r="M20" s="29" t="s">
        <v>256</v>
      </c>
      <c r="N20" s="28" t="s">
        <v>257</v>
      </c>
      <c r="O20" s="32">
        <v>45118.03</v>
      </c>
      <c r="P20" s="56">
        <v>41053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s="33" customFormat="1" ht="13.5" customHeight="1">
      <c r="A21" s="25">
        <v>41025</v>
      </c>
      <c r="B21" s="225" t="s">
        <v>229</v>
      </c>
      <c r="C21" s="219" t="s">
        <v>758</v>
      </c>
      <c r="D21" s="225" t="s">
        <v>289</v>
      </c>
      <c r="E21" s="196">
        <v>10434</v>
      </c>
      <c r="F21" s="119">
        <v>20</v>
      </c>
      <c r="G21" s="26" t="s">
        <v>240</v>
      </c>
      <c r="H21" s="31">
        <v>16.079999999999998</v>
      </c>
      <c r="I21" s="27">
        <f t="shared" si="0"/>
        <v>321.59999999999997</v>
      </c>
      <c r="J21" s="28"/>
      <c r="K21" s="25">
        <v>41025</v>
      </c>
      <c r="L21" s="25">
        <v>41025</v>
      </c>
      <c r="M21" s="29" t="s">
        <v>256</v>
      </c>
      <c r="N21" s="28" t="s">
        <v>257</v>
      </c>
      <c r="O21" s="32">
        <v>45118.03</v>
      </c>
      <c r="P21" s="56">
        <v>41053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s="33" customFormat="1" ht="13.5" customHeight="1">
      <c r="A22" s="25">
        <v>41027</v>
      </c>
      <c r="B22" s="225" t="s">
        <v>254</v>
      </c>
      <c r="C22" s="219" t="s">
        <v>758</v>
      </c>
      <c r="D22" s="225" t="s">
        <v>264</v>
      </c>
      <c r="E22" s="196">
        <v>501</v>
      </c>
      <c r="F22" s="119">
        <v>10</v>
      </c>
      <c r="G22" s="26" t="s">
        <v>230</v>
      </c>
      <c r="H22" s="31">
        <v>1.75</v>
      </c>
      <c r="I22" s="27">
        <f t="shared" si="0"/>
        <v>17.5</v>
      </c>
      <c r="J22" s="28"/>
      <c r="K22" s="25">
        <v>41027</v>
      </c>
      <c r="L22" s="25">
        <v>41027</v>
      </c>
      <c r="M22" s="29" t="s">
        <v>256</v>
      </c>
      <c r="N22" s="28" t="s">
        <v>268</v>
      </c>
      <c r="O22" s="26">
        <v>1049.6199999999999</v>
      </c>
      <c r="P22" s="56">
        <v>41047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s="33" customFormat="1" ht="13.5" customHeight="1">
      <c r="A23" s="25">
        <v>41027</v>
      </c>
      <c r="B23" s="225" t="s">
        <v>254</v>
      </c>
      <c r="C23" s="219" t="s">
        <v>758</v>
      </c>
      <c r="D23" s="225" t="s">
        <v>233</v>
      </c>
      <c r="E23" s="196" t="s">
        <v>234</v>
      </c>
      <c r="F23" s="119">
        <v>10</v>
      </c>
      <c r="G23" s="194" t="s">
        <v>232</v>
      </c>
      <c r="H23" s="31">
        <v>6</v>
      </c>
      <c r="I23" s="27">
        <f t="shared" si="0"/>
        <v>60</v>
      </c>
      <c r="J23" s="28"/>
      <c r="K23" s="25">
        <v>41027</v>
      </c>
      <c r="L23" s="25">
        <v>41027</v>
      </c>
      <c r="M23" s="29" t="s">
        <v>256</v>
      </c>
      <c r="N23" s="28" t="s">
        <v>268</v>
      </c>
      <c r="O23" s="26">
        <v>1049.6199999999999</v>
      </c>
      <c r="P23" s="56">
        <v>41047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s="33" customFormat="1" ht="13.5" customHeight="1">
      <c r="A24" s="25">
        <v>41027</v>
      </c>
      <c r="B24" s="225" t="s">
        <v>254</v>
      </c>
      <c r="C24" s="219" t="s">
        <v>758</v>
      </c>
      <c r="D24" s="225" t="s">
        <v>352</v>
      </c>
      <c r="E24" s="196">
        <v>7502</v>
      </c>
      <c r="F24" s="119">
        <v>5</v>
      </c>
      <c r="G24" s="26" t="s">
        <v>230</v>
      </c>
      <c r="H24" s="31">
        <v>125</v>
      </c>
      <c r="I24" s="27">
        <f t="shared" si="0"/>
        <v>625</v>
      </c>
      <c r="J24" s="28"/>
      <c r="K24" s="25">
        <v>41027</v>
      </c>
      <c r="L24" s="25">
        <v>41027</v>
      </c>
      <c r="M24" s="29" t="s">
        <v>256</v>
      </c>
      <c r="N24" s="28" t="s">
        <v>268</v>
      </c>
      <c r="O24" s="26">
        <v>1049.6199999999999</v>
      </c>
      <c r="P24" s="56">
        <v>41047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s="33" customFormat="1" ht="13.5" customHeight="1">
      <c r="A25" s="25">
        <v>41027</v>
      </c>
      <c r="B25" s="225" t="s">
        <v>229</v>
      </c>
      <c r="C25" s="219" t="s">
        <v>758</v>
      </c>
      <c r="D25" s="1" t="s">
        <v>1216</v>
      </c>
      <c r="E25" s="196">
        <v>3200</v>
      </c>
      <c r="F25" s="119">
        <v>40</v>
      </c>
      <c r="G25" s="26" t="s">
        <v>230</v>
      </c>
      <c r="H25" s="26">
        <v>29.164999999999999</v>
      </c>
      <c r="I25" s="27">
        <f t="shared" si="0"/>
        <v>1166.5999999999999</v>
      </c>
      <c r="J25" s="28"/>
      <c r="K25" s="25">
        <v>41027</v>
      </c>
      <c r="L25" s="25">
        <v>41027</v>
      </c>
      <c r="M25" s="29" t="s">
        <v>256</v>
      </c>
      <c r="N25" s="28" t="s">
        <v>257</v>
      </c>
      <c r="O25" s="32">
        <v>45118.03</v>
      </c>
      <c r="P25" s="56">
        <v>41053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 s="33" customFormat="1" ht="13.5" customHeight="1">
      <c r="A26" s="25">
        <v>41027</v>
      </c>
      <c r="B26" s="225" t="s">
        <v>229</v>
      </c>
      <c r="C26" s="219" t="s">
        <v>758</v>
      </c>
      <c r="D26" s="225" t="s">
        <v>355</v>
      </c>
      <c r="E26" s="196" t="s">
        <v>260</v>
      </c>
      <c r="F26" s="119">
        <v>30</v>
      </c>
      <c r="G26" s="26" t="s">
        <v>230</v>
      </c>
      <c r="H26" s="26">
        <v>13.326000000000001</v>
      </c>
      <c r="I26" s="27">
        <f t="shared" si="0"/>
        <v>399.78000000000003</v>
      </c>
      <c r="J26" s="28"/>
      <c r="K26" s="25">
        <v>41027</v>
      </c>
      <c r="L26" s="25">
        <v>41027</v>
      </c>
      <c r="M26" s="29" t="s">
        <v>256</v>
      </c>
      <c r="N26" s="28" t="s">
        <v>257</v>
      </c>
      <c r="O26" s="32">
        <v>45118.03</v>
      </c>
      <c r="P26" s="56">
        <v>41053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 s="33" customFormat="1" ht="13.5" customHeight="1">
      <c r="A27" s="25">
        <v>41027</v>
      </c>
      <c r="B27" s="225" t="s">
        <v>229</v>
      </c>
      <c r="C27" s="219" t="s">
        <v>758</v>
      </c>
      <c r="D27" s="342" t="s">
        <v>241</v>
      </c>
      <c r="E27" s="196">
        <v>6200</v>
      </c>
      <c r="F27" s="119">
        <v>15</v>
      </c>
      <c r="G27" s="26" t="s">
        <v>230</v>
      </c>
      <c r="H27" s="26">
        <v>53.078000000000003</v>
      </c>
      <c r="I27" s="27">
        <f t="shared" si="0"/>
        <v>796.17000000000007</v>
      </c>
      <c r="J27" s="28"/>
      <c r="K27" s="25">
        <v>41027</v>
      </c>
      <c r="L27" s="25">
        <v>41027</v>
      </c>
      <c r="M27" s="29" t="s">
        <v>256</v>
      </c>
      <c r="N27" s="28" t="s">
        <v>257</v>
      </c>
      <c r="O27" s="32">
        <v>45118.03</v>
      </c>
      <c r="P27" s="56">
        <v>41053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s="33" customFormat="1" ht="13.5" customHeight="1">
      <c r="A28" s="25">
        <v>41027</v>
      </c>
      <c r="B28" s="225" t="s">
        <v>229</v>
      </c>
      <c r="C28" s="219" t="s">
        <v>758</v>
      </c>
      <c r="D28" s="225" t="s">
        <v>242</v>
      </c>
      <c r="E28" s="196" t="s">
        <v>243</v>
      </c>
      <c r="F28" s="119">
        <v>70</v>
      </c>
      <c r="G28" s="26" t="s">
        <v>230</v>
      </c>
      <c r="H28" s="26">
        <v>19.86</v>
      </c>
      <c r="I28" s="27">
        <f t="shared" si="0"/>
        <v>1390.2</v>
      </c>
      <c r="J28" s="28"/>
      <c r="K28" s="25">
        <v>41027</v>
      </c>
      <c r="L28" s="25">
        <v>41027</v>
      </c>
      <c r="M28" s="29" t="s">
        <v>256</v>
      </c>
      <c r="N28" s="28" t="s">
        <v>257</v>
      </c>
      <c r="O28" s="32">
        <v>45118.03</v>
      </c>
      <c r="P28" s="56">
        <v>41053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s="33" customFormat="1" ht="13.5" customHeight="1">
      <c r="A29" s="25">
        <v>41027</v>
      </c>
      <c r="B29" s="225" t="s">
        <v>229</v>
      </c>
      <c r="C29" s="219" t="s">
        <v>758</v>
      </c>
      <c r="D29" s="225" t="s">
        <v>1879</v>
      </c>
      <c r="E29" s="196" t="s">
        <v>270</v>
      </c>
      <c r="F29" s="119">
        <v>100</v>
      </c>
      <c r="G29" s="26" t="s">
        <v>232</v>
      </c>
      <c r="H29" s="31">
        <v>1.484</v>
      </c>
      <c r="I29" s="27">
        <f t="shared" si="0"/>
        <v>148.4</v>
      </c>
      <c r="J29" s="28"/>
      <c r="K29" s="25">
        <v>41027</v>
      </c>
      <c r="L29" s="25">
        <v>41027</v>
      </c>
      <c r="M29" s="29" t="s">
        <v>256</v>
      </c>
      <c r="N29" s="28" t="s">
        <v>257</v>
      </c>
      <c r="O29" s="32">
        <v>45118.03</v>
      </c>
      <c r="P29" s="56">
        <v>41053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 s="33" customFormat="1" ht="13.5" customHeight="1">
      <c r="A30" s="25">
        <v>41027</v>
      </c>
      <c r="B30" s="225" t="s">
        <v>229</v>
      </c>
      <c r="C30" s="219" t="s">
        <v>758</v>
      </c>
      <c r="D30" s="1" t="s">
        <v>1880</v>
      </c>
      <c r="E30" s="196">
        <v>6006</v>
      </c>
      <c r="F30" s="119">
        <v>10</v>
      </c>
      <c r="G30" s="26" t="s">
        <v>230</v>
      </c>
      <c r="H30" s="31">
        <v>57.707999999999998</v>
      </c>
      <c r="I30" s="27">
        <f t="shared" si="0"/>
        <v>577.07999999999993</v>
      </c>
      <c r="J30" s="28"/>
      <c r="K30" s="25">
        <v>41027</v>
      </c>
      <c r="L30" s="25">
        <v>41027</v>
      </c>
      <c r="M30" s="29" t="s">
        <v>256</v>
      </c>
      <c r="N30" s="28" t="s">
        <v>257</v>
      </c>
      <c r="O30" s="32">
        <v>45118.03</v>
      </c>
      <c r="P30" s="56">
        <v>41053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32" s="33" customFormat="1" ht="15" customHeight="1">
      <c r="A31" s="25">
        <v>41031</v>
      </c>
      <c r="B31" s="225" t="s">
        <v>245</v>
      </c>
      <c r="C31" s="219" t="s">
        <v>758</v>
      </c>
      <c r="D31" s="225" t="s">
        <v>271</v>
      </c>
      <c r="E31" s="196">
        <v>7501</v>
      </c>
      <c r="F31" s="119">
        <v>100</v>
      </c>
      <c r="G31" s="26" t="s">
        <v>230</v>
      </c>
      <c r="H31" s="31">
        <v>110.73</v>
      </c>
      <c r="I31" s="27">
        <f t="shared" si="0"/>
        <v>11073</v>
      </c>
      <c r="J31" s="28"/>
      <c r="K31" s="25">
        <v>41031</v>
      </c>
      <c r="L31" s="25">
        <v>41031</v>
      </c>
      <c r="M31" s="29" t="s">
        <v>256</v>
      </c>
      <c r="N31" s="28" t="s">
        <v>272</v>
      </c>
      <c r="O31" s="32">
        <v>18439</v>
      </c>
      <c r="P31" s="56">
        <v>41054</v>
      </c>
      <c r="Q31" s="26"/>
      <c r="R31" s="34" t="s">
        <v>273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s="33" customFormat="1" ht="15" customHeight="1">
      <c r="A32" s="25">
        <v>41031</v>
      </c>
      <c r="B32" s="225" t="s">
        <v>245</v>
      </c>
      <c r="C32" s="219" t="s">
        <v>758</v>
      </c>
      <c r="D32" s="225" t="s">
        <v>274</v>
      </c>
      <c r="E32" s="196" t="s">
        <v>275</v>
      </c>
      <c r="F32" s="119">
        <v>200</v>
      </c>
      <c r="G32" s="26" t="s">
        <v>230</v>
      </c>
      <c r="H32" s="31">
        <v>30.41</v>
      </c>
      <c r="I32" s="27">
        <f t="shared" si="0"/>
        <v>6082</v>
      </c>
      <c r="J32" s="28"/>
      <c r="K32" s="25">
        <v>41031</v>
      </c>
      <c r="L32" s="25">
        <v>41031</v>
      </c>
      <c r="M32" s="29" t="s">
        <v>256</v>
      </c>
      <c r="N32" s="28" t="s">
        <v>272</v>
      </c>
      <c r="O32" s="32">
        <v>18439</v>
      </c>
      <c r="P32" s="56">
        <v>41054</v>
      </c>
      <c r="Q32" s="26"/>
      <c r="R32" s="34" t="s">
        <v>273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 s="33" customFormat="1" ht="13.5" customHeight="1">
      <c r="A33" s="25">
        <v>41031</v>
      </c>
      <c r="B33" s="225" t="s">
        <v>245</v>
      </c>
      <c r="C33" s="219" t="s">
        <v>758</v>
      </c>
      <c r="D33" s="225" t="s">
        <v>233</v>
      </c>
      <c r="E33" s="196" t="s">
        <v>234</v>
      </c>
      <c r="F33" s="119">
        <v>200</v>
      </c>
      <c r="G33" s="194" t="s">
        <v>232</v>
      </c>
      <c r="H33" s="31">
        <v>5.01</v>
      </c>
      <c r="I33" s="27">
        <f t="shared" si="0"/>
        <v>1002</v>
      </c>
      <c r="J33" s="28"/>
      <c r="K33" s="25">
        <v>41031</v>
      </c>
      <c r="L33" s="25">
        <v>41031</v>
      </c>
      <c r="M33" s="29" t="s">
        <v>256</v>
      </c>
      <c r="N33" s="28" t="s">
        <v>272</v>
      </c>
      <c r="O33" s="32">
        <v>18439</v>
      </c>
      <c r="P33" s="56">
        <v>41054</v>
      </c>
      <c r="Q33" s="26"/>
      <c r="R33" s="34" t="s">
        <v>273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s="33" customFormat="1" ht="13.5" customHeight="1">
      <c r="A34" s="25">
        <v>41031</v>
      </c>
      <c r="B34" s="225" t="s">
        <v>245</v>
      </c>
      <c r="C34" s="219" t="s">
        <v>758</v>
      </c>
      <c r="D34" s="225" t="s">
        <v>264</v>
      </c>
      <c r="E34" s="196">
        <v>501</v>
      </c>
      <c r="F34" s="119">
        <v>200</v>
      </c>
      <c r="G34" s="26" t="s">
        <v>230</v>
      </c>
      <c r="H34" s="31">
        <v>1.41</v>
      </c>
      <c r="I34" s="27">
        <f t="shared" si="0"/>
        <v>282</v>
      </c>
      <c r="J34" s="28"/>
      <c r="K34" s="25">
        <v>41031</v>
      </c>
      <c r="L34" s="25">
        <v>41031</v>
      </c>
      <c r="M34" s="29" t="s">
        <v>256</v>
      </c>
      <c r="N34" s="28" t="s">
        <v>272</v>
      </c>
      <c r="O34" s="32">
        <v>18439</v>
      </c>
      <c r="P34" s="56">
        <v>41054</v>
      </c>
      <c r="Q34" s="26"/>
      <c r="R34" s="34" t="s">
        <v>273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 s="33" customFormat="1" ht="13.5" customHeight="1">
      <c r="A35" s="25">
        <v>41032</v>
      </c>
      <c r="B35" s="225" t="s">
        <v>229</v>
      </c>
      <c r="C35" s="219" t="s">
        <v>758</v>
      </c>
      <c r="D35" s="1" t="s">
        <v>1216</v>
      </c>
      <c r="E35" s="196">
        <v>3200</v>
      </c>
      <c r="F35" s="119">
        <v>20</v>
      </c>
      <c r="G35" s="26" t="s">
        <v>230</v>
      </c>
      <c r="H35" s="31">
        <v>29.164999999999999</v>
      </c>
      <c r="I35" s="27">
        <f t="shared" si="0"/>
        <v>583.29999999999995</v>
      </c>
      <c r="J35" s="28" t="s">
        <v>276</v>
      </c>
      <c r="K35" s="25">
        <v>41031</v>
      </c>
      <c r="L35" s="25">
        <v>41032</v>
      </c>
      <c r="M35" s="29" t="s">
        <v>256</v>
      </c>
      <c r="N35" s="28" t="s">
        <v>257</v>
      </c>
      <c r="O35" s="32">
        <v>45118.03</v>
      </c>
      <c r="P35" s="56">
        <v>41053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s="33" customFormat="1" ht="13.5" customHeight="1">
      <c r="A36" s="25">
        <v>41032</v>
      </c>
      <c r="B36" s="225" t="s">
        <v>229</v>
      </c>
      <c r="C36" s="219" t="s">
        <v>758</v>
      </c>
      <c r="D36" s="225" t="s">
        <v>264</v>
      </c>
      <c r="E36" s="196">
        <v>3700</v>
      </c>
      <c r="F36" s="119">
        <v>20</v>
      </c>
      <c r="G36" s="26" t="s">
        <v>230</v>
      </c>
      <c r="H36" s="31">
        <v>4.8499999999999996</v>
      </c>
      <c r="I36" s="27">
        <f t="shared" ref="I36:I67" si="1">H36*F36</f>
        <v>97</v>
      </c>
      <c r="J36" s="28" t="s">
        <v>276</v>
      </c>
      <c r="K36" s="25">
        <v>41031</v>
      </c>
      <c r="L36" s="25">
        <v>41032</v>
      </c>
      <c r="M36" s="29" t="s">
        <v>256</v>
      </c>
      <c r="N36" s="28" t="s">
        <v>257</v>
      </c>
      <c r="O36" s="32">
        <v>45118.03</v>
      </c>
      <c r="P36" s="56">
        <v>41053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 s="33" customFormat="1" ht="13.5" customHeight="1">
      <c r="A37" s="25">
        <v>41032</v>
      </c>
      <c r="B37" s="225" t="s">
        <v>229</v>
      </c>
      <c r="C37" s="219" t="s">
        <v>758</v>
      </c>
      <c r="D37" s="225" t="s">
        <v>233</v>
      </c>
      <c r="E37" s="196" t="s">
        <v>236</v>
      </c>
      <c r="F37" s="205">
        <v>20</v>
      </c>
      <c r="G37" s="26" t="s">
        <v>232</v>
      </c>
      <c r="H37" s="31">
        <v>1.88</v>
      </c>
      <c r="I37" s="27">
        <f t="shared" si="1"/>
        <v>37.599999999999994</v>
      </c>
      <c r="J37" s="28" t="s">
        <v>276</v>
      </c>
      <c r="K37" s="25">
        <v>41031</v>
      </c>
      <c r="L37" s="25">
        <v>41032</v>
      </c>
      <c r="M37" s="29" t="s">
        <v>256</v>
      </c>
      <c r="N37" s="28" t="s">
        <v>257</v>
      </c>
      <c r="O37" s="32">
        <v>45118.03</v>
      </c>
      <c r="P37" s="56">
        <v>41053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 s="33" customFormat="1" ht="13.5" customHeight="1">
      <c r="A38" s="25">
        <v>41032</v>
      </c>
      <c r="B38" s="225" t="s">
        <v>229</v>
      </c>
      <c r="C38" s="219" t="s">
        <v>758</v>
      </c>
      <c r="D38" s="225" t="s">
        <v>1877</v>
      </c>
      <c r="E38" s="196" t="s">
        <v>277</v>
      </c>
      <c r="F38" s="119">
        <v>2000</v>
      </c>
      <c r="G38" s="26" t="s">
        <v>230</v>
      </c>
      <c r="H38" s="31">
        <v>1.206</v>
      </c>
      <c r="I38" s="27">
        <f t="shared" si="1"/>
        <v>2412</v>
      </c>
      <c r="J38" s="28" t="s">
        <v>276</v>
      </c>
      <c r="K38" s="25">
        <v>41031</v>
      </c>
      <c r="L38" s="25">
        <v>41032</v>
      </c>
      <c r="M38" s="29" t="s">
        <v>256</v>
      </c>
      <c r="N38" s="28" t="s">
        <v>257</v>
      </c>
      <c r="O38" s="32">
        <v>45118.03</v>
      </c>
      <c r="P38" s="56">
        <v>41053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s="33" customFormat="1" ht="13.5" customHeight="1">
      <c r="A39" s="25">
        <v>41033</v>
      </c>
      <c r="B39" s="225" t="s">
        <v>278</v>
      </c>
      <c r="C39" s="219" t="s">
        <v>758</v>
      </c>
      <c r="D39" s="225" t="s">
        <v>279</v>
      </c>
      <c r="E39" s="196">
        <v>9132</v>
      </c>
      <c r="F39" s="119">
        <v>30</v>
      </c>
      <c r="G39" s="26" t="s">
        <v>230</v>
      </c>
      <c r="H39" s="31">
        <v>2.9</v>
      </c>
      <c r="I39" s="27">
        <f t="shared" si="1"/>
        <v>87</v>
      </c>
      <c r="J39" s="28"/>
      <c r="K39" s="25">
        <v>41034</v>
      </c>
      <c r="L39" s="25">
        <v>41033</v>
      </c>
      <c r="M39" s="29" t="s">
        <v>280</v>
      </c>
      <c r="N39" s="28" t="s">
        <v>255</v>
      </c>
      <c r="O39" s="26"/>
      <c r="P39" s="56"/>
      <c r="Q39" s="26"/>
      <c r="R39" s="26" t="s">
        <v>281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 spans="1:32" s="33" customFormat="1" ht="13.5" customHeight="1">
      <c r="A40" s="25">
        <v>41033</v>
      </c>
      <c r="B40" s="225" t="s">
        <v>229</v>
      </c>
      <c r="C40" s="219" t="s">
        <v>758</v>
      </c>
      <c r="D40" s="225" t="s">
        <v>355</v>
      </c>
      <c r="E40" s="196" t="s">
        <v>260</v>
      </c>
      <c r="F40" s="119">
        <v>100</v>
      </c>
      <c r="G40" s="26" t="s">
        <v>230</v>
      </c>
      <c r="H40" s="31">
        <v>13.326000000000001</v>
      </c>
      <c r="I40" s="27">
        <f t="shared" si="1"/>
        <v>1332.6000000000001</v>
      </c>
      <c r="J40" s="28" t="s">
        <v>282</v>
      </c>
      <c r="K40" s="25">
        <v>41033</v>
      </c>
      <c r="L40" s="25">
        <v>41040</v>
      </c>
      <c r="M40" s="29" t="s">
        <v>256</v>
      </c>
      <c r="N40" s="28" t="s">
        <v>257</v>
      </c>
      <c r="O40" s="32">
        <v>45118.03</v>
      </c>
      <c r="P40" s="56">
        <v>41053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s="33" customFormat="1" ht="13.5" customHeight="1">
      <c r="A41" s="25">
        <v>41033</v>
      </c>
      <c r="B41" s="225" t="s">
        <v>229</v>
      </c>
      <c r="C41" s="219" t="s">
        <v>758</v>
      </c>
      <c r="D41" s="225" t="s">
        <v>264</v>
      </c>
      <c r="E41" s="196" t="s">
        <v>283</v>
      </c>
      <c r="F41" s="119">
        <v>100</v>
      </c>
      <c r="G41" s="26" t="s">
        <v>230</v>
      </c>
      <c r="H41" s="31">
        <v>2.117</v>
      </c>
      <c r="I41" s="27">
        <f t="shared" si="1"/>
        <v>211.7</v>
      </c>
      <c r="J41" s="28" t="s">
        <v>282</v>
      </c>
      <c r="K41" s="25">
        <v>41033</v>
      </c>
      <c r="L41" s="25">
        <v>41040</v>
      </c>
      <c r="M41" s="29" t="s">
        <v>256</v>
      </c>
      <c r="N41" s="28" t="s">
        <v>257</v>
      </c>
      <c r="O41" s="32">
        <v>45118.03</v>
      </c>
      <c r="P41" s="56">
        <v>41053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s="33" customFormat="1" ht="13.5" customHeight="1">
      <c r="A42" s="25">
        <v>41033</v>
      </c>
      <c r="B42" s="225" t="s">
        <v>229</v>
      </c>
      <c r="C42" s="219" t="s">
        <v>758</v>
      </c>
      <c r="D42" s="225" t="s">
        <v>269</v>
      </c>
      <c r="E42" s="196" t="s">
        <v>270</v>
      </c>
      <c r="F42" s="119">
        <v>2000</v>
      </c>
      <c r="G42" s="26" t="s">
        <v>232</v>
      </c>
      <c r="H42" s="31">
        <v>1.484</v>
      </c>
      <c r="I42" s="27">
        <f t="shared" si="1"/>
        <v>2968</v>
      </c>
      <c r="J42" s="28" t="s">
        <v>282</v>
      </c>
      <c r="K42" s="25">
        <v>41033</v>
      </c>
      <c r="L42" s="25">
        <v>41040</v>
      </c>
      <c r="M42" s="29" t="s">
        <v>256</v>
      </c>
      <c r="N42" s="28" t="s">
        <v>257</v>
      </c>
      <c r="O42" s="32">
        <v>45118.03</v>
      </c>
      <c r="P42" s="56">
        <v>41053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s="33" customFormat="1" ht="13.5" customHeight="1">
      <c r="A43" s="25">
        <v>41037</v>
      </c>
      <c r="B43" s="225" t="s">
        <v>229</v>
      </c>
      <c r="C43" s="219" t="s">
        <v>758</v>
      </c>
      <c r="D43" s="1" t="s">
        <v>1880</v>
      </c>
      <c r="E43" s="196">
        <v>6006</v>
      </c>
      <c r="F43" s="119">
        <v>20</v>
      </c>
      <c r="G43" s="26" t="s">
        <v>230</v>
      </c>
      <c r="H43" s="31">
        <v>57.707999999999998</v>
      </c>
      <c r="I43" s="27">
        <f t="shared" si="1"/>
        <v>1154.1599999999999</v>
      </c>
      <c r="J43" s="28" t="s">
        <v>284</v>
      </c>
      <c r="K43" s="25">
        <v>41037</v>
      </c>
      <c r="L43" s="25">
        <v>41040</v>
      </c>
      <c r="M43" s="29" t="s">
        <v>256</v>
      </c>
      <c r="N43" s="28" t="s">
        <v>257</v>
      </c>
      <c r="O43" s="32">
        <v>45118.03</v>
      </c>
      <c r="P43" s="56">
        <v>41053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s="33" customFormat="1" ht="13.5" customHeight="1">
      <c r="A44" s="25">
        <v>41037</v>
      </c>
      <c r="B44" s="225" t="s">
        <v>254</v>
      </c>
      <c r="C44" s="219" t="s">
        <v>758</v>
      </c>
      <c r="D44" s="225" t="s">
        <v>285</v>
      </c>
      <c r="E44" s="196">
        <v>6004</v>
      </c>
      <c r="F44" s="119">
        <v>8</v>
      </c>
      <c r="G44" s="26" t="s">
        <v>230</v>
      </c>
      <c r="H44" s="31">
        <v>43.39</v>
      </c>
      <c r="I44" s="27">
        <f t="shared" si="1"/>
        <v>347.12</v>
      </c>
      <c r="J44" s="28" t="s">
        <v>286</v>
      </c>
      <c r="K44" s="25">
        <v>41037</v>
      </c>
      <c r="L44" s="25">
        <v>41037</v>
      </c>
      <c r="M44" s="29" t="s">
        <v>256</v>
      </c>
      <c r="N44" s="28" t="s">
        <v>268</v>
      </c>
      <c r="O44" s="26">
        <v>1049.6199999999999</v>
      </c>
      <c r="P44" s="56">
        <v>41047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s="33" customFormat="1" ht="13.5" customHeight="1">
      <c r="A45" s="25">
        <v>41037</v>
      </c>
      <c r="B45" s="225" t="s">
        <v>229</v>
      </c>
      <c r="C45" s="219" t="s">
        <v>758</v>
      </c>
      <c r="D45" s="342" t="s">
        <v>241</v>
      </c>
      <c r="E45" s="196">
        <v>6200</v>
      </c>
      <c r="F45" s="119">
        <v>10</v>
      </c>
      <c r="G45" s="26" t="s">
        <v>230</v>
      </c>
      <c r="H45" s="31">
        <v>53.078000000000003</v>
      </c>
      <c r="I45" s="27">
        <f t="shared" si="1"/>
        <v>530.78</v>
      </c>
      <c r="J45" s="28" t="s">
        <v>287</v>
      </c>
      <c r="K45" s="25">
        <v>41037</v>
      </c>
      <c r="L45" s="25">
        <v>41040</v>
      </c>
      <c r="M45" s="29" t="s">
        <v>256</v>
      </c>
      <c r="N45" s="28" t="s">
        <v>257</v>
      </c>
      <c r="O45" s="32">
        <v>45118.03</v>
      </c>
      <c r="P45" s="56">
        <v>41053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s="33" customFormat="1" ht="13.5" customHeight="1">
      <c r="A46" s="25">
        <v>41037</v>
      </c>
      <c r="B46" s="225" t="s">
        <v>229</v>
      </c>
      <c r="C46" s="219" t="s">
        <v>758</v>
      </c>
      <c r="D46" s="225" t="s">
        <v>242</v>
      </c>
      <c r="E46" s="196" t="s">
        <v>243</v>
      </c>
      <c r="F46" s="119">
        <v>20</v>
      </c>
      <c r="G46" s="26" t="s">
        <v>230</v>
      </c>
      <c r="H46" s="31">
        <v>19.858000000000001</v>
      </c>
      <c r="I46" s="27">
        <f t="shared" si="1"/>
        <v>397.16</v>
      </c>
      <c r="J46" s="28" t="s">
        <v>287</v>
      </c>
      <c r="K46" s="25">
        <v>41037</v>
      </c>
      <c r="L46" s="25">
        <v>41040</v>
      </c>
      <c r="M46" s="29" t="s">
        <v>256</v>
      </c>
      <c r="N46" s="28" t="s">
        <v>257</v>
      </c>
      <c r="O46" s="32">
        <v>45118.03</v>
      </c>
      <c r="P46" s="56">
        <v>41053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s="33" customFormat="1" ht="13.5" customHeight="1">
      <c r="A47" s="25">
        <v>41037</v>
      </c>
      <c r="B47" s="225" t="s">
        <v>229</v>
      </c>
      <c r="C47" s="219" t="s">
        <v>758</v>
      </c>
      <c r="D47" s="225" t="s">
        <v>233</v>
      </c>
      <c r="E47" s="196" t="s">
        <v>234</v>
      </c>
      <c r="F47" s="119">
        <v>20</v>
      </c>
      <c r="G47" s="194" t="s">
        <v>232</v>
      </c>
      <c r="H47" s="31">
        <v>6.16</v>
      </c>
      <c r="I47" s="27">
        <f t="shared" si="1"/>
        <v>123.2</v>
      </c>
      <c r="J47" s="28" t="s">
        <v>287</v>
      </c>
      <c r="K47" s="25">
        <v>41037</v>
      </c>
      <c r="L47" s="25">
        <v>41040</v>
      </c>
      <c r="M47" s="29" t="s">
        <v>256</v>
      </c>
      <c r="N47" s="28" t="s">
        <v>257</v>
      </c>
      <c r="O47" s="32">
        <v>45118.03</v>
      </c>
      <c r="P47" s="56">
        <v>41053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s="33" customFormat="1" ht="13.5" customHeight="1">
      <c r="A48" s="25">
        <v>41037</v>
      </c>
      <c r="B48" s="225" t="s">
        <v>229</v>
      </c>
      <c r="C48" s="219" t="s">
        <v>758</v>
      </c>
      <c r="D48" s="225" t="s">
        <v>264</v>
      </c>
      <c r="E48" s="196">
        <v>501</v>
      </c>
      <c r="F48" s="119">
        <v>20</v>
      </c>
      <c r="G48" s="26" t="s">
        <v>230</v>
      </c>
      <c r="H48" s="31">
        <v>1.81</v>
      </c>
      <c r="I48" s="27">
        <f t="shared" si="1"/>
        <v>36.200000000000003</v>
      </c>
      <c r="J48" s="28" t="s">
        <v>287</v>
      </c>
      <c r="K48" s="25">
        <v>41037</v>
      </c>
      <c r="L48" s="25">
        <v>41040</v>
      </c>
      <c r="M48" s="29" t="s">
        <v>256</v>
      </c>
      <c r="N48" s="28" t="s">
        <v>257</v>
      </c>
      <c r="O48" s="32">
        <v>45118.03</v>
      </c>
      <c r="P48" s="56">
        <v>41053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s="33" customFormat="1" ht="13.5" customHeight="1">
      <c r="A49" s="25">
        <v>41038</v>
      </c>
      <c r="B49" s="225" t="s">
        <v>229</v>
      </c>
      <c r="C49" s="219" t="s">
        <v>758</v>
      </c>
      <c r="D49" s="225" t="s">
        <v>242</v>
      </c>
      <c r="E49" s="196" t="s">
        <v>243</v>
      </c>
      <c r="F49" s="119">
        <v>20</v>
      </c>
      <c r="G49" s="26" t="s">
        <v>230</v>
      </c>
      <c r="H49" s="31">
        <v>19.858000000000001</v>
      </c>
      <c r="I49" s="27">
        <f t="shared" si="1"/>
        <v>397.16</v>
      </c>
      <c r="J49" s="28" t="s">
        <v>288</v>
      </c>
      <c r="K49" s="25">
        <v>41038</v>
      </c>
      <c r="L49" s="25">
        <v>41040</v>
      </c>
      <c r="M49" s="29" t="s">
        <v>256</v>
      </c>
      <c r="N49" s="28" t="s">
        <v>257</v>
      </c>
      <c r="O49" s="32">
        <v>45118.03</v>
      </c>
      <c r="P49" s="56">
        <v>41053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s="33" customFormat="1" ht="13.5" customHeight="1">
      <c r="A50" s="25">
        <v>41038</v>
      </c>
      <c r="B50" s="225" t="s">
        <v>229</v>
      </c>
      <c r="C50" s="219" t="s">
        <v>758</v>
      </c>
      <c r="D50" s="225" t="s">
        <v>233</v>
      </c>
      <c r="E50" s="196" t="s">
        <v>234</v>
      </c>
      <c r="F50" s="119">
        <v>20</v>
      </c>
      <c r="G50" s="194" t="s">
        <v>232</v>
      </c>
      <c r="H50" s="31">
        <v>6.16</v>
      </c>
      <c r="I50" s="27">
        <f t="shared" si="1"/>
        <v>123.2</v>
      </c>
      <c r="J50" s="28" t="s">
        <v>288</v>
      </c>
      <c r="K50" s="25">
        <v>41038</v>
      </c>
      <c r="L50" s="25">
        <v>41040</v>
      </c>
      <c r="M50" s="29" t="s">
        <v>256</v>
      </c>
      <c r="N50" s="28" t="s">
        <v>257</v>
      </c>
      <c r="O50" s="32">
        <v>45118.03</v>
      </c>
      <c r="P50" s="56">
        <v>41053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 s="33" customFormat="1" ht="13.5" customHeight="1">
      <c r="A51" s="25">
        <v>41038</v>
      </c>
      <c r="B51" s="225" t="s">
        <v>229</v>
      </c>
      <c r="C51" s="219" t="s">
        <v>758</v>
      </c>
      <c r="D51" s="1" t="s">
        <v>1881</v>
      </c>
      <c r="E51" s="196">
        <v>10435</v>
      </c>
      <c r="F51" s="119">
        <v>14</v>
      </c>
      <c r="G51" s="26" t="s">
        <v>240</v>
      </c>
      <c r="H51" s="31">
        <v>16.079999999999998</v>
      </c>
      <c r="I51" s="27">
        <f t="shared" si="1"/>
        <v>225.11999999999998</v>
      </c>
      <c r="J51" s="28" t="s">
        <v>288</v>
      </c>
      <c r="K51" s="25">
        <v>41038</v>
      </c>
      <c r="L51" s="25">
        <v>41040</v>
      </c>
      <c r="M51" s="29" t="s">
        <v>256</v>
      </c>
      <c r="N51" s="28" t="s">
        <v>257</v>
      </c>
      <c r="O51" s="32">
        <v>45118.03</v>
      </c>
      <c r="P51" s="56">
        <v>41053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1:32" s="33" customFormat="1" ht="13.5" customHeight="1">
      <c r="A52" s="25">
        <v>41038</v>
      </c>
      <c r="B52" s="225" t="s">
        <v>229</v>
      </c>
      <c r="C52" s="219" t="s">
        <v>758</v>
      </c>
      <c r="D52" s="225" t="s">
        <v>290</v>
      </c>
      <c r="E52" s="196" t="s">
        <v>291</v>
      </c>
      <c r="F52" s="119">
        <v>600</v>
      </c>
      <c r="G52" s="26" t="s">
        <v>240</v>
      </c>
      <c r="H52" s="31">
        <v>1.1779999999999999</v>
      </c>
      <c r="I52" s="27">
        <f t="shared" si="1"/>
        <v>706.8</v>
      </c>
      <c r="J52" s="28" t="s">
        <v>288</v>
      </c>
      <c r="K52" s="25">
        <v>41038</v>
      </c>
      <c r="L52" s="25">
        <v>41040</v>
      </c>
      <c r="M52" s="29" t="s">
        <v>256</v>
      </c>
      <c r="N52" s="28" t="s">
        <v>257</v>
      </c>
      <c r="O52" s="32">
        <v>45118.03</v>
      </c>
      <c r="P52" s="56">
        <v>41053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2" s="33" customFormat="1" ht="13.5" customHeight="1">
      <c r="A53" s="25">
        <v>41038</v>
      </c>
      <c r="B53" s="225" t="s">
        <v>229</v>
      </c>
      <c r="C53" s="219" t="s">
        <v>758</v>
      </c>
      <c r="D53" s="225" t="s">
        <v>292</v>
      </c>
      <c r="E53" s="196" t="s">
        <v>293</v>
      </c>
      <c r="F53" s="119">
        <v>10</v>
      </c>
      <c r="G53" s="26" t="s">
        <v>230</v>
      </c>
      <c r="H53" s="31">
        <v>157.68</v>
      </c>
      <c r="I53" s="27">
        <f t="shared" si="1"/>
        <v>1576.8000000000002</v>
      </c>
      <c r="J53" s="28" t="s">
        <v>294</v>
      </c>
      <c r="K53" s="25">
        <v>41038</v>
      </c>
      <c r="L53" s="25">
        <v>41040</v>
      </c>
      <c r="M53" s="29" t="s">
        <v>256</v>
      </c>
      <c r="N53" s="28" t="s">
        <v>257</v>
      </c>
      <c r="O53" s="32">
        <v>45118.03</v>
      </c>
      <c r="P53" s="56">
        <v>41053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s="33" customFormat="1" ht="13.5" customHeight="1">
      <c r="A54" s="25">
        <v>41038</v>
      </c>
      <c r="B54" s="225" t="s">
        <v>229</v>
      </c>
      <c r="C54" s="219" t="s">
        <v>758</v>
      </c>
      <c r="D54" s="225" t="s">
        <v>295</v>
      </c>
      <c r="E54" s="196">
        <v>7744</v>
      </c>
      <c r="F54" s="119">
        <v>100</v>
      </c>
      <c r="G54" s="26" t="s">
        <v>232</v>
      </c>
      <c r="H54" s="31">
        <v>6.8</v>
      </c>
      <c r="I54" s="27">
        <f t="shared" si="1"/>
        <v>680</v>
      </c>
      <c r="J54" s="28" t="s">
        <v>294</v>
      </c>
      <c r="K54" s="25">
        <v>41038</v>
      </c>
      <c r="L54" s="25">
        <v>41040</v>
      </c>
      <c r="M54" s="29" t="s">
        <v>256</v>
      </c>
      <c r="N54" s="28" t="s">
        <v>257</v>
      </c>
      <c r="O54" s="32">
        <v>45118.03</v>
      </c>
      <c r="P54" s="56">
        <v>41053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 s="33" customFormat="1" ht="13.5" customHeight="1">
      <c r="A55" s="25">
        <v>41038</v>
      </c>
      <c r="B55" s="225" t="s">
        <v>229</v>
      </c>
      <c r="C55" s="219" t="s">
        <v>758</v>
      </c>
      <c r="D55" s="1" t="s">
        <v>1216</v>
      </c>
      <c r="E55" s="196">
        <v>3200</v>
      </c>
      <c r="F55" s="119">
        <v>10</v>
      </c>
      <c r="G55" s="26" t="s">
        <v>230</v>
      </c>
      <c r="H55" s="31">
        <v>28.73</v>
      </c>
      <c r="I55" s="27">
        <f t="shared" si="1"/>
        <v>287.3</v>
      </c>
      <c r="J55" s="28" t="s">
        <v>296</v>
      </c>
      <c r="K55" s="25">
        <v>41038</v>
      </c>
      <c r="L55" s="25">
        <v>41040</v>
      </c>
      <c r="M55" s="29" t="s">
        <v>256</v>
      </c>
      <c r="N55" s="28" t="s">
        <v>257</v>
      </c>
      <c r="O55" s="32">
        <v>45118.03</v>
      </c>
      <c r="P55" s="56">
        <v>41053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1:32" s="33" customFormat="1" ht="13.5" customHeight="1">
      <c r="A56" s="25">
        <v>41038</v>
      </c>
      <c r="B56" s="225" t="s">
        <v>229</v>
      </c>
      <c r="C56" s="219" t="s">
        <v>758</v>
      </c>
      <c r="D56" s="225" t="s">
        <v>297</v>
      </c>
      <c r="E56" s="196">
        <v>3700</v>
      </c>
      <c r="F56" s="119">
        <v>10</v>
      </c>
      <c r="G56" s="26" t="s">
        <v>230</v>
      </c>
      <c r="H56" s="31">
        <v>4.78</v>
      </c>
      <c r="I56" s="27">
        <f t="shared" si="1"/>
        <v>47.800000000000004</v>
      </c>
      <c r="J56" s="28" t="s">
        <v>296</v>
      </c>
      <c r="K56" s="25">
        <v>41038</v>
      </c>
      <c r="L56" s="25">
        <v>41040</v>
      </c>
      <c r="M56" s="29" t="s">
        <v>256</v>
      </c>
      <c r="N56" s="28" t="s">
        <v>257</v>
      </c>
      <c r="O56" s="32">
        <v>45118.03</v>
      </c>
      <c r="P56" s="56">
        <v>41053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 s="33" customFormat="1" ht="13.5" customHeight="1">
      <c r="A57" s="25">
        <v>41038</v>
      </c>
      <c r="B57" s="225" t="s">
        <v>229</v>
      </c>
      <c r="C57" s="219" t="s">
        <v>758</v>
      </c>
      <c r="D57" s="225" t="s">
        <v>233</v>
      </c>
      <c r="E57" s="196" t="s">
        <v>236</v>
      </c>
      <c r="F57" s="205">
        <v>60</v>
      </c>
      <c r="G57" s="26" t="s">
        <v>232</v>
      </c>
      <c r="H57" s="31">
        <v>1.85</v>
      </c>
      <c r="I57" s="27">
        <f t="shared" si="1"/>
        <v>111</v>
      </c>
      <c r="J57" s="28" t="s">
        <v>296</v>
      </c>
      <c r="K57" s="25">
        <v>41038</v>
      </c>
      <c r="L57" s="25">
        <v>41040</v>
      </c>
      <c r="M57" s="29" t="s">
        <v>256</v>
      </c>
      <c r="N57" s="28" t="s">
        <v>257</v>
      </c>
      <c r="O57" s="32">
        <v>45118.03</v>
      </c>
      <c r="P57" s="56">
        <v>41053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1:32" s="33" customFormat="1" ht="13.5" customHeight="1">
      <c r="A58" s="25">
        <v>41038</v>
      </c>
      <c r="B58" s="225" t="s">
        <v>229</v>
      </c>
      <c r="C58" s="219" t="s">
        <v>758</v>
      </c>
      <c r="D58" s="225" t="s">
        <v>247</v>
      </c>
      <c r="E58" s="196">
        <v>4620</v>
      </c>
      <c r="F58" s="119">
        <v>30</v>
      </c>
      <c r="G58" s="26" t="s">
        <v>244</v>
      </c>
      <c r="H58" s="31">
        <v>17.79</v>
      </c>
      <c r="I58" s="27">
        <f t="shared" si="1"/>
        <v>533.69999999999993</v>
      </c>
      <c r="J58" s="28" t="s">
        <v>298</v>
      </c>
      <c r="K58" s="25">
        <v>41038</v>
      </c>
      <c r="L58" s="25">
        <v>41040</v>
      </c>
      <c r="M58" s="29" t="s">
        <v>256</v>
      </c>
      <c r="N58" s="28" t="s">
        <v>257</v>
      </c>
      <c r="O58" s="32">
        <v>45118.03</v>
      </c>
      <c r="P58" s="56">
        <v>41053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1:32" s="33" customFormat="1" ht="13.5" customHeight="1">
      <c r="A59" s="25">
        <v>41040</v>
      </c>
      <c r="B59" s="225" t="s">
        <v>229</v>
      </c>
      <c r="C59" s="219" t="s">
        <v>758</v>
      </c>
      <c r="D59" s="225" t="s">
        <v>299</v>
      </c>
      <c r="E59" s="196">
        <v>9001</v>
      </c>
      <c r="F59" s="119">
        <v>100</v>
      </c>
      <c r="G59" s="26" t="s">
        <v>232</v>
      </c>
      <c r="H59" s="31">
        <v>1.75</v>
      </c>
      <c r="I59" s="27">
        <f t="shared" si="1"/>
        <v>175</v>
      </c>
      <c r="J59" s="28" t="s">
        <v>300</v>
      </c>
      <c r="K59" s="25">
        <v>41040</v>
      </c>
      <c r="L59" s="25">
        <v>41050</v>
      </c>
      <c r="M59" s="29" t="s">
        <v>256</v>
      </c>
      <c r="N59" s="28" t="s">
        <v>257</v>
      </c>
      <c r="O59" s="32">
        <v>45118.03</v>
      </c>
      <c r="P59" s="56">
        <v>41053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1:32" s="33" customFormat="1" ht="13.5" customHeight="1">
      <c r="A60" s="25">
        <v>41040</v>
      </c>
      <c r="B60" s="225" t="s">
        <v>229</v>
      </c>
      <c r="C60" s="219" t="s">
        <v>758</v>
      </c>
      <c r="D60" s="1" t="s">
        <v>1219</v>
      </c>
      <c r="E60" s="196" t="s">
        <v>239</v>
      </c>
      <c r="F60" s="119">
        <v>20</v>
      </c>
      <c r="G60" s="26" t="s">
        <v>240</v>
      </c>
      <c r="H60" s="31">
        <v>13</v>
      </c>
      <c r="I60" s="27">
        <f t="shared" si="1"/>
        <v>260</v>
      </c>
      <c r="J60" s="28" t="s">
        <v>301</v>
      </c>
      <c r="K60" s="25">
        <v>41040</v>
      </c>
      <c r="L60" s="25">
        <v>41040</v>
      </c>
      <c r="M60" s="29" t="s">
        <v>302</v>
      </c>
      <c r="N60" s="28" t="s">
        <v>255</v>
      </c>
      <c r="O60" s="26"/>
      <c r="P60" s="5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1:32" s="33" customFormat="1" ht="13.5" customHeight="1">
      <c r="A61" s="25">
        <v>41043</v>
      </c>
      <c r="B61" s="225" t="s">
        <v>229</v>
      </c>
      <c r="C61" s="219" t="s">
        <v>758</v>
      </c>
      <c r="D61" s="225" t="s">
        <v>303</v>
      </c>
      <c r="E61" s="196" t="s">
        <v>304</v>
      </c>
      <c r="F61" s="119">
        <v>3</v>
      </c>
      <c r="G61" s="26" t="s">
        <v>240</v>
      </c>
      <c r="H61" s="31">
        <v>144.84</v>
      </c>
      <c r="I61" s="27">
        <f t="shared" si="1"/>
        <v>434.52</v>
      </c>
      <c r="J61" s="28" t="s">
        <v>305</v>
      </c>
      <c r="K61" s="25">
        <v>41043</v>
      </c>
      <c r="L61" s="25">
        <v>41044</v>
      </c>
      <c r="M61" s="29" t="s">
        <v>302</v>
      </c>
      <c r="N61" s="28" t="s">
        <v>255</v>
      </c>
      <c r="O61" s="26"/>
      <c r="P61" s="5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 s="33" customFormat="1" ht="13.5" customHeight="1">
      <c r="A62" s="25">
        <v>41043</v>
      </c>
      <c r="B62" s="225" t="s">
        <v>229</v>
      </c>
      <c r="C62" s="219" t="s">
        <v>758</v>
      </c>
      <c r="D62" s="225" t="s">
        <v>306</v>
      </c>
      <c r="E62" s="196">
        <v>1426</v>
      </c>
      <c r="F62" s="119">
        <v>2</v>
      </c>
      <c r="G62" s="26" t="s">
        <v>240</v>
      </c>
      <c r="H62" s="31">
        <v>19.399999999999999</v>
      </c>
      <c r="I62" s="27">
        <f t="shared" si="1"/>
        <v>38.799999999999997</v>
      </c>
      <c r="J62" s="28" t="s">
        <v>305</v>
      </c>
      <c r="K62" s="25">
        <v>41043</v>
      </c>
      <c r="L62" s="25">
        <v>41044</v>
      </c>
      <c r="M62" s="29" t="s">
        <v>302</v>
      </c>
      <c r="N62" s="28" t="s">
        <v>255</v>
      </c>
      <c r="O62" s="26"/>
      <c r="P62" s="5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1:32" s="33" customFormat="1" ht="13.5" customHeight="1">
      <c r="A63" s="25">
        <v>41043</v>
      </c>
      <c r="B63" s="225" t="s">
        <v>229</v>
      </c>
      <c r="C63" s="219" t="s">
        <v>758</v>
      </c>
      <c r="D63" s="225" t="s">
        <v>250</v>
      </c>
      <c r="E63" s="196">
        <v>1427</v>
      </c>
      <c r="F63" s="119">
        <v>2</v>
      </c>
      <c r="G63" s="26" t="s">
        <v>240</v>
      </c>
      <c r="H63" s="31">
        <v>82.36</v>
      </c>
      <c r="I63" s="27">
        <f t="shared" si="1"/>
        <v>164.72</v>
      </c>
      <c r="J63" s="28" t="s">
        <v>305</v>
      </c>
      <c r="K63" s="25">
        <v>41043</v>
      </c>
      <c r="L63" s="25">
        <v>41044</v>
      </c>
      <c r="M63" s="29" t="s">
        <v>302</v>
      </c>
      <c r="N63" s="28" t="s">
        <v>255</v>
      </c>
      <c r="O63" s="26"/>
      <c r="P63" s="5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 spans="1:32" s="33" customFormat="1" ht="13.5" customHeight="1">
      <c r="A64" s="25">
        <v>41043</v>
      </c>
      <c r="B64" s="225" t="s">
        <v>229</v>
      </c>
      <c r="C64" s="219" t="s">
        <v>758</v>
      </c>
      <c r="D64" s="225" t="s">
        <v>292</v>
      </c>
      <c r="E64" s="196">
        <v>1436</v>
      </c>
      <c r="F64" s="119">
        <v>2</v>
      </c>
      <c r="G64" s="26" t="s">
        <v>240</v>
      </c>
      <c r="H64" s="31">
        <v>29.67</v>
      </c>
      <c r="I64" s="27">
        <f t="shared" si="1"/>
        <v>59.34</v>
      </c>
      <c r="J64" s="28" t="s">
        <v>305</v>
      </c>
      <c r="K64" s="25">
        <v>41043</v>
      </c>
      <c r="L64" s="25">
        <v>41044</v>
      </c>
      <c r="M64" s="29" t="s">
        <v>302</v>
      </c>
      <c r="N64" s="28" t="s">
        <v>255</v>
      </c>
      <c r="O64" s="26"/>
      <c r="P64" s="5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1:32" s="33" customFormat="1" ht="13.5" customHeight="1">
      <c r="A65" s="25">
        <v>41043</v>
      </c>
      <c r="B65" s="225" t="s">
        <v>229</v>
      </c>
      <c r="C65" s="219" t="s">
        <v>758</v>
      </c>
      <c r="D65" s="225" t="s">
        <v>307</v>
      </c>
      <c r="E65" s="196">
        <v>1270</v>
      </c>
      <c r="F65" s="119">
        <v>10</v>
      </c>
      <c r="G65" s="26" t="s">
        <v>240</v>
      </c>
      <c r="H65" s="31">
        <v>4.6399999999999997</v>
      </c>
      <c r="I65" s="27">
        <f t="shared" si="1"/>
        <v>46.4</v>
      </c>
      <c r="J65" s="28" t="s">
        <v>308</v>
      </c>
      <c r="K65" s="25">
        <v>41043</v>
      </c>
      <c r="L65" s="25">
        <v>41050</v>
      </c>
      <c r="M65" s="29" t="s">
        <v>256</v>
      </c>
      <c r="N65" s="28" t="s">
        <v>257</v>
      </c>
      <c r="O65" s="32">
        <v>45118.03</v>
      </c>
      <c r="P65" s="56">
        <v>41053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 s="33" customFormat="1" ht="13.5" customHeight="1">
      <c r="A66" s="25">
        <v>41043</v>
      </c>
      <c r="B66" s="225" t="s">
        <v>229</v>
      </c>
      <c r="C66" s="219" t="s">
        <v>758</v>
      </c>
      <c r="D66" s="225" t="s">
        <v>309</v>
      </c>
      <c r="E66" s="196">
        <v>1110</v>
      </c>
      <c r="F66" s="119">
        <v>50</v>
      </c>
      <c r="G66" s="26" t="s">
        <v>240</v>
      </c>
      <c r="H66" s="31">
        <v>0.8</v>
      </c>
      <c r="I66" s="27">
        <f t="shared" si="1"/>
        <v>40</v>
      </c>
      <c r="J66" s="28" t="s">
        <v>308</v>
      </c>
      <c r="K66" s="25">
        <v>41043</v>
      </c>
      <c r="L66" s="25">
        <v>41050</v>
      </c>
      <c r="M66" s="29" t="s">
        <v>256</v>
      </c>
      <c r="N66" s="28" t="s">
        <v>257</v>
      </c>
      <c r="O66" s="32">
        <v>45118.03</v>
      </c>
      <c r="P66" s="56">
        <v>41053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 s="33" customFormat="1" ht="13.5" customHeight="1">
      <c r="A67" s="25">
        <v>41045</v>
      </c>
      <c r="B67" s="225" t="s">
        <v>229</v>
      </c>
      <c r="C67" s="219" t="s">
        <v>758</v>
      </c>
      <c r="D67" s="1" t="s">
        <v>1216</v>
      </c>
      <c r="E67" s="196">
        <v>3200</v>
      </c>
      <c r="F67" s="119">
        <v>100</v>
      </c>
      <c r="G67" s="26" t="s">
        <v>230</v>
      </c>
      <c r="H67" s="31">
        <v>28.73</v>
      </c>
      <c r="I67" s="27">
        <f t="shared" si="1"/>
        <v>2873</v>
      </c>
      <c r="J67" s="28" t="s">
        <v>310</v>
      </c>
      <c r="K67" s="25">
        <v>41045</v>
      </c>
      <c r="L67" s="25">
        <v>41050</v>
      </c>
      <c r="M67" s="29" t="s">
        <v>256</v>
      </c>
      <c r="N67" s="28" t="s">
        <v>257</v>
      </c>
      <c r="O67" s="32">
        <v>45118.03</v>
      </c>
      <c r="P67" s="56">
        <v>41053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 s="33" customFormat="1" ht="13.5" customHeight="1">
      <c r="A68" s="25">
        <v>41045</v>
      </c>
      <c r="B68" s="225" t="s">
        <v>229</v>
      </c>
      <c r="C68" s="219" t="s">
        <v>758</v>
      </c>
      <c r="D68" s="225" t="s">
        <v>297</v>
      </c>
      <c r="E68" s="196">
        <v>3700</v>
      </c>
      <c r="F68" s="119">
        <v>100</v>
      </c>
      <c r="G68" s="26" t="s">
        <v>230</v>
      </c>
      <c r="H68" s="31">
        <v>4.7779999999999996</v>
      </c>
      <c r="I68" s="27">
        <f t="shared" ref="I68:I99" si="2">H68*F68</f>
        <v>477.79999999999995</v>
      </c>
      <c r="J68" s="28" t="s">
        <v>310</v>
      </c>
      <c r="K68" s="25">
        <v>41045</v>
      </c>
      <c r="L68" s="25">
        <v>41050</v>
      </c>
      <c r="M68" s="29" t="s">
        <v>256</v>
      </c>
      <c r="N68" s="28" t="s">
        <v>257</v>
      </c>
      <c r="O68" s="32">
        <v>45118.03</v>
      </c>
      <c r="P68" s="56">
        <v>41053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 s="33" customFormat="1" ht="13.5" customHeight="1">
      <c r="A69" s="25">
        <v>41045</v>
      </c>
      <c r="B69" s="225" t="s">
        <v>229</v>
      </c>
      <c r="C69" s="219" t="s">
        <v>758</v>
      </c>
      <c r="D69" s="225" t="s">
        <v>233</v>
      </c>
      <c r="E69" s="196" t="s">
        <v>236</v>
      </c>
      <c r="F69" s="205">
        <v>5100</v>
      </c>
      <c r="G69" s="26" t="s">
        <v>232</v>
      </c>
      <c r="H69" s="31">
        <v>1.855</v>
      </c>
      <c r="I69" s="27">
        <f t="shared" si="2"/>
        <v>9460.5</v>
      </c>
      <c r="J69" s="28" t="s">
        <v>310</v>
      </c>
      <c r="K69" s="25">
        <v>41045</v>
      </c>
      <c r="L69" s="25">
        <v>41050</v>
      </c>
      <c r="M69" s="29" t="s">
        <v>256</v>
      </c>
      <c r="N69" s="28" t="s">
        <v>257</v>
      </c>
      <c r="O69" s="32">
        <v>45118.03</v>
      </c>
      <c r="P69" s="56">
        <v>41053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spans="1:32" s="33" customFormat="1" ht="13.5" customHeight="1">
      <c r="A70" s="25">
        <v>41045</v>
      </c>
      <c r="B70" s="225" t="s">
        <v>229</v>
      </c>
      <c r="C70" s="219" t="s">
        <v>758</v>
      </c>
      <c r="D70" s="225" t="s">
        <v>233</v>
      </c>
      <c r="E70" s="196" t="s">
        <v>234</v>
      </c>
      <c r="F70" s="119">
        <v>40</v>
      </c>
      <c r="G70" s="194" t="s">
        <v>232</v>
      </c>
      <c r="H70" s="31">
        <v>5.98</v>
      </c>
      <c r="I70" s="27">
        <f t="shared" si="2"/>
        <v>239.20000000000002</v>
      </c>
      <c r="J70" s="28" t="s">
        <v>311</v>
      </c>
      <c r="K70" s="25">
        <v>41045</v>
      </c>
      <c r="L70" s="25">
        <v>41045</v>
      </c>
      <c r="M70" s="29" t="s">
        <v>302</v>
      </c>
      <c r="N70" s="28" t="s">
        <v>255</v>
      </c>
      <c r="O70" s="26"/>
      <c r="P70" s="5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spans="1:32" s="33" customFormat="1" ht="13.5" customHeight="1">
      <c r="A71" s="25">
        <v>41045</v>
      </c>
      <c r="B71" s="225" t="s">
        <v>1990</v>
      </c>
      <c r="C71" s="219" t="s">
        <v>758</v>
      </c>
      <c r="D71" s="1" t="s">
        <v>1216</v>
      </c>
      <c r="E71" s="196">
        <v>3200</v>
      </c>
      <c r="F71" s="119">
        <v>20</v>
      </c>
      <c r="G71" s="26" t="s">
        <v>230</v>
      </c>
      <c r="H71" s="31">
        <v>11.96</v>
      </c>
      <c r="I71" s="27">
        <f t="shared" si="2"/>
        <v>239.20000000000002</v>
      </c>
      <c r="J71" s="28" t="s">
        <v>313</v>
      </c>
      <c r="K71" s="25">
        <v>41045</v>
      </c>
      <c r="L71" s="25">
        <v>41045</v>
      </c>
      <c r="M71" s="29" t="s">
        <v>302</v>
      </c>
      <c r="N71" s="28" t="s">
        <v>255</v>
      </c>
      <c r="O71" s="26"/>
      <c r="P71" s="5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s="33" customFormat="1" ht="13.5" customHeight="1">
      <c r="A72" s="25">
        <v>41046</v>
      </c>
      <c r="B72" s="225" t="s">
        <v>229</v>
      </c>
      <c r="C72" s="219" t="s">
        <v>758</v>
      </c>
      <c r="D72" s="1" t="s">
        <v>1219</v>
      </c>
      <c r="E72" s="196" t="s">
        <v>239</v>
      </c>
      <c r="F72" s="119">
        <v>50</v>
      </c>
      <c r="G72" s="26" t="s">
        <v>240</v>
      </c>
      <c r="H72" s="31">
        <v>13.4</v>
      </c>
      <c r="I72" s="27">
        <f t="shared" si="2"/>
        <v>670</v>
      </c>
      <c r="J72" s="28" t="s">
        <v>314</v>
      </c>
      <c r="K72" s="25">
        <v>41046</v>
      </c>
      <c r="L72" s="25">
        <v>41050</v>
      </c>
      <c r="M72" s="29" t="s">
        <v>256</v>
      </c>
      <c r="N72" s="28" t="s">
        <v>257</v>
      </c>
      <c r="O72" s="32">
        <v>45118.03</v>
      </c>
      <c r="P72" s="56">
        <v>41053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 s="33" customFormat="1" ht="13.5" customHeight="1">
      <c r="A73" s="25">
        <v>41051</v>
      </c>
      <c r="B73" s="225" t="s">
        <v>254</v>
      </c>
      <c r="C73" s="219" t="s">
        <v>758</v>
      </c>
      <c r="D73" s="225" t="s">
        <v>274</v>
      </c>
      <c r="E73" s="196" t="s">
        <v>275</v>
      </c>
      <c r="F73" s="119">
        <v>1800</v>
      </c>
      <c r="G73" s="26" t="s">
        <v>230</v>
      </c>
      <c r="H73" s="31">
        <v>31</v>
      </c>
      <c r="I73" s="27">
        <f t="shared" si="2"/>
        <v>55800</v>
      </c>
      <c r="J73" s="28" t="s">
        <v>315</v>
      </c>
      <c r="K73" s="25">
        <v>41051</v>
      </c>
      <c r="L73" s="25">
        <v>41051</v>
      </c>
      <c r="M73" s="29" t="s">
        <v>256</v>
      </c>
      <c r="N73" s="28" t="s">
        <v>316</v>
      </c>
      <c r="O73" s="32">
        <v>55800</v>
      </c>
      <c r="P73" s="56">
        <v>41051</v>
      </c>
      <c r="Q73" s="26"/>
      <c r="R73" s="26" t="s">
        <v>317</v>
      </c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spans="1:32" s="33" customFormat="1" ht="12.95" customHeight="1">
      <c r="A74" s="25">
        <v>41051</v>
      </c>
      <c r="B74" s="225" t="s">
        <v>318</v>
      </c>
      <c r="C74" s="219" t="s">
        <v>758</v>
      </c>
      <c r="D74" s="342" t="s">
        <v>241</v>
      </c>
      <c r="E74" s="196">
        <v>6200</v>
      </c>
      <c r="F74" s="119">
        <v>360</v>
      </c>
      <c r="G74" s="26" t="s">
        <v>230</v>
      </c>
      <c r="H74" s="31">
        <v>45.8</v>
      </c>
      <c r="I74" s="27">
        <f t="shared" si="2"/>
        <v>16488</v>
      </c>
      <c r="J74" s="28" t="s">
        <v>313</v>
      </c>
      <c r="K74" s="25">
        <v>41051</v>
      </c>
      <c r="L74" s="25">
        <v>41051</v>
      </c>
      <c r="M74" s="29" t="s">
        <v>256</v>
      </c>
      <c r="N74" s="28" t="s">
        <v>319</v>
      </c>
      <c r="O74" s="32">
        <v>36338</v>
      </c>
      <c r="P74" s="56">
        <v>41051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 s="33" customFormat="1" ht="13.5" customHeight="1">
      <c r="A75" s="25">
        <v>41051</v>
      </c>
      <c r="B75" s="225" t="s">
        <v>318</v>
      </c>
      <c r="C75" s="219" t="s">
        <v>758</v>
      </c>
      <c r="D75" s="225" t="s">
        <v>233</v>
      </c>
      <c r="E75" s="196" t="s">
        <v>234</v>
      </c>
      <c r="F75" s="119">
        <v>3700</v>
      </c>
      <c r="G75" s="194" t="s">
        <v>232</v>
      </c>
      <c r="H75" s="31">
        <v>5.0999999999999996</v>
      </c>
      <c r="I75" s="27">
        <f t="shared" si="2"/>
        <v>18870</v>
      </c>
      <c r="J75" s="28" t="s">
        <v>313</v>
      </c>
      <c r="K75" s="25">
        <v>41051</v>
      </c>
      <c r="L75" s="25">
        <v>41051</v>
      </c>
      <c r="M75" s="29" t="s">
        <v>256</v>
      </c>
      <c r="N75" s="28" t="s">
        <v>319</v>
      </c>
      <c r="O75" s="32">
        <v>36338</v>
      </c>
      <c r="P75" s="56">
        <v>41051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 s="33" customFormat="1" ht="13.5" customHeight="1">
      <c r="A76" s="25">
        <v>41051</v>
      </c>
      <c r="B76" s="225" t="s">
        <v>318</v>
      </c>
      <c r="C76" s="219" t="s">
        <v>758</v>
      </c>
      <c r="D76" s="225" t="s">
        <v>1882</v>
      </c>
      <c r="E76" s="196">
        <v>501</v>
      </c>
      <c r="F76" s="119">
        <v>700</v>
      </c>
      <c r="G76" s="72" t="s">
        <v>869</v>
      </c>
      <c r="H76" s="31">
        <v>1.4</v>
      </c>
      <c r="I76" s="27">
        <f t="shared" si="2"/>
        <v>979.99999999999989</v>
      </c>
      <c r="J76" s="28" t="s">
        <v>313</v>
      </c>
      <c r="K76" s="25">
        <v>41051</v>
      </c>
      <c r="L76" s="25">
        <v>41051</v>
      </c>
      <c r="M76" s="29" t="s">
        <v>256</v>
      </c>
      <c r="N76" s="28" t="s">
        <v>319</v>
      </c>
      <c r="O76" s="32">
        <v>36338</v>
      </c>
      <c r="P76" s="56">
        <v>41051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s="26" customFormat="1" ht="12" customHeight="1">
      <c r="A77" s="25">
        <v>41051</v>
      </c>
      <c r="B77" s="225" t="s">
        <v>229</v>
      </c>
      <c r="C77" s="219" t="s">
        <v>758</v>
      </c>
      <c r="D77" s="225" t="s">
        <v>320</v>
      </c>
      <c r="E77" s="196">
        <v>7772</v>
      </c>
      <c r="F77" s="119">
        <v>10</v>
      </c>
      <c r="G77" s="26" t="s">
        <v>230</v>
      </c>
      <c r="H77" s="31">
        <v>113.67</v>
      </c>
      <c r="I77" s="27">
        <f t="shared" si="2"/>
        <v>1136.7</v>
      </c>
      <c r="J77" s="28" t="s">
        <v>321</v>
      </c>
      <c r="K77" s="25">
        <v>41051</v>
      </c>
      <c r="L77" s="25">
        <v>41052</v>
      </c>
      <c r="M77" s="29" t="s">
        <v>256</v>
      </c>
      <c r="N77" s="28" t="s">
        <v>257</v>
      </c>
      <c r="O77" s="32">
        <v>45118.03</v>
      </c>
      <c r="P77" s="56">
        <v>41053</v>
      </c>
    </row>
    <row r="78" spans="1:32" s="26" customFormat="1" ht="12" customHeight="1">
      <c r="A78" s="25">
        <v>41051</v>
      </c>
      <c r="B78" s="225" t="s">
        <v>229</v>
      </c>
      <c r="C78" s="219" t="s">
        <v>758</v>
      </c>
      <c r="D78" s="225" t="s">
        <v>295</v>
      </c>
      <c r="E78" s="196">
        <v>7744</v>
      </c>
      <c r="F78" s="119">
        <v>200</v>
      </c>
      <c r="G78" s="26" t="s">
        <v>232</v>
      </c>
      <c r="H78" s="31">
        <v>6.8</v>
      </c>
      <c r="I78" s="27">
        <f t="shared" si="2"/>
        <v>1360</v>
      </c>
      <c r="J78" s="28" t="s">
        <v>321</v>
      </c>
      <c r="K78" s="25">
        <v>41051</v>
      </c>
      <c r="L78" s="25">
        <v>41052</v>
      </c>
      <c r="M78" s="29" t="s">
        <v>256</v>
      </c>
      <c r="N78" s="28" t="s">
        <v>257</v>
      </c>
      <c r="O78" s="32">
        <v>45118.03</v>
      </c>
      <c r="P78" s="56">
        <v>41053</v>
      </c>
    </row>
    <row r="79" spans="1:32" s="26" customFormat="1" ht="12" customHeight="1">
      <c r="A79" s="25">
        <v>41051</v>
      </c>
      <c r="B79" s="225" t="s">
        <v>229</v>
      </c>
      <c r="C79" s="219" t="s">
        <v>758</v>
      </c>
      <c r="D79" s="225" t="s">
        <v>264</v>
      </c>
      <c r="E79" s="196">
        <v>774</v>
      </c>
      <c r="F79" s="119">
        <v>50</v>
      </c>
      <c r="G79" s="26" t="s">
        <v>230</v>
      </c>
      <c r="H79" s="31">
        <v>6.23</v>
      </c>
      <c r="I79" s="27">
        <f t="shared" si="2"/>
        <v>311.5</v>
      </c>
      <c r="J79" s="28" t="s">
        <v>321</v>
      </c>
      <c r="K79" s="25">
        <v>41051</v>
      </c>
      <c r="L79" s="25">
        <v>41052</v>
      </c>
      <c r="M79" s="29" t="s">
        <v>256</v>
      </c>
      <c r="N79" s="28" t="s">
        <v>257</v>
      </c>
      <c r="O79" s="32">
        <v>45118.03</v>
      </c>
      <c r="P79" s="56">
        <v>41053</v>
      </c>
    </row>
    <row r="80" spans="1:32" s="33" customFormat="1" ht="13.5" customHeight="1">
      <c r="A80" s="25">
        <v>41053</v>
      </c>
      <c r="B80" s="225" t="s">
        <v>229</v>
      </c>
      <c r="C80" s="219" t="s">
        <v>758</v>
      </c>
      <c r="D80" s="225" t="s">
        <v>1883</v>
      </c>
      <c r="E80" s="196">
        <v>8210</v>
      </c>
      <c r="F80" s="119">
        <v>160</v>
      </c>
      <c r="G80" s="26" t="s">
        <v>686</v>
      </c>
      <c r="H80" s="31">
        <v>4.32</v>
      </c>
      <c r="I80" s="27">
        <f t="shared" si="2"/>
        <v>691.2</v>
      </c>
      <c r="J80" s="28" t="s">
        <v>323</v>
      </c>
      <c r="K80" s="25">
        <v>41053</v>
      </c>
      <c r="L80" s="25">
        <v>41053</v>
      </c>
      <c r="M80" s="29" t="s">
        <v>302</v>
      </c>
      <c r="N80" s="28" t="s">
        <v>255</v>
      </c>
      <c r="O80" s="32"/>
      <c r="P80" s="5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 s="33" customFormat="1" ht="13.5" customHeight="1">
      <c r="A81" s="25">
        <v>41054</v>
      </c>
      <c r="B81" s="225" t="s">
        <v>1989</v>
      </c>
      <c r="C81" s="219" t="s">
        <v>758</v>
      </c>
      <c r="D81" s="225" t="s">
        <v>355</v>
      </c>
      <c r="E81" s="196" t="s">
        <v>260</v>
      </c>
      <c r="F81" s="119">
        <v>21</v>
      </c>
      <c r="G81" s="26" t="s">
        <v>230</v>
      </c>
      <c r="H81" s="31">
        <v>12.93</v>
      </c>
      <c r="I81" s="27">
        <f t="shared" si="2"/>
        <v>271.52999999999997</v>
      </c>
      <c r="J81" s="28" t="s">
        <v>324</v>
      </c>
      <c r="K81" s="25">
        <v>41054</v>
      </c>
      <c r="L81" s="25">
        <v>41054</v>
      </c>
      <c r="M81" s="29" t="s">
        <v>302</v>
      </c>
      <c r="N81" s="28" t="s">
        <v>255</v>
      </c>
      <c r="O81" s="32"/>
      <c r="P81" s="5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s="26" customFormat="1" ht="12" customHeight="1">
      <c r="A82" s="25">
        <v>41054</v>
      </c>
      <c r="B82" s="225" t="s">
        <v>229</v>
      </c>
      <c r="C82" s="219" t="s">
        <v>758</v>
      </c>
      <c r="D82" s="225" t="s">
        <v>264</v>
      </c>
      <c r="E82" s="196" t="s">
        <v>283</v>
      </c>
      <c r="F82" s="119">
        <v>4</v>
      </c>
      <c r="G82" s="26" t="s">
        <v>230</v>
      </c>
      <c r="H82" s="31">
        <v>2</v>
      </c>
      <c r="I82" s="27">
        <f t="shared" si="2"/>
        <v>8</v>
      </c>
      <c r="J82" s="28" t="s">
        <v>324</v>
      </c>
      <c r="K82" s="25">
        <v>41054</v>
      </c>
      <c r="L82" s="25">
        <v>41054</v>
      </c>
      <c r="M82" s="29" t="s">
        <v>302</v>
      </c>
      <c r="N82" s="28" t="s">
        <v>255</v>
      </c>
      <c r="O82" s="32"/>
      <c r="P82" s="56"/>
    </row>
    <row r="83" spans="1:32" s="26" customFormat="1" ht="12" customHeight="1">
      <c r="A83" s="25">
        <v>41054</v>
      </c>
      <c r="B83" s="225" t="s">
        <v>229</v>
      </c>
      <c r="C83" s="219" t="s">
        <v>758</v>
      </c>
      <c r="D83" s="225" t="s">
        <v>355</v>
      </c>
      <c r="E83" s="196" t="s">
        <v>260</v>
      </c>
      <c r="F83" s="119">
        <v>40</v>
      </c>
      <c r="G83" s="26" t="s">
        <v>230</v>
      </c>
      <c r="H83" s="31">
        <v>12.93</v>
      </c>
      <c r="I83" s="27">
        <f t="shared" si="2"/>
        <v>517.20000000000005</v>
      </c>
      <c r="J83" s="28" t="s">
        <v>325</v>
      </c>
      <c r="K83" s="25">
        <v>41054</v>
      </c>
      <c r="L83" s="25">
        <v>41054</v>
      </c>
      <c r="M83" s="29" t="s">
        <v>302</v>
      </c>
      <c r="N83" s="28" t="s">
        <v>255</v>
      </c>
      <c r="O83" s="32"/>
      <c r="P83" s="56"/>
    </row>
    <row r="84" spans="1:32" s="33" customFormat="1" ht="13.5" customHeight="1">
      <c r="A84" s="25">
        <v>41054</v>
      </c>
      <c r="B84" s="225" t="s">
        <v>229</v>
      </c>
      <c r="C84" s="219" t="s">
        <v>758</v>
      </c>
      <c r="D84" s="225" t="s">
        <v>1878</v>
      </c>
      <c r="E84" s="196" t="s">
        <v>246</v>
      </c>
      <c r="F84" s="119">
        <v>500</v>
      </c>
      <c r="G84" s="26" t="s">
        <v>230</v>
      </c>
      <c r="H84" s="31">
        <v>1.62</v>
      </c>
      <c r="I84" s="27">
        <f t="shared" si="2"/>
        <v>810</v>
      </c>
      <c r="J84" s="28" t="s">
        <v>325</v>
      </c>
      <c r="K84" s="25">
        <v>41054</v>
      </c>
      <c r="L84" s="25">
        <v>41054</v>
      </c>
      <c r="M84" s="29" t="s">
        <v>302</v>
      </c>
      <c r="N84" s="28" t="s">
        <v>255</v>
      </c>
      <c r="O84" s="32"/>
      <c r="P84" s="5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s="33" customFormat="1" ht="13.5" customHeight="1">
      <c r="A85" s="25">
        <v>41054</v>
      </c>
      <c r="B85" s="225" t="s">
        <v>229</v>
      </c>
      <c r="C85" s="219" t="s">
        <v>758</v>
      </c>
      <c r="D85" s="225" t="s">
        <v>264</v>
      </c>
      <c r="E85" s="196" t="s">
        <v>283</v>
      </c>
      <c r="F85" s="119">
        <v>20</v>
      </c>
      <c r="G85" s="26" t="s">
        <v>230</v>
      </c>
      <c r="H85" s="31">
        <v>2</v>
      </c>
      <c r="I85" s="27">
        <f t="shared" si="2"/>
        <v>40</v>
      </c>
      <c r="J85" s="28" t="s">
        <v>325</v>
      </c>
      <c r="K85" s="25">
        <v>41054</v>
      </c>
      <c r="L85" s="25">
        <v>41054</v>
      </c>
      <c r="M85" s="29" t="s">
        <v>302</v>
      </c>
      <c r="N85" s="28" t="s">
        <v>255</v>
      </c>
      <c r="O85" s="32"/>
      <c r="P85" s="5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 s="33" customFormat="1" ht="13.5" customHeight="1">
      <c r="A86" s="25">
        <v>41057</v>
      </c>
      <c r="B86" s="225" t="s">
        <v>245</v>
      </c>
      <c r="C86" s="219" t="s">
        <v>758</v>
      </c>
      <c r="D86" s="225" t="s">
        <v>326</v>
      </c>
      <c r="E86" s="196" t="s">
        <v>327</v>
      </c>
      <c r="F86" s="119">
        <v>200</v>
      </c>
      <c r="G86" s="26" t="s">
        <v>232</v>
      </c>
      <c r="H86" s="31">
        <v>5.16</v>
      </c>
      <c r="I86" s="27">
        <f t="shared" si="2"/>
        <v>1032</v>
      </c>
      <c r="J86" s="28" t="s">
        <v>328</v>
      </c>
      <c r="K86" s="25">
        <v>41056</v>
      </c>
      <c r="L86" s="25">
        <v>41054</v>
      </c>
      <c r="M86" s="29" t="s">
        <v>329</v>
      </c>
      <c r="N86" s="28" t="s">
        <v>255</v>
      </c>
      <c r="O86" s="32"/>
      <c r="P86" s="5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 spans="1:32" s="33" customFormat="1" ht="13.5" customHeight="1">
      <c r="A87" s="25">
        <v>41057</v>
      </c>
      <c r="B87" s="225" t="s">
        <v>1991</v>
      </c>
      <c r="C87" s="219" t="s">
        <v>758</v>
      </c>
      <c r="D87" s="225" t="s">
        <v>242</v>
      </c>
      <c r="E87" s="196" t="s">
        <v>243</v>
      </c>
      <c r="F87" s="119">
        <v>32</v>
      </c>
      <c r="G87" s="26" t="s">
        <v>230</v>
      </c>
      <c r="H87" s="31">
        <v>19.559999999999999</v>
      </c>
      <c r="I87" s="27">
        <f t="shared" si="2"/>
        <v>625.91999999999996</v>
      </c>
      <c r="J87" s="28" t="s">
        <v>330</v>
      </c>
      <c r="K87" s="25">
        <v>41057</v>
      </c>
      <c r="L87" s="25">
        <v>41057</v>
      </c>
      <c r="M87" s="26" t="s">
        <v>329</v>
      </c>
      <c r="N87" s="28" t="s">
        <v>722</v>
      </c>
      <c r="O87" s="32">
        <v>625.91999999999996</v>
      </c>
      <c r="P87" s="56">
        <v>41086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 s="33" customFormat="1" ht="13.5" customHeight="1">
      <c r="A88" s="25">
        <v>41057</v>
      </c>
      <c r="B88" s="225" t="s">
        <v>229</v>
      </c>
      <c r="C88" s="219" t="s">
        <v>758</v>
      </c>
      <c r="D88" s="1" t="s">
        <v>1216</v>
      </c>
      <c r="E88" s="196">
        <v>3200</v>
      </c>
      <c r="F88" s="119">
        <v>6</v>
      </c>
      <c r="G88" s="26" t="s">
        <v>230</v>
      </c>
      <c r="H88" s="31">
        <v>28.73</v>
      </c>
      <c r="I88" s="27">
        <f t="shared" si="2"/>
        <v>172.38</v>
      </c>
      <c r="J88" s="28" t="s">
        <v>331</v>
      </c>
      <c r="K88" s="25">
        <v>41057</v>
      </c>
      <c r="L88" s="25">
        <v>41064</v>
      </c>
      <c r="M88" s="26" t="s">
        <v>332</v>
      </c>
      <c r="N88" s="28" t="s">
        <v>92</v>
      </c>
      <c r="O88" s="32">
        <v>50855.14</v>
      </c>
      <c r="P88" s="56">
        <v>41085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 spans="1:32" s="33" customFormat="1" ht="13.5" customHeight="1">
      <c r="A89" s="25">
        <v>41057</v>
      </c>
      <c r="B89" s="225" t="s">
        <v>229</v>
      </c>
      <c r="C89" s="219" t="s">
        <v>758</v>
      </c>
      <c r="D89" s="225" t="s">
        <v>355</v>
      </c>
      <c r="E89" s="196" t="s">
        <v>260</v>
      </c>
      <c r="F89" s="119">
        <v>9</v>
      </c>
      <c r="G89" s="26" t="s">
        <v>230</v>
      </c>
      <c r="H89" s="31">
        <v>13.33</v>
      </c>
      <c r="I89" s="27">
        <f t="shared" si="2"/>
        <v>119.97</v>
      </c>
      <c r="J89" s="28" t="s">
        <v>331</v>
      </c>
      <c r="K89" s="25">
        <v>41057</v>
      </c>
      <c r="L89" s="25">
        <v>41064</v>
      </c>
      <c r="M89" s="26" t="s">
        <v>332</v>
      </c>
      <c r="N89" s="28" t="s">
        <v>92</v>
      </c>
      <c r="O89" s="32">
        <v>50855.14</v>
      </c>
      <c r="P89" s="56">
        <v>41085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 s="33" customFormat="1" ht="13.5" customHeight="1">
      <c r="A90" s="25">
        <v>41057</v>
      </c>
      <c r="B90" s="225" t="s">
        <v>229</v>
      </c>
      <c r="C90" s="219" t="s">
        <v>758</v>
      </c>
      <c r="D90" s="225" t="s">
        <v>269</v>
      </c>
      <c r="E90" s="196" t="s">
        <v>270</v>
      </c>
      <c r="F90" s="119">
        <v>102</v>
      </c>
      <c r="G90" s="26" t="s">
        <v>232</v>
      </c>
      <c r="H90" s="31">
        <v>1.48</v>
      </c>
      <c r="I90" s="27">
        <f t="shared" si="2"/>
        <v>150.96</v>
      </c>
      <c r="J90" s="28" t="s">
        <v>331</v>
      </c>
      <c r="K90" s="25">
        <v>41057</v>
      </c>
      <c r="L90" s="25">
        <v>41064</v>
      </c>
      <c r="M90" s="26" t="s">
        <v>332</v>
      </c>
      <c r="N90" s="28" t="s">
        <v>92</v>
      </c>
      <c r="O90" s="32">
        <v>50855.14</v>
      </c>
      <c r="P90" s="56">
        <v>41085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 s="33" customFormat="1" ht="13.5" customHeight="1">
      <c r="A91" s="25">
        <v>41057</v>
      </c>
      <c r="B91" s="225" t="s">
        <v>229</v>
      </c>
      <c r="C91" s="219" t="s">
        <v>758</v>
      </c>
      <c r="D91" s="225" t="s">
        <v>264</v>
      </c>
      <c r="E91" s="196" t="s">
        <v>283</v>
      </c>
      <c r="F91" s="119">
        <v>1</v>
      </c>
      <c r="G91" s="26" t="s">
        <v>230</v>
      </c>
      <c r="H91" s="31">
        <v>2.12</v>
      </c>
      <c r="I91" s="27">
        <f t="shared" si="2"/>
        <v>2.12</v>
      </c>
      <c r="J91" s="28" t="s">
        <v>331</v>
      </c>
      <c r="K91" s="25">
        <v>41057</v>
      </c>
      <c r="L91" s="25">
        <v>41064</v>
      </c>
      <c r="M91" s="26" t="s">
        <v>332</v>
      </c>
      <c r="N91" s="28" t="s">
        <v>92</v>
      </c>
      <c r="O91" s="32">
        <v>50855.14</v>
      </c>
      <c r="P91" s="56">
        <v>41085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s="33" customFormat="1" ht="13.5" customHeight="1">
      <c r="A92" s="25">
        <v>41057</v>
      </c>
      <c r="B92" s="225" t="s">
        <v>229</v>
      </c>
      <c r="C92" s="219" t="s">
        <v>758</v>
      </c>
      <c r="D92" s="225" t="s">
        <v>1878</v>
      </c>
      <c r="E92" s="196" t="s">
        <v>246</v>
      </c>
      <c r="F92" s="119">
        <v>900</v>
      </c>
      <c r="G92" s="26" t="s">
        <v>230</v>
      </c>
      <c r="H92" s="31">
        <v>1.66</v>
      </c>
      <c r="I92" s="27">
        <f t="shared" si="2"/>
        <v>1494</v>
      </c>
      <c r="J92" s="28" t="s">
        <v>331</v>
      </c>
      <c r="K92" s="25">
        <v>41057</v>
      </c>
      <c r="L92" s="25">
        <v>41064</v>
      </c>
      <c r="M92" s="26" t="s">
        <v>332</v>
      </c>
      <c r="N92" s="28" t="s">
        <v>92</v>
      </c>
      <c r="O92" s="32">
        <v>50855.14</v>
      </c>
      <c r="P92" s="56">
        <v>41085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spans="1:32" s="33" customFormat="1" ht="13.5" customHeight="1">
      <c r="A93" s="25">
        <v>41057</v>
      </c>
      <c r="B93" s="225" t="s">
        <v>229</v>
      </c>
      <c r="C93" s="219" t="s">
        <v>758</v>
      </c>
      <c r="D93" s="225" t="s">
        <v>333</v>
      </c>
      <c r="E93" s="196" t="s">
        <v>334</v>
      </c>
      <c r="F93" s="119">
        <v>50</v>
      </c>
      <c r="G93" s="26" t="s">
        <v>230</v>
      </c>
      <c r="H93" s="31">
        <v>2.4700000000000002</v>
      </c>
      <c r="I93" s="27">
        <f t="shared" si="2"/>
        <v>123.50000000000001</v>
      </c>
      <c r="J93" s="28" t="s">
        <v>331</v>
      </c>
      <c r="K93" s="25">
        <v>41057</v>
      </c>
      <c r="L93" s="25">
        <v>41064</v>
      </c>
      <c r="M93" s="26" t="s">
        <v>332</v>
      </c>
      <c r="N93" s="28" t="s">
        <v>92</v>
      </c>
      <c r="O93" s="32">
        <v>50855.14</v>
      </c>
      <c r="P93" s="56">
        <v>41085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 s="33" customFormat="1" ht="13.5" customHeight="1">
      <c r="A94" s="25">
        <v>41057</v>
      </c>
      <c r="B94" s="225" t="s">
        <v>229</v>
      </c>
      <c r="C94" s="219" t="s">
        <v>758</v>
      </c>
      <c r="D94" s="225" t="s">
        <v>683</v>
      </c>
      <c r="E94" s="196" t="s">
        <v>266</v>
      </c>
      <c r="F94" s="119">
        <v>35</v>
      </c>
      <c r="G94" s="26" t="s">
        <v>240</v>
      </c>
      <c r="H94" s="31">
        <v>3.31</v>
      </c>
      <c r="I94" s="27">
        <f t="shared" si="2"/>
        <v>115.85000000000001</v>
      </c>
      <c r="J94" s="28" t="s">
        <v>331</v>
      </c>
      <c r="K94" s="25">
        <v>41057</v>
      </c>
      <c r="L94" s="25">
        <v>41064</v>
      </c>
      <c r="M94" s="26" t="s">
        <v>332</v>
      </c>
      <c r="N94" s="28" t="s">
        <v>92</v>
      </c>
      <c r="O94" s="32">
        <v>50855.14</v>
      </c>
      <c r="P94" s="56">
        <v>41085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s="33" customFormat="1" ht="13.5" customHeight="1">
      <c r="A95" s="25">
        <v>41057</v>
      </c>
      <c r="B95" s="225" t="s">
        <v>229</v>
      </c>
      <c r="C95" s="219" t="s">
        <v>758</v>
      </c>
      <c r="D95" s="225" t="s">
        <v>267</v>
      </c>
      <c r="E95" s="196">
        <v>12308</v>
      </c>
      <c r="F95" s="119">
        <v>10</v>
      </c>
      <c r="G95" s="26" t="s">
        <v>240</v>
      </c>
      <c r="H95" s="31">
        <v>19.43</v>
      </c>
      <c r="I95" s="27">
        <f t="shared" si="2"/>
        <v>194.3</v>
      </c>
      <c r="J95" s="28" t="s">
        <v>331</v>
      </c>
      <c r="K95" s="25">
        <v>41057</v>
      </c>
      <c r="L95" s="25">
        <v>41064</v>
      </c>
      <c r="M95" s="26" t="s">
        <v>332</v>
      </c>
      <c r="N95" s="28" t="s">
        <v>92</v>
      </c>
      <c r="O95" s="32">
        <v>50855.14</v>
      </c>
      <c r="P95" s="56">
        <v>41085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 s="33" customFormat="1" ht="13.5" customHeight="1">
      <c r="A96" s="25">
        <v>41057</v>
      </c>
      <c r="B96" s="225" t="s">
        <v>229</v>
      </c>
      <c r="C96" s="219" t="s">
        <v>758</v>
      </c>
      <c r="D96" s="225" t="s">
        <v>247</v>
      </c>
      <c r="E96" s="196">
        <v>4620</v>
      </c>
      <c r="F96" s="119">
        <v>11</v>
      </c>
      <c r="G96" s="114" t="s">
        <v>1099</v>
      </c>
      <c r="H96" s="31">
        <v>17.79</v>
      </c>
      <c r="I96" s="27">
        <f t="shared" si="2"/>
        <v>195.69</v>
      </c>
      <c r="J96" s="28" t="s">
        <v>331</v>
      </c>
      <c r="K96" s="25">
        <v>41057</v>
      </c>
      <c r="L96" s="25">
        <v>41064</v>
      </c>
      <c r="M96" s="26" t="s">
        <v>332</v>
      </c>
      <c r="N96" s="28" t="s">
        <v>92</v>
      </c>
      <c r="O96" s="32">
        <v>50855.14</v>
      </c>
      <c r="P96" s="56">
        <v>41085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 s="33" customFormat="1" ht="13.5" customHeight="1">
      <c r="A97" s="25">
        <v>41057</v>
      </c>
      <c r="B97" s="225" t="s">
        <v>229</v>
      </c>
      <c r="C97" s="219" t="s">
        <v>758</v>
      </c>
      <c r="D97" s="225" t="s">
        <v>264</v>
      </c>
      <c r="E97" s="196">
        <v>501</v>
      </c>
      <c r="F97" s="119">
        <v>16</v>
      </c>
      <c r="G97" s="26" t="s">
        <v>230</v>
      </c>
      <c r="H97" s="31">
        <v>1.81</v>
      </c>
      <c r="I97" s="27">
        <f t="shared" si="2"/>
        <v>28.96</v>
      </c>
      <c r="J97" s="28" t="s">
        <v>331</v>
      </c>
      <c r="K97" s="25">
        <v>41057</v>
      </c>
      <c r="L97" s="25">
        <v>41064</v>
      </c>
      <c r="M97" s="26" t="s">
        <v>332</v>
      </c>
      <c r="N97" s="28" t="s">
        <v>92</v>
      </c>
      <c r="O97" s="32">
        <v>50855.14</v>
      </c>
      <c r="P97" s="56">
        <v>41085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 s="33" customFormat="1" ht="13.5" customHeight="1">
      <c r="A98" s="25">
        <v>41057</v>
      </c>
      <c r="B98" s="225" t="s">
        <v>229</v>
      </c>
      <c r="C98" s="219" t="s">
        <v>758</v>
      </c>
      <c r="D98" s="342" t="s">
        <v>1885</v>
      </c>
      <c r="E98" s="196" t="s">
        <v>249</v>
      </c>
      <c r="F98" s="119">
        <v>15</v>
      </c>
      <c r="G98" s="26" t="s">
        <v>240</v>
      </c>
      <c r="H98" s="31">
        <v>15.41</v>
      </c>
      <c r="I98" s="27">
        <f t="shared" si="2"/>
        <v>231.15</v>
      </c>
      <c r="J98" s="28" t="s">
        <v>331</v>
      </c>
      <c r="K98" s="25">
        <v>41057</v>
      </c>
      <c r="L98" s="25">
        <v>41064</v>
      </c>
      <c r="M98" s="26" t="s">
        <v>332</v>
      </c>
      <c r="N98" s="28" t="s">
        <v>92</v>
      </c>
      <c r="O98" s="32">
        <v>50855.14</v>
      </c>
      <c r="P98" s="56">
        <v>41085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 spans="1:32" s="33" customFormat="1" ht="13.5" customHeight="1">
      <c r="A99" s="25">
        <v>41057</v>
      </c>
      <c r="B99" s="225" t="s">
        <v>229</v>
      </c>
      <c r="C99" s="219" t="s">
        <v>758</v>
      </c>
      <c r="D99" s="342" t="s">
        <v>241</v>
      </c>
      <c r="E99" s="196">
        <v>6200</v>
      </c>
      <c r="F99" s="119">
        <v>8</v>
      </c>
      <c r="G99" s="26" t="s">
        <v>230</v>
      </c>
      <c r="H99" s="31">
        <v>50</v>
      </c>
      <c r="I99" s="27">
        <f t="shared" si="2"/>
        <v>400</v>
      </c>
      <c r="J99" s="28" t="s">
        <v>331</v>
      </c>
      <c r="K99" s="25">
        <v>41057</v>
      </c>
      <c r="L99" s="25">
        <v>41064</v>
      </c>
      <c r="M99" s="26" t="s">
        <v>332</v>
      </c>
      <c r="N99" s="28" t="s">
        <v>92</v>
      </c>
      <c r="O99" s="32">
        <v>50855.14</v>
      </c>
      <c r="P99" s="56">
        <v>41085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 spans="1:32" s="33" customFormat="1" ht="13.5" customHeight="1">
      <c r="A100" s="25">
        <v>41057</v>
      </c>
      <c r="B100" s="225" t="s">
        <v>229</v>
      </c>
      <c r="C100" s="219" t="s">
        <v>758</v>
      </c>
      <c r="D100" s="225" t="s">
        <v>242</v>
      </c>
      <c r="E100" s="196" t="s">
        <v>243</v>
      </c>
      <c r="F100" s="119">
        <v>26</v>
      </c>
      <c r="G100" s="26" t="s">
        <v>230</v>
      </c>
      <c r="H100" s="31">
        <v>19.86</v>
      </c>
      <c r="I100" s="27">
        <f t="shared" ref="I100:I131" si="3">H100*F100</f>
        <v>516.36</v>
      </c>
      <c r="J100" s="28" t="s">
        <v>331</v>
      </c>
      <c r="K100" s="25">
        <v>41057</v>
      </c>
      <c r="L100" s="25">
        <v>41064</v>
      </c>
      <c r="M100" s="26" t="s">
        <v>332</v>
      </c>
      <c r="N100" s="28" t="s">
        <v>92</v>
      </c>
      <c r="O100" s="32">
        <v>50855.14</v>
      </c>
      <c r="P100" s="56">
        <v>41085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 spans="1:32" s="33" customFormat="1" ht="13.5" customHeight="1">
      <c r="A101" s="25">
        <v>41057</v>
      </c>
      <c r="B101" s="225" t="s">
        <v>229</v>
      </c>
      <c r="C101" s="219" t="s">
        <v>758</v>
      </c>
      <c r="D101" s="342" t="s">
        <v>241</v>
      </c>
      <c r="E101" s="196">
        <v>6200</v>
      </c>
      <c r="F101" s="119">
        <v>8</v>
      </c>
      <c r="G101" s="26" t="s">
        <v>230</v>
      </c>
      <c r="H101" s="31">
        <v>50</v>
      </c>
      <c r="I101" s="27">
        <f t="shared" si="3"/>
        <v>400</v>
      </c>
      <c r="J101" s="28" t="s">
        <v>335</v>
      </c>
      <c r="K101" s="25">
        <v>41057</v>
      </c>
      <c r="L101" s="25">
        <v>41064</v>
      </c>
      <c r="M101" s="26" t="s">
        <v>332</v>
      </c>
      <c r="N101" s="28" t="s">
        <v>92</v>
      </c>
      <c r="O101" s="32">
        <v>50855.14</v>
      </c>
      <c r="P101" s="56">
        <v>41085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 s="33" customFormat="1" ht="13.5" customHeight="1">
      <c r="A102" s="25">
        <v>41057</v>
      </c>
      <c r="B102" s="225" t="s">
        <v>229</v>
      </c>
      <c r="C102" s="219" t="s">
        <v>758</v>
      </c>
      <c r="D102" s="225" t="s">
        <v>264</v>
      </c>
      <c r="E102" s="196">
        <v>501</v>
      </c>
      <c r="F102" s="119">
        <v>16</v>
      </c>
      <c r="G102" s="26" t="s">
        <v>230</v>
      </c>
      <c r="H102" s="31">
        <v>1.81</v>
      </c>
      <c r="I102" s="27">
        <f t="shared" si="3"/>
        <v>28.96</v>
      </c>
      <c r="J102" s="28" t="s">
        <v>335</v>
      </c>
      <c r="K102" s="25">
        <v>41057</v>
      </c>
      <c r="L102" s="25">
        <v>41064</v>
      </c>
      <c r="M102" s="26" t="s">
        <v>332</v>
      </c>
      <c r="N102" s="28" t="s">
        <v>92</v>
      </c>
      <c r="O102" s="32">
        <v>50855.14</v>
      </c>
      <c r="P102" s="56">
        <v>41085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 spans="1:32" s="33" customFormat="1" ht="13.5" customHeight="1">
      <c r="A103" s="25">
        <v>41057</v>
      </c>
      <c r="B103" s="225" t="s">
        <v>229</v>
      </c>
      <c r="C103" s="219" t="s">
        <v>758</v>
      </c>
      <c r="D103" s="225" t="s">
        <v>1878</v>
      </c>
      <c r="E103" s="196" t="s">
        <v>246</v>
      </c>
      <c r="F103" s="119">
        <v>500</v>
      </c>
      <c r="G103" s="198" t="s">
        <v>230</v>
      </c>
      <c r="H103" s="31">
        <v>1.66</v>
      </c>
      <c r="I103" s="27">
        <f t="shared" si="3"/>
        <v>830</v>
      </c>
      <c r="J103" s="28" t="s">
        <v>335</v>
      </c>
      <c r="K103" s="25">
        <v>41057</v>
      </c>
      <c r="L103" s="25">
        <v>41064</v>
      </c>
      <c r="M103" s="26" t="s">
        <v>332</v>
      </c>
      <c r="N103" s="28" t="s">
        <v>92</v>
      </c>
      <c r="O103" s="32">
        <v>50855.14</v>
      </c>
      <c r="P103" s="56">
        <v>41085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 spans="1:32" s="33" customFormat="1" ht="13.5" customHeight="1">
      <c r="A104" s="25">
        <v>41059</v>
      </c>
      <c r="B104" s="225" t="s">
        <v>229</v>
      </c>
      <c r="C104" s="219" t="s">
        <v>758</v>
      </c>
      <c r="D104" s="225" t="s">
        <v>1878</v>
      </c>
      <c r="E104" s="196" t="s">
        <v>246</v>
      </c>
      <c r="F104" s="119">
        <v>300</v>
      </c>
      <c r="G104" s="198" t="s">
        <v>230</v>
      </c>
      <c r="H104" s="31">
        <v>1.66</v>
      </c>
      <c r="I104" s="27">
        <f t="shared" si="3"/>
        <v>498</v>
      </c>
      <c r="J104" s="28" t="s">
        <v>336</v>
      </c>
      <c r="K104" s="25">
        <v>41059</v>
      </c>
      <c r="L104" s="25">
        <v>41064</v>
      </c>
      <c r="M104" s="26" t="s">
        <v>332</v>
      </c>
      <c r="N104" s="28" t="s">
        <v>92</v>
      </c>
      <c r="O104" s="32">
        <v>50855.14</v>
      </c>
      <c r="P104" s="56">
        <v>41085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 spans="1:32" s="26" customFormat="1" ht="12" customHeight="1">
      <c r="A105" s="25">
        <v>41060</v>
      </c>
      <c r="B105" s="225" t="s">
        <v>229</v>
      </c>
      <c r="C105" s="219" t="s">
        <v>758</v>
      </c>
      <c r="D105" s="225" t="s">
        <v>1878</v>
      </c>
      <c r="E105" s="196" t="s">
        <v>246</v>
      </c>
      <c r="F105" s="119">
        <v>2500</v>
      </c>
      <c r="G105" s="198" t="s">
        <v>230</v>
      </c>
      <c r="H105" s="31">
        <v>1.6</v>
      </c>
      <c r="I105" s="27">
        <f t="shared" si="3"/>
        <v>4000</v>
      </c>
      <c r="J105" s="28" t="s">
        <v>337</v>
      </c>
      <c r="K105" s="25">
        <v>41060</v>
      </c>
      <c r="L105" s="25">
        <v>41064</v>
      </c>
      <c r="M105" s="26" t="s">
        <v>332</v>
      </c>
      <c r="N105" s="28" t="s">
        <v>92</v>
      </c>
      <c r="O105" s="32">
        <v>50855.14</v>
      </c>
      <c r="P105" s="56">
        <v>41085</v>
      </c>
    </row>
    <row r="106" spans="1:32" s="26" customFormat="1" ht="12" customHeight="1">
      <c r="A106" s="25">
        <v>41060</v>
      </c>
      <c r="B106" s="225" t="s">
        <v>338</v>
      </c>
      <c r="C106" s="219" t="s">
        <v>758</v>
      </c>
      <c r="D106" s="342" t="s">
        <v>241</v>
      </c>
      <c r="E106" s="196">
        <v>6200</v>
      </c>
      <c r="F106" s="119">
        <v>24</v>
      </c>
      <c r="G106" s="26" t="s">
        <v>230</v>
      </c>
      <c r="H106" s="31">
        <v>45.8</v>
      </c>
      <c r="I106" s="27">
        <f t="shared" si="3"/>
        <v>1099.1999999999998</v>
      </c>
      <c r="J106" s="28" t="s">
        <v>339</v>
      </c>
      <c r="K106" s="25">
        <v>41060</v>
      </c>
      <c r="L106" s="56">
        <v>41060</v>
      </c>
      <c r="M106" s="29" t="s">
        <v>302</v>
      </c>
      <c r="N106" s="28" t="s">
        <v>340</v>
      </c>
      <c r="O106" s="32">
        <v>8922</v>
      </c>
      <c r="P106" s="56">
        <v>41067</v>
      </c>
    </row>
    <row r="107" spans="1:32" s="26" customFormat="1" ht="12" customHeight="1">
      <c r="A107" s="25">
        <v>41060</v>
      </c>
      <c r="B107" s="225" t="s">
        <v>338</v>
      </c>
      <c r="C107" s="219" t="s">
        <v>758</v>
      </c>
      <c r="D107" s="225" t="s">
        <v>242</v>
      </c>
      <c r="E107" s="196" t="s">
        <v>243</v>
      </c>
      <c r="F107" s="119">
        <v>60</v>
      </c>
      <c r="G107" s="26" t="s">
        <v>230</v>
      </c>
      <c r="H107" s="31">
        <v>19</v>
      </c>
      <c r="I107" s="27">
        <f t="shared" si="3"/>
        <v>1140</v>
      </c>
      <c r="J107" s="28" t="s">
        <v>339</v>
      </c>
      <c r="K107" s="25">
        <v>41060</v>
      </c>
      <c r="L107" s="56">
        <v>41060</v>
      </c>
      <c r="M107" s="29" t="s">
        <v>302</v>
      </c>
      <c r="N107" s="28" t="s">
        <v>340</v>
      </c>
      <c r="O107" s="32">
        <v>8922</v>
      </c>
      <c r="P107" s="56">
        <v>41067</v>
      </c>
    </row>
    <row r="108" spans="1:32" s="26" customFormat="1" ht="12" customHeight="1">
      <c r="A108" s="25">
        <v>41060</v>
      </c>
      <c r="B108" s="225" t="s">
        <v>229</v>
      </c>
      <c r="C108" s="219" t="s">
        <v>758</v>
      </c>
      <c r="D108" s="225" t="s">
        <v>264</v>
      </c>
      <c r="E108" s="196">
        <v>501</v>
      </c>
      <c r="F108" s="119">
        <v>60</v>
      </c>
      <c r="G108" s="26" t="s">
        <v>230</v>
      </c>
      <c r="H108" s="31">
        <v>1.4</v>
      </c>
      <c r="I108" s="27">
        <f t="shared" si="3"/>
        <v>84</v>
      </c>
      <c r="J108" s="28" t="s">
        <v>341</v>
      </c>
      <c r="K108" s="25">
        <v>41060</v>
      </c>
      <c r="L108" s="25">
        <v>41064</v>
      </c>
      <c r="M108" s="26" t="s">
        <v>332</v>
      </c>
      <c r="N108" s="28" t="s">
        <v>92</v>
      </c>
      <c r="O108" s="32">
        <v>50855.14</v>
      </c>
      <c r="P108" s="56">
        <v>41085</v>
      </c>
    </row>
    <row r="109" spans="1:32" s="26" customFormat="1" ht="12" customHeight="1">
      <c r="A109" s="25">
        <v>41060</v>
      </c>
      <c r="B109" s="225" t="s">
        <v>229</v>
      </c>
      <c r="C109" s="219" t="s">
        <v>758</v>
      </c>
      <c r="D109" s="1" t="s">
        <v>1216</v>
      </c>
      <c r="E109" s="196">
        <v>3200</v>
      </c>
      <c r="F109" s="119">
        <v>20</v>
      </c>
      <c r="G109" s="26" t="s">
        <v>230</v>
      </c>
      <c r="H109" s="31">
        <v>28.73</v>
      </c>
      <c r="I109" s="27">
        <f t="shared" si="3"/>
        <v>574.6</v>
      </c>
      <c r="J109" s="28" t="s">
        <v>341</v>
      </c>
      <c r="K109" s="25">
        <v>41060</v>
      </c>
      <c r="L109" s="25">
        <v>41064</v>
      </c>
      <c r="M109" s="26" t="s">
        <v>332</v>
      </c>
      <c r="N109" s="28" t="s">
        <v>92</v>
      </c>
      <c r="O109" s="32">
        <v>50855.14</v>
      </c>
      <c r="P109" s="56">
        <v>41085</v>
      </c>
    </row>
    <row r="110" spans="1:32" s="26" customFormat="1" ht="12" customHeight="1">
      <c r="A110" s="25">
        <v>41060</v>
      </c>
      <c r="B110" s="225" t="s">
        <v>229</v>
      </c>
      <c r="C110" s="219" t="s">
        <v>758</v>
      </c>
      <c r="D110" s="225" t="s">
        <v>297</v>
      </c>
      <c r="E110" s="196">
        <v>3700</v>
      </c>
      <c r="F110" s="119">
        <v>20</v>
      </c>
      <c r="G110" s="26" t="s">
        <v>230</v>
      </c>
      <c r="H110" s="31">
        <v>3.7</v>
      </c>
      <c r="I110" s="27">
        <f t="shared" si="3"/>
        <v>74</v>
      </c>
      <c r="J110" s="28" t="s">
        <v>341</v>
      </c>
      <c r="K110" s="25">
        <v>41060</v>
      </c>
      <c r="L110" s="25">
        <v>41064</v>
      </c>
      <c r="M110" s="26" t="s">
        <v>332</v>
      </c>
      <c r="N110" s="28" t="s">
        <v>92</v>
      </c>
      <c r="O110" s="32">
        <v>50855.14</v>
      </c>
      <c r="P110" s="56">
        <v>41085</v>
      </c>
    </row>
    <row r="111" spans="1:32" s="26" customFormat="1" ht="12" customHeight="1">
      <c r="A111" s="25">
        <v>41060</v>
      </c>
      <c r="B111" s="225" t="s">
        <v>229</v>
      </c>
      <c r="C111" s="219" t="s">
        <v>758</v>
      </c>
      <c r="D111" s="225" t="s">
        <v>233</v>
      </c>
      <c r="E111" s="196" t="s">
        <v>236</v>
      </c>
      <c r="F111" s="205">
        <v>200</v>
      </c>
      <c r="G111" s="26" t="s">
        <v>232</v>
      </c>
      <c r="H111" s="31">
        <v>1.8265</v>
      </c>
      <c r="I111" s="27">
        <f t="shared" si="3"/>
        <v>365.3</v>
      </c>
      <c r="J111" s="28" t="s">
        <v>341</v>
      </c>
      <c r="K111" s="25">
        <v>41060</v>
      </c>
      <c r="L111" s="25">
        <v>41064</v>
      </c>
      <c r="M111" s="26" t="s">
        <v>332</v>
      </c>
      <c r="N111" s="28" t="s">
        <v>92</v>
      </c>
      <c r="O111" s="32">
        <v>50855.14</v>
      </c>
      <c r="P111" s="56">
        <v>41085</v>
      </c>
    </row>
    <row r="112" spans="1:32" s="26" customFormat="1" ht="12" customHeight="1">
      <c r="A112" s="25">
        <v>41060</v>
      </c>
      <c r="B112" s="225" t="s">
        <v>229</v>
      </c>
      <c r="C112" s="219" t="s">
        <v>758</v>
      </c>
      <c r="D112" s="342" t="s">
        <v>1885</v>
      </c>
      <c r="E112" s="196" t="s">
        <v>249</v>
      </c>
      <c r="F112" s="119">
        <v>10</v>
      </c>
      <c r="G112" s="92" t="s">
        <v>240</v>
      </c>
      <c r="H112" s="31">
        <v>15.41</v>
      </c>
      <c r="I112" s="27">
        <f t="shared" si="3"/>
        <v>154.1</v>
      </c>
      <c r="J112" s="28" t="s">
        <v>341</v>
      </c>
      <c r="K112" s="25">
        <v>41060</v>
      </c>
      <c r="L112" s="25">
        <v>41064</v>
      </c>
      <c r="M112" s="26" t="s">
        <v>332</v>
      </c>
      <c r="N112" s="28" t="s">
        <v>92</v>
      </c>
      <c r="O112" s="32">
        <v>50855.14</v>
      </c>
      <c r="P112" s="56">
        <v>41085</v>
      </c>
    </row>
    <row r="113" spans="1:32" s="26" customFormat="1" ht="12" customHeight="1">
      <c r="A113" s="25">
        <v>41060</v>
      </c>
      <c r="B113" s="225" t="s">
        <v>229</v>
      </c>
      <c r="C113" s="219" t="s">
        <v>758</v>
      </c>
      <c r="D113" s="1" t="s">
        <v>1219</v>
      </c>
      <c r="E113" s="196" t="s">
        <v>239</v>
      </c>
      <c r="F113" s="119">
        <v>10</v>
      </c>
      <c r="G113" s="26" t="s">
        <v>240</v>
      </c>
      <c r="H113" s="31">
        <v>13.4</v>
      </c>
      <c r="I113" s="27">
        <f t="shared" si="3"/>
        <v>134</v>
      </c>
      <c r="J113" s="28" t="s">
        <v>341</v>
      </c>
      <c r="K113" s="25">
        <v>41060</v>
      </c>
      <c r="L113" s="25">
        <v>41064</v>
      </c>
      <c r="M113" s="26" t="s">
        <v>332</v>
      </c>
      <c r="N113" s="28" t="s">
        <v>92</v>
      </c>
      <c r="O113" s="32">
        <v>50855.14</v>
      </c>
      <c r="P113" s="56">
        <v>41085</v>
      </c>
    </row>
    <row r="114" spans="1:32" s="26" customFormat="1" ht="13.5" customHeight="1">
      <c r="A114" s="25">
        <v>41060</v>
      </c>
      <c r="B114" s="225" t="s">
        <v>229</v>
      </c>
      <c r="C114" s="219" t="s">
        <v>758</v>
      </c>
      <c r="D114" s="5" t="s">
        <v>2023</v>
      </c>
      <c r="E114" s="196" t="s">
        <v>263</v>
      </c>
      <c r="F114" s="119">
        <v>10</v>
      </c>
      <c r="G114" s="26" t="s">
        <v>240</v>
      </c>
      <c r="H114" s="31">
        <v>30.15</v>
      </c>
      <c r="I114" s="27">
        <f t="shared" si="3"/>
        <v>301.5</v>
      </c>
      <c r="J114" s="28" t="s">
        <v>341</v>
      </c>
      <c r="K114" s="25">
        <v>41060</v>
      </c>
      <c r="L114" s="25">
        <v>41064</v>
      </c>
      <c r="M114" s="26" t="s">
        <v>332</v>
      </c>
      <c r="N114" s="28" t="s">
        <v>92</v>
      </c>
      <c r="O114" s="32">
        <v>50855.14</v>
      </c>
      <c r="P114" s="56">
        <v>41085</v>
      </c>
    </row>
    <row r="115" spans="1:32" s="26" customFormat="1" ht="13.5" customHeight="1">
      <c r="A115" s="25">
        <v>41060</v>
      </c>
      <c r="B115" s="225" t="s">
        <v>1992</v>
      </c>
      <c r="C115" s="219" t="s">
        <v>758</v>
      </c>
      <c r="D115" s="1" t="s">
        <v>1884</v>
      </c>
      <c r="E115" s="196">
        <v>8247</v>
      </c>
      <c r="F115" s="119">
        <v>3000</v>
      </c>
      <c r="G115" s="26" t="s">
        <v>230</v>
      </c>
      <c r="H115" s="31">
        <v>12.6</v>
      </c>
      <c r="I115" s="27">
        <f t="shared" si="3"/>
        <v>37800</v>
      </c>
      <c r="J115" s="28"/>
      <c r="K115" s="25">
        <v>41060</v>
      </c>
      <c r="L115" s="25">
        <v>41060</v>
      </c>
      <c r="M115" s="26" t="s">
        <v>332</v>
      </c>
      <c r="N115" s="28" t="s">
        <v>721</v>
      </c>
      <c r="O115" s="32">
        <v>40726</v>
      </c>
      <c r="P115" s="56">
        <v>41079</v>
      </c>
    </row>
    <row r="116" spans="1:32" s="26" customFormat="1" ht="12" customHeight="1">
      <c r="A116" s="25">
        <v>41061</v>
      </c>
      <c r="B116" s="225" t="s">
        <v>229</v>
      </c>
      <c r="C116" s="219" t="s">
        <v>758</v>
      </c>
      <c r="D116" s="225" t="s">
        <v>233</v>
      </c>
      <c r="E116" s="196" t="s">
        <v>236</v>
      </c>
      <c r="F116" s="205">
        <v>5000</v>
      </c>
      <c r="G116" s="26" t="s">
        <v>232</v>
      </c>
      <c r="H116" s="31">
        <v>1.8</v>
      </c>
      <c r="I116" s="27">
        <f t="shared" si="3"/>
        <v>9000</v>
      </c>
      <c r="J116" s="28" t="s">
        <v>343</v>
      </c>
      <c r="K116" s="25">
        <v>41061</v>
      </c>
      <c r="L116" s="25">
        <v>41072</v>
      </c>
      <c r="M116" s="26" t="s">
        <v>332</v>
      </c>
      <c r="N116" s="28" t="s">
        <v>92</v>
      </c>
      <c r="O116" s="32">
        <v>50855.14</v>
      </c>
      <c r="P116" s="56">
        <v>41085</v>
      </c>
    </row>
    <row r="117" spans="1:32" s="26" customFormat="1" ht="12" customHeight="1">
      <c r="A117" s="25">
        <v>41064</v>
      </c>
      <c r="B117" s="225" t="s">
        <v>338</v>
      </c>
      <c r="C117" s="219" t="s">
        <v>758</v>
      </c>
      <c r="D117" s="225" t="s">
        <v>242</v>
      </c>
      <c r="E117" s="196" t="s">
        <v>243</v>
      </c>
      <c r="F117" s="119">
        <v>120</v>
      </c>
      <c r="G117" s="26" t="s">
        <v>230</v>
      </c>
      <c r="H117" s="31">
        <v>19</v>
      </c>
      <c r="I117" s="27">
        <f t="shared" si="3"/>
        <v>2280</v>
      </c>
      <c r="J117" s="28" t="s">
        <v>344</v>
      </c>
      <c r="K117" s="25">
        <v>41064</v>
      </c>
      <c r="L117" s="56">
        <v>41067</v>
      </c>
      <c r="M117" s="29" t="s">
        <v>345</v>
      </c>
      <c r="N117" s="28" t="s">
        <v>340</v>
      </c>
      <c r="O117" s="32">
        <v>8922</v>
      </c>
      <c r="P117" s="56">
        <v>41067</v>
      </c>
    </row>
    <row r="118" spans="1:32" s="33" customFormat="1" ht="12" customHeight="1">
      <c r="A118" s="25">
        <v>41065</v>
      </c>
      <c r="B118" s="225" t="s">
        <v>318</v>
      </c>
      <c r="C118" s="219" t="s">
        <v>758</v>
      </c>
      <c r="D118" s="225" t="s">
        <v>233</v>
      </c>
      <c r="E118" s="196" t="s">
        <v>234</v>
      </c>
      <c r="F118" s="119">
        <v>500</v>
      </c>
      <c r="G118" s="194" t="s">
        <v>232</v>
      </c>
      <c r="H118" s="31">
        <v>5.0999999999999996</v>
      </c>
      <c r="I118" s="27">
        <f t="shared" si="3"/>
        <v>2550</v>
      </c>
      <c r="J118" s="28" t="s">
        <v>313</v>
      </c>
      <c r="K118" s="25">
        <v>41065</v>
      </c>
      <c r="L118" s="25">
        <v>41065</v>
      </c>
      <c r="M118" s="29" t="s">
        <v>302</v>
      </c>
      <c r="N118" s="28" t="s">
        <v>346</v>
      </c>
      <c r="O118" s="32">
        <v>2550</v>
      </c>
      <c r="P118" s="56">
        <v>41065</v>
      </c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 spans="1:32" s="33" customFormat="1" ht="12" customHeight="1">
      <c r="A119" s="25">
        <v>41066</v>
      </c>
      <c r="B119" s="225" t="s">
        <v>229</v>
      </c>
      <c r="C119" s="219" t="s">
        <v>758</v>
      </c>
      <c r="D119" s="225" t="s">
        <v>269</v>
      </c>
      <c r="E119" s="196" t="s">
        <v>270</v>
      </c>
      <c r="F119" s="119">
        <v>50</v>
      </c>
      <c r="G119" s="26" t="s">
        <v>232</v>
      </c>
      <c r="H119" s="31">
        <v>1.44</v>
      </c>
      <c r="I119" s="27">
        <f t="shared" si="3"/>
        <v>72</v>
      </c>
      <c r="J119" s="28" t="s">
        <v>347</v>
      </c>
      <c r="K119" s="25">
        <v>41066</v>
      </c>
      <c r="L119" s="25">
        <v>41066</v>
      </c>
      <c r="M119" s="29" t="s">
        <v>302</v>
      </c>
      <c r="N119" s="28" t="s">
        <v>715</v>
      </c>
      <c r="O119" s="32"/>
      <c r="P119" s="5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 s="33" customFormat="1" ht="12" customHeight="1">
      <c r="A120" s="25">
        <v>41066</v>
      </c>
      <c r="B120" s="225" t="s">
        <v>229</v>
      </c>
      <c r="C120" s="219" t="s">
        <v>758</v>
      </c>
      <c r="D120" s="225" t="s">
        <v>233</v>
      </c>
      <c r="E120" s="196" t="s">
        <v>236</v>
      </c>
      <c r="F120" s="205">
        <v>200</v>
      </c>
      <c r="G120" s="26" t="s">
        <v>232</v>
      </c>
      <c r="H120" s="31">
        <v>1.77</v>
      </c>
      <c r="I120" s="27">
        <f t="shared" si="3"/>
        <v>354</v>
      </c>
      <c r="J120" s="28" t="s">
        <v>347</v>
      </c>
      <c r="K120" s="25">
        <v>41066</v>
      </c>
      <c r="L120" s="25">
        <v>41066</v>
      </c>
      <c r="M120" s="29" t="s">
        <v>302</v>
      </c>
      <c r="N120" s="28" t="s">
        <v>715</v>
      </c>
      <c r="O120" s="32"/>
      <c r="P120" s="5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 spans="1:32" s="33" customFormat="1" ht="12" customHeight="1">
      <c r="A121" s="25">
        <v>41066</v>
      </c>
      <c r="B121" s="225" t="s">
        <v>229</v>
      </c>
      <c r="C121" s="219" t="s">
        <v>758</v>
      </c>
      <c r="D121" s="225" t="s">
        <v>348</v>
      </c>
      <c r="E121" s="196">
        <v>3700</v>
      </c>
      <c r="F121" s="119">
        <v>30</v>
      </c>
      <c r="G121" s="26" t="s">
        <v>232</v>
      </c>
      <c r="H121" s="31">
        <v>3.7</v>
      </c>
      <c r="I121" s="27">
        <f t="shared" si="3"/>
        <v>111</v>
      </c>
      <c r="J121" s="28" t="s">
        <v>347</v>
      </c>
      <c r="K121" s="25">
        <v>41066</v>
      </c>
      <c r="L121" s="25">
        <v>41066</v>
      </c>
      <c r="M121" s="29" t="s">
        <v>302</v>
      </c>
      <c r="N121" s="28" t="s">
        <v>92</v>
      </c>
      <c r="O121" s="32">
        <v>50855.14</v>
      </c>
      <c r="P121" s="56">
        <v>41085</v>
      </c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s="33" customFormat="1" ht="12" customHeight="1">
      <c r="A122" s="25">
        <v>41067</v>
      </c>
      <c r="B122" s="225" t="s">
        <v>229</v>
      </c>
      <c r="C122" s="219" t="s">
        <v>758</v>
      </c>
      <c r="D122" s="225" t="s">
        <v>807</v>
      </c>
      <c r="E122" s="196" t="s">
        <v>350</v>
      </c>
      <c r="F122" s="119">
        <v>600</v>
      </c>
      <c r="G122" s="123" t="s">
        <v>172</v>
      </c>
      <c r="H122" s="31">
        <v>1.72</v>
      </c>
      <c r="I122" s="27">
        <f t="shared" si="3"/>
        <v>1032</v>
      </c>
      <c r="J122" s="28" t="s">
        <v>351</v>
      </c>
      <c r="K122" s="25">
        <v>41067</v>
      </c>
      <c r="L122" s="25">
        <v>41072</v>
      </c>
      <c r="M122" s="26" t="s">
        <v>332</v>
      </c>
      <c r="N122" s="28" t="s">
        <v>92</v>
      </c>
      <c r="O122" s="32">
        <v>50855.14</v>
      </c>
      <c r="P122" s="56">
        <v>41085</v>
      </c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 spans="1:32" s="33" customFormat="1" ht="12" customHeight="1">
      <c r="A123" s="25">
        <v>41067</v>
      </c>
      <c r="B123" s="225" t="s">
        <v>229</v>
      </c>
      <c r="C123" s="219" t="s">
        <v>758</v>
      </c>
      <c r="D123" s="225" t="s">
        <v>352</v>
      </c>
      <c r="E123" s="196">
        <v>7502</v>
      </c>
      <c r="F123" s="119">
        <v>5</v>
      </c>
      <c r="G123" s="26" t="s">
        <v>230</v>
      </c>
      <c r="H123" s="31">
        <v>122.8</v>
      </c>
      <c r="I123" s="27">
        <f t="shared" si="3"/>
        <v>614</v>
      </c>
      <c r="J123" s="28" t="s">
        <v>353</v>
      </c>
      <c r="K123" s="25">
        <v>41067</v>
      </c>
      <c r="L123" s="25">
        <v>41072</v>
      </c>
      <c r="M123" s="26" t="s">
        <v>332</v>
      </c>
      <c r="N123" s="28" t="s">
        <v>92</v>
      </c>
      <c r="O123" s="32">
        <v>50855.14</v>
      </c>
      <c r="P123" s="56">
        <v>41085</v>
      </c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 spans="1:32" s="33" customFormat="1" ht="12" customHeight="1">
      <c r="A124" s="25">
        <v>41067</v>
      </c>
      <c r="B124" s="225" t="s">
        <v>229</v>
      </c>
      <c r="C124" s="219" t="s">
        <v>758</v>
      </c>
      <c r="D124" s="225" t="s">
        <v>264</v>
      </c>
      <c r="E124" s="196">
        <v>501</v>
      </c>
      <c r="F124" s="119">
        <v>100</v>
      </c>
      <c r="G124" s="26" t="s">
        <v>230</v>
      </c>
      <c r="H124" s="31">
        <v>1.4</v>
      </c>
      <c r="I124" s="27">
        <f t="shared" si="3"/>
        <v>140</v>
      </c>
      <c r="J124" s="28" t="s">
        <v>354</v>
      </c>
      <c r="K124" s="25">
        <v>41067</v>
      </c>
      <c r="L124" s="25">
        <v>41072</v>
      </c>
      <c r="M124" s="26" t="s">
        <v>332</v>
      </c>
      <c r="N124" s="28" t="s">
        <v>92</v>
      </c>
      <c r="O124" s="32">
        <v>50855.14</v>
      </c>
      <c r="P124" s="56">
        <v>41085</v>
      </c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 spans="1:32" s="33" customFormat="1" ht="12" customHeight="1">
      <c r="A125" s="25">
        <v>41067</v>
      </c>
      <c r="B125" s="225" t="s">
        <v>1993</v>
      </c>
      <c r="C125" s="219" t="s">
        <v>758</v>
      </c>
      <c r="D125" s="225" t="s">
        <v>355</v>
      </c>
      <c r="E125" s="196" t="s">
        <v>243</v>
      </c>
      <c r="F125" s="119">
        <v>120</v>
      </c>
      <c r="G125" s="26" t="s">
        <v>230</v>
      </c>
      <c r="H125" s="31">
        <v>18.37</v>
      </c>
      <c r="I125" s="27">
        <f t="shared" si="3"/>
        <v>2204.4</v>
      </c>
      <c r="J125" s="28" t="s">
        <v>356</v>
      </c>
      <c r="K125" s="25">
        <v>41067</v>
      </c>
      <c r="L125" s="56">
        <v>41067</v>
      </c>
      <c r="M125" s="29" t="s">
        <v>345</v>
      </c>
      <c r="N125" s="28" t="s">
        <v>340</v>
      </c>
      <c r="O125" s="32">
        <v>8922</v>
      </c>
      <c r="P125" s="56">
        <v>41067</v>
      </c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 spans="1:32" s="33" customFormat="1" ht="12" customHeight="1">
      <c r="A126" s="25">
        <v>41067</v>
      </c>
      <c r="B126" s="225" t="s">
        <v>338</v>
      </c>
      <c r="C126" s="219" t="s">
        <v>758</v>
      </c>
      <c r="D126" s="342" t="s">
        <v>241</v>
      </c>
      <c r="E126" s="196">
        <v>6200</v>
      </c>
      <c r="F126" s="119">
        <v>48</v>
      </c>
      <c r="G126" s="26" t="s">
        <v>230</v>
      </c>
      <c r="H126" s="31">
        <v>45.8</v>
      </c>
      <c r="I126" s="27">
        <f t="shared" si="3"/>
        <v>2198.3999999999996</v>
      </c>
      <c r="J126" s="28" t="s">
        <v>356</v>
      </c>
      <c r="K126" s="25">
        <v>41067</v>
      </c>
      <c r="L126" s="56">
        <v>41067</v>
      </c>
      <c r="M126" s="29" t="s">
        <v>345</v>
      </c>
      <c r="N126" s="28" t="s">
        <v>340</v>
      </c>
      <c r="O126" s="32">
        <v>8922</v>
      </c>
      <c r="P126" s="56">
        <v>41067</v>
      </c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 spans="1:32" s="33" customFormat="1" ht="12" customHeight="1">
      <c r="A127" s="25">
        <v>41068</v>
      </c>
      <c r="B127" s="225" t="s">
        <v>229</v>
      </c>
      <c r="C127" s="219" t="s">
        <v>758</v>
      </c>
      <c r="D127" s="225" t="s">
        <v>1878</v>
      </c>
      <c r="E127" s="196" t="s">
        <v>246</v>
      </c>
      <c r="F127" s="119">
        <v>1000</v>
      </c>
      <c r="G127" s="198" t="s">
        <v>230</v>
      </c>
      <c r="H127" s="31">
        <v>1.6</v>
      </c>
      <c r="I127" s="27">
        <f t="shared" si="3"/>
        <v>1600</v>
      </c>
      <c r="J127" s="28" t="s">
        <v>357</v>
      </c>
      <c r="K127" s="25">
        <v>41068</v>
      </c>
      <c r="L127" s="25">
        <v>41072</v>
      </c>
      <c r="M127" s="26" t="s">
        <v>332</v>
      </c>
      <c r="N127" s="28" t="s">
        <v>92</v>
      </c>
      <c r="O127" s="32">
        <v>50855.14</v>
      </c>
      <c r="P127" s="56">
        <v>41085</v>
      </c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 spans="1:32" s="33" customFormat="1" ht="12" customHeight="1">
      <c r="A128" s="25">
        <v>41068</v>
      </c>
      <c r="B128" s="225" t="s">
        <v>229</v>
      </c>
      <c r="C128" s="219" t="s">
        <v>758</v>
      </c>
      <c r="D128" s="1" t="s">
        <v>1219</v>
      </c>
      <c r="E128" s="196" t="s">
        <v>239</v>
      </c>
      <c r="F128" s="119">
        <v>10</v>
      </c>
      <c r="G128" s="26" t="s">
        <v>240</v>
      </c>
      <c r="H128" s="31">
        <v>13.4</v>
      </c>
      <c r="I128" s="27">
        <f t="shared" si="3"/>
        <v>134</v>
      </c>
      <c r="J128" s="28" t="s">
        <v>357</v>
      </c>
      <c r="K128" s="25">
        <v>41068</v>
      </c>
      <c r="L128" s="25">
        <v>41072</v>
      </c>
      <c r="M128" s="26" t="s">
        <v>332</v>
      </c>
      <c r="N128" s="28" t="s">
        <v>92</v>
      </c>
      <c r="O128" s="32">
        <v>50855.14</v>
      </c>
      <c r="P128" s="56">
        <v>41085</v>
      </c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 spans="1:32" s="33" customFormat="1" ht="12" customHeight="1">
      <c r="A129" s="25">
        <v>41068</v>
      </c>
      <c r="B129" s="225" t="s">
        <v>229</v>
      </c>
      <c r="C129" s="219" t="s">
        <v>758</v>
      </c>
      <c r="D129" s="225" t="s">
        <v>289</v>
      </c>
      <c r="E129" s="196">
        <v>10434</v>
      </c>
      <c r="F129" s="119">
        <v>100</v>
      </c>
      <c r="G129" s="26" t="s">
        <v>230</v>
      </c>
      <c r="H129" s="31">
        <v>14.88</v>
      </c>
      <c r="I129" s="27">
        <f t="shared" si="3"/>
        <v>1488</v>
      </c>
      <c r="J129" s="28" t="s">
        <v>354</v>
      </c>
      <c r="K129" s="25">
        <v>41068</v>
      </c>
      <c r="L129" s="25">
        <v>41072</v>
      </c>
      <c r="M129" s="26" t="s">
        <v>332</v>
      </c>
      <c r="N129" s="28" t="s">
        <v>92</v>
      </c>
      <c r="O129" s="32">
        <v>50855.14</v>
      </c>
      <c r="P129" s="56">
        <v>41085</v>
      </c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1:32" s="33" customFormat="1" ht="12" customHeight="1">
      <c r="A130" s="25">
        <v>41068</v>
      </c>
      <c r="B130" s="225" t="s">
        <v>229</v>
      </c>
      <c r="C130" s="219" t="s">
        <v>758</v>
      </c>
      <c r="D130" s="342" t="s">
        <v>1885</v>
      </c>
      <c r="E130" s="196" t="s">
        <v>249</v>
      </c>
      <c r="F130" s="119">
        <v>100</v>
      </c>
      <c r="G130" s="92" t="s">
        <v>240</v>
      </c>
      <c r="H130" s="31">
        <v>14.49</v>
      </c>
      <c r="I130" s="27">
        <f t="shared" si="3"/>
        <v>1449</v>
      </c>
      <c r="J130" s="28" t="s">
        <v>354</v>
      </c>
      <c r="K130" s="25">
        <v>41068</v>
      </c>
      <c r="L130" s="25">
        <v>41072</v>
      </c>
      <c r="M130" s="26" t="s">
        <v>332</v>
      </c>
      <c r="N130" s="28" t="s">
        <v>92</v>
      </c>
      <c r="O130" s="32">
        <v>50855.14</v>
      </c>
      <c r="P130" s="56">
        <v>41085</v>
      </c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 spans="1:32" s="33" customFormat="1" ht="12" customHeight="1">
      <c r="A131" s="25">
        <v>41068</v>
      </c>
      <c r="B131" s="225" t="s">
        <v>229</v>
      </c>
      <c r="C131" s="219" t="s">
        <v>758</v>
      </c>
      <c r="D131" s="225" t="s">
        <v>252</v>
      </c>
      <c r="E131" s="196" t="s">
        <v>253</v>
      </c>
      <c r="F131" s="119">
        <v>100</v>
      </c>
      <c r="G131" s="26" t="s">
        <v>232</v>
      </c>
      <c r="H131" s="31">
        <v>1.86</v>
      </c>
      <c r="I131" s="27">
        <f t="shared" si="3"/>
        <v>186</v>
      </c>
      <c r="J131" s="28" t="s">
        <v>354</v>
      </c>
      <c r="K131" s="25">
        <v>41068</v>
      </c>
      <c r="L131" s="25">
        <v>41072</v>
      </c>
      <c r="M131" s="26" t="s">
        <v>332</v>
      </c>
      <c r="N131" s="28" t="s">
        <v>92</v>
      </c>
      <c r="O131" s="32">
        <v>50855.14</v>
      </c>
      <c r="P131" s="56">
        <v>41085</v>
      </c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 spans="1:32" s="33" customFormat="1" ht="12" customHeight="1">
      <c r="A132" s="25">
        <v>41068</v>
      </c>
      <c r="B132" s="225" t="s">
        <v>229</v>
      </c>
      <c r="C132" s="219" t="s">
        <v>758</v>
      </c>
      <c r="D132" s="225" t="s">
        <v>233</v>
      </c>
      <c r="E132" s="196" t="s">
        <v>236</v>
      </c>
      <c r="F132" s="205">
        <v>200</v>
      </c>
      <c r="G132" s="26" t="s">
        <v>232</v>
      </c>
      <c r="H132" s="31">
        <v>1.8260000000000001</v>
      </c>
      <c r="I132" s="27">
        <f t="shared" ref="I132:I152" si="4">H132*F132</f>
        <v>365.2</v>
      </c>
      <c r="J132" s="28" t="s">
        <v>354</v>
      </c>
      <c r="K132" s="25">
        <v>41068</v>
      </c>
      <c r="L132" s="25">
        <v>41072</v>
      </c>
      <c r="M132" s="26" t="s">
        <v>332</v>
      </c>
      <c r="N132" s="28" t="s">
        <v>92</v>
      </c>
      <c r="O132" s="32">
        <v>50855.14</v>
      </c>
      <c r="P132" s="56">
        <v>41085</v>
      </c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 spans="1:32" s="33" customFormat="1" ht="12" customHeight="1">
      <c r="A133" s="25">
        <v>41071</v>
      </c>
      <c r="B133" s="225" t="s">
        <v>229</v>
      </c>
      <c r="C133" s="219" t="s">
        <v>758</v>
      </c>
      <c r="D133" s="225" t="s">
        <v>359</v>
      </c>
      <c r="E133" s="196">
        <v>1711</v>
      </c>
      <c r="F133" s="119">
        <v>20</v>
      </c>
      <c r="G133" s="26" t="s">
        <v>240</v>
      </c>
      <c r="H133" s="31">
        <v>11.78</v>
      </c>
      <c r="I133" s="27">
        <f t="shared" si="4"/>
        <v>235.6</v>
      </c>
      <c r="J133" s="28" t="s">
        <v>360</v>
      </c>
      <c r="K133" s="25">
        <v>41071</v>
      </c>
      <c r="L133" s="25">
        <v>41072</v>
      </c>
      <c r="M133" s="26" t="s">
        <v>332</v>
      </c>
      <c r="N133" s="28" t="s">
        <v>92</v>
      </c>
      <c r="O133" s="32">
        <v>50855.14</v>
      </c>
      <c r="P133" s="56">
        <v>41085</v>
      </c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 spans="1:32" s="33" customFormat="1" ht="12" customHeight="1">
      <c r="A134" s="25">
        <v>41071</v>
      </c>
      <c r="B134" s="225" t="s">
        <v>229</v>
      </c>
      <c r="C134" s="219" t="s">
        <v>758</v>
      </c>
      <c r="D134" s="1" t="s">
        <v>1219</v>
      </c>
      <c r="E134" s="196" t="s">
        <v>239</v>
      </c>
      <c r="F134" s="119">
        <v>20</v>
      </c>
      <c r="G134" s="26" t="s">
        <v>240</v>
      </c>
      <c r="H134" s="31">
        <v>13.4</v>
      </c>
      <c r="I134" s="27">
        <f t="shared" si="4"/>
        <v>268</v>
      </c>
      <c r="J134" s="28" t="s">
        <v>360</v>
      </c>
      <c r="K134" s="25">
        <v>41071</v>
      </c>
      <c r="L134" s="25">
        <v>41072</v>
      </c>
      <c r="M134" s="26" t="s">
        <v>332</v>
      </c>
      <c r="N134" s="28" t="s">
        <v>92</v>
      </c>
      <c r="O134" s="32">
        <v>50855.14</v>
      </c>
      <c r="P134" s="56">
        <v>41085</v>
      </c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 spans="1:32" s="33" customFormat="1" ht="12" customHeight="1">
      <c r="A135" s="25">
        <v>41072</v>
      </c>
      <c r="B135" s="225" t="s">
        <v>229</v>
      </c>
      <c r="C135" s="219" t="s">
        <v>758</v>
      </c>
      <c r="D135" s="225" t="s">
        <v>233</v>
      </c>
      <c r="E135" s="196" t="s">
        <v>236</v>
      </c>
      <c r="F135" s="205">
        <v>8000</v>
      </c>
      <c r="G135" s="26" t="s">
        <v>232</v>
      </c>
      <c r="H135" s="31">
        <v>1.8</v>
      </c>
      <c r="I135" s="27">
        <f t="shared" si="4"/>
        <v>14400</v>
      </c>
      <c r="J135" s="28" t="s">
        <v>361</v>
      </c>
      <c r="K135" s="25">
        <v>41072</v>
      </c>
      <c r="L135" s="25">
        <v>41079</v>
      </c>
      <c r="M135" s="26" t="s">
        <v>332</v>
      </c>
      <c r="N135" s="28" t="s">
        <v>92</v>
      </c>
      <c r="O135" s="32">
        <v>50855.14</v>
      </c>
      <c r="P135" s="56">
        <v>41085</v>
      </c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 spans="1:32" s="33" customFormat="1" ht="12" customHeight="1">
      <c r="A136" s="25">
        <v>41073</v>
      </c>
      <c r="B136" s="225" t="s">
        <v>338</v>
      </c>
      <c r="C136" s="219" t="s">
        <v>758</v>
      </c>
      <c r="D136" s="225" t="s">
        <v>264</v>
      </c>
      <c r="E136" s="196" t="s">
        <v>283</v>
      </c>
      <c r="F136" s="119">
        <v>20</v>
      </c>
      <c r="G136" s="26" t="s">
        <v>230</v>
      </c>
      <c r="H136" s="31">
        <v>1.92</v>
      </c>
      <c r="I136" s="27">
        <f t="shared" si="4"/>
        <v>38.4</v>
      </c>
      <c r="J136" s="28" t="s">
        <v>362</v>
      </c>
      <c r="K136" s="25">
        <v>41073</v>
      </c>
      <c r="L136" s="56">
        <v>41072</v>
      </c>
      <c r="M136" s="29" t="s">
        <v>345</v>
      </c>
      <c r="N136" s="28" t="s">
        <v>720</v>
      </c>
      <c r="O136" s="32">
        <v>13314.5</v>
      </c>
      <c r="P136" s="56">
        <v>41086</v>
      </c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s="33" customFormat="1" ht="12" customHeight="1">
      <c r="A137" s="25">
        <v>41073</v>
      </c>
      <c r="B137" s="225" t="s">
        <v>338</v>
      </c>
      <c r="C137" s="219" t="s">
        <v>758</v>
      </c>
      <c r="D137" s="225" t="s">
        <v>355</v>
      </c>
      <c r="E137" s="196" t="s">
        <v>260</v>
      </c>
      <c r="F137" s="119">
        <v>40</v>
      </c>
      <c r="G137" s="26" t="s">
        <v>230</v>
      </c>
      <c r="H137" s="26">
        <v>13.33</v>
      </c>
      <c r="I137" s="27">
        <f t="shared" si="4"/>
        <v>533.20000000000005</v>
      </c>
      <c r="J137" s="28" t="s">
        <v>363</v>
      </c>
      <c r="K137" s="25">
        <v>41073</v>
      </c>
      <c r="L137" s="56">
        <v>41072</v>
      </c>
      <c r="M137" s="29" t="s">
        <v>345</v>
      </c>
      <c r="N137" s="28" t="s">
        <v>720</v>
      </c>
      <c r="O137" s="32">
        <v>13314.5</v>
      </c>
      <c r="P137" s="56">
        <v>41086</v>
      </c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 spans="1:32" s="33" customFormat="1" ht="12" customHeight="1">
      <c r="A138" s="25">
        <v>41073</v>
      </c>
      <c r="B138" s="225" t="s">
        <v>338</v>
      </c>
      <c r="C138" s="219" t="s">
        <v>758</v>
      </c>
      <c r="D138" s="225" t="s">
        <v>269</v>
      </c>
      <c r="E138" s="196" t="s">
        <v>270</v>
      </c>
      <c r="F138" s="119">
        <v>200</v>
      </c>
      <c r="G138" s="26" t="s">
        <v>232</v>
      </c>
      <c r="H138" s="31">
        <v>1.43</v>
      </c>
      <c r="I138" s="27">
        <f t="shared" si="4"/>
        <v>286</v>
      </c>
      <c r="J138" s="28" t="s">
        <v>364</v>
      </c>
      <c r="K138" s="25">
        <v>41073</v>
      </c>
      <c r="L138" s="56">
        <v>41072</v>
      </c>
      <c r="M138" s="29" t="s">
        <v>345</v>
      </c>
      <c r="N138" s="28" t="s">
        <v>720</v>
      </c>
      <c r="O138" s="32">
        <v>13314.5</v>
      </c>
      <c r="P138" s="56">
        <v>41086</v>
      </c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 spans="1:32" s="33" customFormat="1" ht="12" customHeight="1">
      <c r="A139" s="25">
        <v>41073</v>
      </c>
      <c r="B139" s="225" t="s">
        <v>338</v>
      </c>
      <c r="C139" s="219" t="s">
        <v>758</v>
      </c>
      <c r="D139" s="225" t="s">
        <v>274</v>
      </c>
      <c r="E139" s="196" t="s">
        <v>275</v>
      </c>
      <c r="F139" s="119">
        <v>4</v>
      </c>
      <c r="G139" s="26" t="s">
        <v>686</v>
      </c>
      <c r="H139" s="31">
        <v>32</v>
      </c>
      <c r="I139" s="27">
        <f t="shared" si="4"/>
        <v>128</v>
      </c>
      <c r="J139" s="28" t="s">
        <v>364</v>
      </c>
      <c r="K139" s="25">
        <v>41073</v>
      </c>
      <c r="L139" s="56">
        <v>41072</v>
      </c>
      <c r="M139" s="29" t="s">
        <v>345</v>
      </c>
      <c r="N139" s="28" t="s">
        <v>720</v>
      </c>
      <c r="O139" s="32">
        <v>13314.5</v>
      </c>
      <c r="P139" s="56">
        <v>41086</v>
      </c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 s="33" customFormat="1" ht="12" customHeight="1">
      <c r="A140" s="25">
        <v>41073</v>
      </c>
      <c r="B140" s="225" t="s">
        <v>338</v>
      </c>
      <c r="C140" s="219" t="s">
        <v>758</v>
      </c>
      <c r="D140" s="225" t="s">
        <v>355</v>
      </c>
      <c r="E140" s="196" t="s">
        <v>243</v>
      </c>
      <c r="F140" s="119">
        <v>30</v>
      </c>
      <c r="G140" s="26" t="s">
        <v>230</v>
      </c>
      <c r="H140" s="31">
        <v>18.37</v>
      </c>
      <c r="I140" s="27">
        <f t="shared" si="4"/>
        <v>551.1</v>
      </c>
      <c r="J140" s="28" t="s">
        <v>365</v>
      </c>
      <c r="K140" s="25">
        <v>41073</v>
      </c>
      <c r="L140" s="56">
        <v>41072</v>
      </c>
      <c r="M140" s="29" t="s">
        <v>345</v>
      </c>
      <c r="N140" s="28" t="s">
        <v>720</v>
      </c>
      <c r="O140" s="32">
        <v>13314.5</v>
      </c>
      <c r="P140" s="56">
        <v>41086</v>
      </c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 spans="1:32" s="33" customFormat="1" ht="12" customHeight="1">
      <c r="A141" s="25">
        <v>41074</v>
      </c>
      <c r="B141" s="225" t="s">
        <v>229</v>
      </c>
      <c r="C141" s="219" t="s">
        <v>758</v>
      </c>
      <c r="D141" s="225" t="s">
        <v>1878</v>
      </c>
      <c r="E141" s="196" t="s">
        <v>246</v>
      </c>
      <c r="F141" s="119">
        <v>5000</v>
      </c>
      <c r="G141" s="198" t="s">
        <v>230</v>
      </c>
      <c r="H141" s="31">
        <v>1.58</v>
      </c>
      <c r="I141" s="27">
        <f t="shared" si="4"/>
        <v>7900</v>
      </c>
      <c r="J141" s="28" t="s">
        <v>366</v>
      </c>
      <c r="K141" s="25">
        <v>41074</v>
      </c>
      <c r="L141" s="25">
        <v>41079</v>
      </c>
      <c r="M141" s="26" t="s">
        <v>332</v>
      </c>
      <c r="N141" s="28" t="s">
        <v>92</v>
      </c>
      <c r="O141" s="32">
        <v>50855.14</v>
      </c>
      <c r="P141" s="56">
        <v>41085</v>
      </c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 s="33" customFormat="1" ht="12" customHeight="1">
      <c r="A142" s="25">
        <v>41075</v>
      </c>
      <c r="B142" s="225" t="s">
        <v>1992</v>
      </c>
      <c r="C142" s="219" t="s">
        <v>758</v>
      </c>
      <c r="D142" s="5" t="s">
        <v>1227</v>
      </c>
      <c r="E142" s="196" t="s">
        <v>688</v>
      </c>
      <c r="F142" s="119">
        <v>77</v>
      </c>
      <c r="G142" s="26" t="s">
        <v>686</v>
      </c>
      <c r="H142" s="31">
        <v>38</v>
      </c>
      <c r="I142" s="27">
        <f t="shared" si="4"/>
        <v>2926</v>
      </c>
      <c r="J142" s="28" t="s">
        <v>689</v>
      </c>
      <c r="K142" s="25">
        <v>41078</v>
      </c>
      <c r="L142" s="25">
        <v>41075</v>
      </c>
      <c r="M142" s="26" t="s">
        <v>332</v>
      </c>
      <c r="N142" s="28" t="s">
        <v>721</v>
      </c>
      <c r="O142" s="32">
        <v>40726</v>
      </c>
      <c r="P142" s="56">
        <v>41079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 spans="1:32" s="33" customFormat="1" ht="12" customHeight="1">
      <c r="A143" s="25">
        <v>41078</v>
      </c>
      <c r="B143" s="225" t="s">
        <v>338</v>
      </c>
      <c r="C143" s="219" t="s">
        <v>758</v>
      </c>
      <c r="D143" s="342" t="s">
        <v>241</v>
      </c>
      <c r="E143" s="196">
        <v>6200</v>
      </c>
      <c r="F143" s="119">
        <v>48</v>
      </c>
      <c r="G143" s="26" t="s">
        <v>686</v>
      </c>
      <c r="H143" s="31">
        <v>45.8</v>
      </c>
      <c r="I143" s="27">
        <f t="shared" si="4"/>
        <v>2198.3999999999996</v>
      </c>
      <c r="J143" s="28" t="s">
        <v>93</v>
      </c>
      <c r="K143" s="25">
        <v>41078</v>
      </c>
      <c r="L143" s="56">
        <v>41078</v>
      </c>
      <c r="M143" s="29" t="s">
        <v>345</v>
      </c>
      <c r="N143" s="28" t="s">
        <v>720</v>
      </c>
      <c r="O143" s="32">
        <v>13314.5</v>
      </c>
      <c r="P143" s="56">
        <v>41086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 spans="1:32" s="33" customFormat="1" ht="12" customHeight="1">
      <c r="A144" s="25">
        <v>41078</v>
      </c>
      <c r="B144" s="225" t="s">
        <v>338</v>
      </c>
      <c r="C144" s="219" t="s">
        <v>758</v>
      </c>
      <c r="D144" s="225" t="s">
        <v>264</v>
      </c>
      <c r="E144" s="196" t="s">
        <v>283</v>
      </c>
      <c r="F144" s="119">
        <v>100</v>
      </c>
      <c r="G144" s="26" t="s">
        <v>230</v>
      </c>
      <c r="H144" s="31">
        <v>1.92</v>
      </c>
      <c r="I144" s="27">
        <f t="shared" si="4"/>
        <v>192</v>
      </c>
      <c r="J144" s="28" t="s">
        <v>93</v>
      </c>
      <c r="K144" s="25">
        <v>41078</v>
      </c>
      <c r="L144" s="56">
        <v>41078</v>
      </c>
      <c r="M144" s="29" t="s">
        <v>345</v>
      </c>
      <c r="N144" s="28" t="s">
        <v>720</v>
      </c>
      <c r="O144" s="32">
        <v>13314.5</v>
      </c>
      <c r="P144" s="56">
        <v>41086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 spans="1:32" s="33" customFormat="1" ht="12" customHeight="1">
      <c r="A145" s="25">
        <v>41078</v>
      </c>
      <c r="B145" s="225" t="s">
        <v>338</v>
      </c>
      <c r="C145" s="219" t="s">
        <v>758</v>
      </c>
      <c r="D145" s="225" t="s">
        <v>355</v>
      </c>
      <c r="E145" s="196" t="s">
        <v>243</v>
      </c>
      <c r="F145" s="119">
        <v>120</v>
      </c>
      <c r="G145" s="26" t="s">
        <v>230</v>
      </c>
      <c r="H145" s="31">
        <v>18.37</v>
      </c>
      <c r="I145" s="27">
        <f t="shared" si="4"/>
        <v>2204.4</v>
      </c>
      <c r="J145" s="28" t="s">
        <v>695</v>
      </c>
      <c r="K145" s="25">
        <v>41078</v>
      </c>
      <c r="L145" s="56">
        <v>41078</v>
      </c>
      <c r="M145" s="29" t="s">
        <v>345</v>
      </c>
      <c r="N145" s="28" t="s">
        <v>720</v>
      </c>
      <c r="O145" s="32">
        <v>13314.5</v>
      </c>
      <c r="P145" s="56">
        <v>41086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 spans="1:32" s="33" customFormat="1" ht="12" customHeight="1">
      <c r="A146" s="25">
        <v>41078</v>
      </c>
      <c r="B146" s="225" t="s">
        <v>338</v>
      </c>
      <c r="C146" s="219" t="s">
        <v>758</v>
      </c>
      <c r="D146" s="1" t="s">
        <v>1216</v>
      </c>
      <c r="E146" s="196">
        <v>3200</v>
      </c>
      <c r="F146" s="119">
        <v>60</v>
      </c>
      <c r="G146" s="26" t="s">
        <v>686</v>
      </c>
      <c r="H146" s="31">
        <v>28</v>
      </c>
      <c r="I146" s="27">
        <f t="shared" si="4"/>
        <v>1680</v>
      </c>
      <c r="J146" s="28" t="s">
        <v>695</v>
      </c>
      <c r="K146" s="25">
        <v>41078</v>
      </c>
      <c r="L146" s="56">
        <v>41078</v>
      </c>
      <c r="M146" s="29" t="s">
        <v>345</v>
      </c>
      <c r="N146" s="28" t="s">
        <v>720</v>
      </c>
      <c r="O146" s="32">
        <v>13314.5</v>
      </c>
      <c r="P146" s="56">
        <v>41086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s="33" customFormat="1" ht="12" customHeight="1">
      <c r="A147" s="25">
        <v>41078</v>
      </c>
      <c r="B147" s="225" t="s">
        <v>229</v>
      </c>
      <c r="C147" s="219" t="s">
        <v>758</v>
      </c>
      <c r="D147" s="225" t="s">
        <v>264</v>
      </c>
      <c r="E147" s="196">
        <v>501</v>
      </c>
      <c r="F147" s="119">
        <v>60</v>
      </c>
      <c r="G147" s="26" t="s">
        <v>686</v>
      </c>
      <c r="H147" s="31">
        <v>1.4</v>
      </c>
      <c r="I147" s="27">
        <f t="shared" si="4"/>
        <v>84</v>
      </c>
      <c r="J147" s="28" t="s">
        <v>94</v>
      </c>
      <c r="K147" s="25">
        <v>41078</v>
      </c>
      <c r="L147" s="25">
        <v>41079</v>
      </c>
      <c r="M147" s="26" t="s">
        <v>332</v>
      </c>
      <c r="N147" s="28" t="s">
        <v>92</v>
      </c>
      <c r="O147" s="32">
        <v>50855.14</v>
      </c>
      <c r="P147" s="56">
        <v>41085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 spans="1:32" s="33" customFormat="1" ht="12" customHeight="1">
      <c r="A148" s="25">
        <v>41078</v>
      </c>
      <c r="B148" s="225" t="s">
        <v>338</v>
      </c>
      <c r="C148" s="219" t="s">
        <v>758</v>
      </c>
      <c r="D148" s="225" t="s">
        <v>348</v>
      </c>
      <c r="E148" s="196">
        <v>3700</v>
      </c>
      <c r="F148" s="119">
        <v>50</v>
      </c>
      <c r="G148" s="26" t="s">
        <v>686</v>
      </c>
      <c r="H148" s="31">
        <v>3.65</v>
      </c>
      <c r="I148" s="27">
        <f t="shared" si="4"/>
        <v>182.5</v>
      </c>
      <c r="J148" s="28" t="s">
        <v>695</v>
      </c>
      <c r="K148" s="25">
        <v>41078</v>
      </c>
      <c r="L148" s="56">
        <v>41078</v>
      </c>
      <c r="M148" s="29" t="s">
        <v>345</v>
      </c>
      <c r="N148" s="28" t="s">
        <v>720</v>
      </c>
      <c r="O148" s="32">
        <v>13314.5</v>
      </c>
      <c r="P148" s="56">
        <v>41086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 spans="1:32" s="33" customFormat="1" ht="12" customHeight="1">
      <c r="A149" s="25">
        <v>41078</v>
      </c>
      <c r="B149" s="225" t="s">
        <v>229</v>
      </c>
      <c r="C149" s="219" t="s">
        <v>758</v>
      </c>
      <c r="D149" s="225" t="s">
        <v>696</v>
      </c>
      <c r="E149" s="196">
        <v>4680</v>
      </c>
      <c r="F149" s="119">
        <v>4</v>
      </c>
      <c r="G149" s="26" t="s">
        <v>692</v>
      </c>
      <c r="H149" s="31">
        <v>78.39</v>
      </c>
      <c r="I149" s="27">
        <f t="shared" si="4"/>
        <v>313.56</v>
      </c>
      <c r="J149" s="28" t="s">
        <v>697</v>
      </c>
      <c r="K149" s="25">
        <v>41078</v>
      </c>
      <c r="L149" s="25">
        <v>41079</v>
      </c>
      <c r="M149" s="26" t="s">
        <v>332</v>
      </c>
      <c r="N149" s="28" t="s">
        <v>92</v>
      </c>
      <c r="O149" s="32">
        <v>50855.14</v>
      </c>
      <c r="P149" s="56">
        <v>41085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 spans="1:32" s="33" customFormat="1" ht="12" customHeight="1">
      <c r="A150" s="25">
        <v>41078</v>
      </c>
      <c r="B150" s="225" t="s">
        <v>229</v>
      </c>
      <c r="C150" s="219" t="s">
        <v>758</v>
      </c>
      <c r="D150" s="225" t="s">
        <v>359</v>
      </c>
      <c r="E150" s="196">
        <v>1711</v>
      </c>
      <c r="F150" s="119">
        <v>6</v>
      </c>
      <c r="G150" s="26" t="s">
        <v>692</v>
      </c>
      <c r="H150" s="31">
        <v>11.78</v>
      </c>
      <c r="I150" s="27">
        <f t="shared" si="4"/>
        <v>70.679999999999993</v>
      </c>
      <c r="J150" s="28" t="s">
        <v>697</v>
      </c>
      <c r="K150" s="25">
        <v>41078</v>
      </c>
      <c r="L150" s="25">
        <v>41079</v>
      </c>
      <c r="M150" s="26" t="s">
        <v>332</v>
      </c>
      <c r="N150" s="28" t="s">
        <v>92</v>
      </c>
      <c r="O150" s="32">
        <v>50855.14</v>
      </c>
      <c r="P150" s="56">
        <v>41085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1:32" s="33" customFormat="1" ht="12" customHeight="1">
      <c r="A151" s="25">
        <v>41079</v>
      </c>
      <c r="B151" s="225" t="s">
        <v>229</v>
      </c>
      <c r="C151" s="219" t="s">
        <v>758</v>
      </c>
      <c r="D151" s="225" t="s">
        <v>289</v>
      </c>
      <c r="E151" s="196">
        <v>10434</v>
      </c>
      <c r="F151" s="119">
        <v>5</v>
      </c>
      <c r="G151" s="26" t="s">
        <v>692</v>
      </c>
      <c r="H151" s="31">
        <v>14.88</v>
      </c>
      <c r="I151" s="27">
        <f t="shared" si="4"/>
        <v>74.400000000000006</v>
      </c>
      <c r="J151" s="28" t="s">
        <v>95</v>
      </c>
      <c r="K151" s="25">
        <v>41079</v>
      </c>
      <c r="L151" s="25">
        <v>41079</v>
      </c>
      <c r="M151" s="26" t="s">
        <v>332</v>
      </c>
      <c r="N151" s="28" t="s">
        <v>92</v>
      </c>
      <c r="O151" s="32">
        <v>50855.14</v>
      </c>
      <c r="P151" s="56">
        <v>41085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 spans="1:32" s="33" customFormat="1" ht="12" customHeight="1">
      <c r="A152" s="25">
        <v>41079</v>
      </c>
      <c r="B152" s="225" t="s">
        <v>229</v>
      </c>
      <c r="C152" s="219" t="s">
        <v>758</v>
      </c>
      <c r="D152" s="225" t="s">
        <v>306</v>
      </c>
      <c r="E152" s="196">
        <v>1426</v>
      </c>
      <c r="F152" s="119">
        <v>10</v>
      </c>
      <c r="G152" s="26" t="s">
        <v>692</v>
      </c>
      <c r="H152" s="31">
        <v>20</v>
      </c>
      <c r="I152" s="27">
        <f t="shared" si="4"/>
        <v>200</v>
      </c>
      <c r="J152" s="28" t="s">
        <v>95</v>
      </c>
      <c r="K152" s="25">
        <v>41079</v>
      </c>
      <c r="L152" s="25">
        <v>41079</v>
      </c>
      <c r="M152" s="26" t="s">
        <v>332</v>
      </c>
      <c r="N152" s="28" t="s">
        <v>92</v>
      </c>
      <c r="O152" s="32">
        <v>50855.14</v>
      </c>
      <c r="P152" s="56">
        <v>41085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 spans="1:32" s="33" customFormat="1" ht="12" customHeight="1">
      <c r="A153" s="25">
        <v>41079</v>
      </c>
      <c r="B153" s="225" t="s">
        <v>26</v>
      </c>
      <c r="C153" s="219" t="s">
        <v>758</v>
      </c>
      <c r="D153" s="225" t="s">
        <v>1886</v>
      </c>
      <c r="E153" s="196">
        <v>4941</v>
      </c>
      <c r="F153" s="177" t="s">
        <v>1591</v>
      </c>
      <c r="G153" s="159" t="s">
        <v>27</v>
      </c>
      <c r="H153" s="31">
        <v>370</v>
      </c>
      <c r="I153" s="27">
        <f>H153*1*0.8</f>
        <v>296</v>
      </c>
      <c r="J153" s="28" t="s">
        <v>707</v>
      </c>
      <c r="K153" s="25">
        <v>41079</v>
      </c>
      <c r="L153" s="25">
        <v>41079</v>
      </c>
      <c r="M153" s="29" t="s">
        <v>700</v>
      </c>
      <c r="N153" s="28" t="s">
        <v>1014</v>
      </c>
      <c r="O153" s="32">
        <v>1436</v>
      </c>
      <c r="P153" s="56">
        <v>41199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 spans="1:32" s="33" customFormat="1" ht="12" customHeight="1">
      <c r="A154" s="25">
        <v>41079</v>
      </c>
      <c r="B154" s="225" t="s">
        <v>1993</v>
      </c>
      <c r="C154" s="219" t="s">
        <v>758</v>
      </c>
      <c r="D154" s="1" t="s">
        <v>1216</v>
      </c>
      <c r="E154" s="196">
        <v>3200</v>
      </c>
      <c r="F154" s="119">
        <v>50</v>
      </c>
      <c r="G154" s="26" t="s">
        <v>686</v>
      </c>
      <c r="H154" s="31">
        <v>28</v>
      </c>
      <c r="I154" s="27">
        <f t="shared" ref="I154:I185" si="5">H154*F154</f>
        <v>1400</v>
      </c>
      <c r="J154" s="28" t="s">
        <v>708</v>
      </c>
      <c r="K154" s="25">
        <v>41079</v>
      </c>
      <c r="L154" s="56">
        <v>41079</v>
      </c>
      <c r="M154" s="29" t="s">
        <v>690</v>
      </c>
      <c r="N154" s="28" t="s">
        <v>720</v>
      </c>
      <c r="O154" s="32">
        <v>13314.5</v>
      </c>
      <c r="P154" s="56">
        <v>41086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 spans="1:32" s="33" customFormat="1" ht="12" customHeight="1">
      <c r="A155" s="25">
        <v>41079</v>
      </c>
      <c r="B155" s="225" t="s">
        <v>338</v>
      </c>
      <c r="C155" s="219" t="s">
        <v>758</v>
      </c>
      <c r="D155" s="225" t="s">
        <v>348</v>
      </c>
      <c r="E155" s="196">
        <v>3700</v>
      </c>
      <c r="F155" s="119">
        <v>50</v>
      </c>
      <c r="G155" s="26" t="s">
        <v>686</v>
      </c>
      <c r="H155" s="31">
        <v>3.65</v>
      </c>
      <c r="I155" s="27">
        <f t="shared" si="5"/>
        <v>182.5</v>
      </c>
      <c r="J155" s="28" t="s">
        <v>708</v>
      </c>
      <c r="K155" s="25">
        <v>41079</v>
      </c>
      <c r="L155" s="56">
        <v>41079</v>
      </c>
      <c r="M155" s="29" t="s">
        <v>690</v>
      </c>
      <c r="N155" s="28" t="s">
        <v>720</v>
      </c>
      <c r="O155" s="32">
        <v>13314.5</v>
      </c>
      <c r="P155" s="56">
        <v>41086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 spans="1:32" s="33" customFormat="1" ht="12" customHeight="1">
      <c r="A156" s="25">
        <v>41080</v>
      </c>
      <c r="B156" s="225" t="s">
        <v>229</v>
      </c>
      <c r="C156" s="219" t="s">
        <v>758</v>
      </c>
      <c r="D156" s="225" t="s">
        <v>352</v>
      </c>
      <c r="E156" s="196">
        <v>7502</v>
      </c>
      <c r="F156" s="119">
        <v>5</v>
      </c>
      <c r="G156" s="26" t="s">
        <v>686</v>
      </c>
      <c r="H156" s="31">
        <v>122.8</v>
      </c>
      <c r="I156" s="27">
        <f t="shared" si="5"/>
        <v>614</v>
      </c>
      <c r="J156" s="28" t="s">
        <v>709</v>
      </c>
      <c r="K156" s="25">
        <v>41080</v>
      </c>
      <c r="L156" s="25">
        <v>41086</v>
      </c>
      <c r="M156" s="26" t="s">
        <v>332</v>
      </c>
      <c r="N156" s="28" t="s">
        <v>850</v>
      </c>
      <c r="O156" s="32">
        <v>29214.74</v>
      </c>
      <c r="P156" s="88">
        <v>41117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1:32" s="33" customFormat="1" ht="12" customHeight="1">
      <c r="A157" s="25">
        <v>41080</v>
      </c>
      <c r="B157" s="225" t="s">
        <v>338</v>
      </c>
      <c r="C157" s="219" t="s">
        <v>758</v>
      </c>
      <c r="D157" s="225" t="s">
        <v>274</v>
      </c>
      <c r="E157" s="196" t="s">
        <v>275</v>
      </c>
      <c r="F157" s="119">
        <v>20</v>
      </c>
      <c r="G157" s="26" t="s">
        <v>686</v>
      </c>
      <c r="H157" s="31">
        <v>32</v>
      </c>
      <c r="I157" s="27">
        <f t="shared" si="5"/>
        <v>640</v>
      </c>
      <c r="J157" s="28" t="s">
        <v>710</v>
      </c>
      <c r="K157" s="25">
        <v>41080</v>
      </c>
      <c r="L157" s="56">
        <v>41080</v>
      </c>
      <c r="M157" s="29" t="s">
        <v>690</v>
      </c>
      <c r="N157" s="28" t="s">
        <v>720</v>
      </c>
      <c r="O157" s="32">
        <v>13314.5</v>
      </c>
      <c r="P157" s="56">
        <v>41086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 spans="1:32" s="33" customFormat="1" ht="12" customHeight="1">
      <c r="A158" s="25">
        <v>41081</v>
      </c>
      <c r="B158" s="225" t="s">
        <v>318</v>
      </c>
      <c r="C158" s="219" t="s">
        <v>758</v>
      </c>
      <c r="D158" s="225" t="s">
        <v>1887</v>
      </c>
      <c r="E158" s="196" t="s">
        <v>234</v>
      </c>
      <c r="F158" s="119">
        <v>500</v>
      </c>
      <c r="G158" s="194" t="s">
        <v>232</v>
      </c>
      <c r="H158" s="31">
        <v>5.0999999999999996</v>
      </c>
      <c r="I158" s="27">
        <f t="shared" si="5"/>
        <v>2550</v>
      </c>
      <c r="J158" s="28" t="s">
        <v>707</v>
      </c>
      <c r="K158" s="25">
        <v>41080</v>
      </c>
      <c r="L158" s="25">
        <v>41080</v>
      </c>
      <c r="M158" s="29" t="s">
        <v>700</v>
      </c>
      <c r="N158" s="28" t="s">
        <v>711</v>
      </c>
      <c r="O158" s="32">
        <v>2550</v>
      </c>
      <c r="P158" s="56">
        <v>41081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 spans="1:32" s="33" customFormat="1" ht="12" customHeight="1">
      <c r="A159" s="25">
        <v>41081</v>
      </c>
      <c r="B159" s="225" t="s">
        <v>338</v>
      </c>
      <c r="C159" s="219" t="s">
        <v>758</v>
      </c>
      <c r="D159" s="1" t="s">
        <v>1216</v>
      </c>
      <c r="E159" s="196">
        <v>3200</v>
      </c>
      <c r="F159" s="119">
        <v>40</v>
      </c>
      <c r="G159" s="26" t="s">
        <v>686</v>
      </c>
      <c r="H159" s="31">
        <v>28</v>
      </c>
      <c r="I159" s="27">
        <f t="shared" si="5"/>
        <v>1120</v>
      </c>
      <c r="J159" s="28" t="s">
        <v>712</v>
      </c>
      <c r="K159" s="25">
        <v>41081</v>
      </c>
      <c r="L159" s="56">
        <v>41081</v>
      </c>
      <c r="M159" s="29" t="s">
        <v>700</v>
      </c>
      <c r="N159" s="28" t="s">
        <v>720</v>
      </c>
      <c r="O159" s="32">
        <v>13314.5</v>
      </c>
      <c r="P159" s="56">
        <v>41086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 spans="1:32" s="33" customFormat="1" ht="12" customHeight="1">
      <c r="A160" s="25">
        <v>41081</v>
      </c>
      <c r="B160" s="225" t="s">
        <v>1993</v>
      </c>
      <c r="C160" s="219" t="s">
        <v>758</v>
      </c>
      <c r="D160" s="225" t="s">
        <v>348</v>
      </c>
      <c r="E160" s="196">
        <v>3700</v>
      </c>
      <c r="F160" s="119">
        <v>40</v>
      </c>
      <c r="G160" s="26" t="s">
        <v>686</v>
      </c>
      <c r="H160" s="31">
        <v>3.6</v>
      </c>
      <c r="I160" s="27">
        <f t="shared" si="5"/>
        <v>144</v>
      </c>
      <c r="J160" s="28" t="s">
        <v>712</v>
      </c>
      <c r="K160" s="25">
        <v>41081</v>
      </c>
      <c r="L160" s="56">
        <v>41081</v>
      </c>
      <c r="M160" s="29" t="s">
        <v>700</v>
      </c>
      <c r="N160" s="28" t="s">
        <v>720</v>
      </c>
      <c r="O160" s="32">
        <v>13314.5</v>
      </c>
      <c r="P160" s="56">
        <v>41086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 spans="1:32" s="33" customFormat="1" ht="12" customHeight="1">
      <c r="A161" s="25">
        <v>41081</v>
      </c>
      <c r="B161" s="225" t="s">
        <v>229</v>
      </c>
      <c r="C161" s="219" t="s">
        <v>758</v>
      </c>
      <c r="D161" s="225" t="s">
        <v>307</v>
      </c>
      <c r="E161" s="196">
        <v>1270</v>
      </c>
      <c r="F161" s="119">
        <v>40</v>
      </c>
      <c r="G161" s="190" t="s">
        <v>240</v>
      </c>
      <c r="H161" s="31">
        <v>4.3099999999999996</v>
      </c>
      <c r="I161" s="27">
        <f t="shared" si="5"/>
        <v>172.39999999999998</v>
      </c>
      <c r="J161" s="28" t="s">
        <v>96</v>
      </c>
      <c r="K161" s="25">
        <v>41081</v>
      </c>
      <c r="L161" s="25">
        <v>41086</v>
      </c>
      <c r="M161" s="26" t="s">
        <v>332</v>
      </c>
      <c r="N161" s="28" t="s">
        <v>850</v>
      </c>
      <c r="O161" s="32">
        <v>29214.74</v>
      </c>
      <c r="P161" s="88">
        <v>41117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 spans="1:32" s="33" customFormat="1" ht="12" customHeight="1">
      <c r="A162" s="25">
        <v>41081</v>
      </c>
      <c r="B162" s="225" t="s">
        <v>229</v>
      </c>
      <c r="C162" s="219" t="s">
        <v>758</v>
      </c>
      <c r="D162" s="225" t="s">
        <v>233</v>
      </c>
      <c r="E162" s="196" t="s">
        <v>236</v>
      </c>
      <c r="F162" s="205">
        <v>140</v>
      </c>
      <c r="G162" s="26" t="s">
        <v>691</v>
      </c>
      <c r="H162" s="31">
        <v>1.8</v>
      </c>
      <c r="I162" s="27">
        <f t="shared" si="5"/>
        <v>252</v>
      </c>
      <c r="J162" s="28" t="s">
        <v>96</v>
      </c>
      <c r="K162" s="25">
        <v>41081</v>
      </c>
      <c r="L162" s="25">
        <v>41086</v>
      </c>
      <c r="M162" s="26" t="s">
        <v>332</v>
      </c>
      <c r="N162" s="28" t="s">
        <v>850</v>
      </c>
      <c r="O162" s="32">
        <v>29214.74</v>
      </c>
      <c r="P162" s="88">
        <v>41117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 spans="1:32" s="33" customFormat="1" ht="12" customHeight="1">
      <c r="A163" s="25">
        <v>41085</v>
      </c>
      <c r="B163" s="225" t="s">
        <v>229</v>
      </c>
      <c r="C163" s="219" t="s">
        <v>758</v>
      </c>
      <c r="D163" s="225" t="s">
        <v>1878</v>
      </c>
      <c r="E163" s="326" t="s">
        <v>97</v>
      </c>
      <c r="F163" s="326">
        <v>2000</v>
      </c>
      <c r="G163" s="198" t="s">
        <v>230</v>
      </c>
      <c r="H163" s="31">
        <v>1.55</v>
      </c>
      <c r="I163" s="27">
        <f t="shared" si="5"/>
        <v>3100</v>
      </c>
      <c r="J163" s="28" t="s">
        <v>98</v>
      </c>
      <c r="K163" s="25">
        <v>41085</v>
      </c>
      <c r="L163" s="25">
        <v>41086</v>
      </c>
      <c r="M163" s="26" t="s">
        <v>332</v>
      </c>
      <c r="N163" s="28" t="s">
        <v>850</v>
      </c>
      <c r="O163" s="32">
        <v>29214.74</v>
      </c>
      <c r="P163" s="88">
        <v>41117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 spans="1:32" s="33" customFormat="1" ht="12" customHeight="1">
      <c r="A164" s="25">
        <v>41085</v>
      </c>
      <c r="B164" s="225" t="s">
        <v>229</v>
      </c>
      <c r="C164" s="219" t="s">
        <v>758</v>
      </c>
      <c r="D164" s="225" t="s">
        <v>1888</v>
      </c>
      <c r="E164" s="196">
        <v>4680</v>
      </c>
      <c r="F164" s="119">
        <v>2</v>
      </c>
      <c r="G164" s="26" t="s">
        <v>698</v>
      </c>
      <c r="H164" s="31">
        <v>78.39</v>
      </c>
      <c r="I164" s="27">
        <f t="shared" si="5"/>
        <v>156.78</v>
      </c>
      <c r="J164" s="28" t="s">
        <v>717</v>
      </c>
      <c r="K164" s="25">
        <v>41085</v>
      </c>
      <c r="L164" s="25">
        <v>41086</v>
      </c>
      <c r="M164" s="26" t="s">
        <v>332</v>
      </c>
      <c r="N164" s="28" t="s">
        <v>850</v>
      </c>
      <c r="O164" s="32">
        <v>29214.74</v>
      </c>
      <c r="P164" s="88">
        <v>41117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 spans="1:32" s="33" customFormat="1" ht="12" customHeight="1">
      <c r="A165" s="25">
        <v>41085</v>
      </c>
      <c r="B165" s="225" t="s">
        <v>229</v>
      </c>
      <c r="C165" s="219" t="s">
        <v>758</v>
      </c>
      <c r="D165" s="225" t="s">
        <v>264</v>
      </c>
      <c r="E165" s="196">
        <v>501</v>
      </c>
      <c r="F165" s="119">
        <v>100</v>
      </c>
      <c r="G165" s="26" t="s">
        <v>686</v>
      </c>
      <c r="H165" s="31">
        <v>1.4</v>
      </c>
      <c r="I165" s="27">
        <f t="shared" si="5"/>
        <v>140</v>
      </c>
      <c r="J165" s="28" t="s">
        <v>717</v>
      </c>
      <c r="K165" s="25">
        <v>41085</v>
      </c>
      <c r="L165" s="25">
        <v>41086</v>
      </c>
      <c r="M165" s="26" t="s">
        <v>332</v>
      </c>
      <c r="N165" s="28" t="s">
        <v>850</v>
      </c>
      <c r="O165" s="32">
        <v>29214.74</v>
      </c>
      <c r="P165" s="88">
        <v>41117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 spans="1:32" s="33" customFormat="1" ht="12" customHeight="1">
      <c r="A166" s="25">
        <v>41086</v>
      </c>
      <c r="B166" s="225" t="s">
        <v>229</v>
      </c>
      <c r="C166" s="219" t="s">
        <v>758</v>
      </c>
      <c r="D166" s="225" t="s">
        <v>355</v>
      </c>
      <c r="E166" s="196" t="s">
        <v>243</v>
      </c>
      <c r="F166" s="119">
        <v>60</v>
      </c>
      <c r="G166" s="26" t="s">
        <v>230</v>
      </c>
      <c r="H166" s="31">
        <v>18.37</v>
      </c>
      <c r="I166" s="27">
        <f t="shared" si="5"/>
        <v>1102.2</v>
      </c>
      <c r="J166" s="28" t="s">
        <v>99</v>
      </c>
      <c r="K166" s="25">
        <v>41086</v>
      </c>
      <c r="L166" s="25">
        <v>41086</v>
      </c>
      <c r="M166" s="26" t="s">
        <v>332</v>
      </c>
      <c r="N166" s="28" t="s">
        <v>850</v>
      </c>
      <c r="O166" s="32">
        <v>29214.74</v>
      </c>
      <c r="P166" s="88">
        <v>41117</v>
      </c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 spans="1:32" s="33" customFormat="1" ht="12" customHeight="1">
      <c r="A167" s="25">
        <v>41086</v>
      </c>
      <c r="B167" s="225" t="s">
        <v>338</v>
      </c>
      <c r="C167" s="219" t="s">
        <v>758</v>
      </c>
      <c r="D167" s="342" t="s">
        <v>241</v>
      </c>
      <c r="E167" s="196">
        <v>6200</v>
      </c>
      <c r="F167" s="119">
        <v>40</v>
      </c>
      <c r="G167" s="26" t="s">
        <v>686</v>
      </c>
      <c r="H167" s="31">
        <v>45.8</v>
      </c>
      <c r="I167" s="27">
        <f t="shared" si="5"/>
        <v>1832</v>
      </c>
      <c r="J167" s="28" t="s">
        <v>100</v>
      </c>
      <c r="K167" s="25">
        <v>41086</v>
      </c>
      <c r="L167" s="56">
        <v>41086</v>
      </c>
      <c r="M167" s="29" t="s">
        <v>167</v>
      </c>
      <c r="N167" s="28" t="s">
        <v>720</v>
      </c>
      <c r="O167" s="32">
        <v>13314.5</v>
      </c>
      <c r="P167" s="56">
        <v>41086</v>
      </c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 spans="1:32" ht="14.25" customHeight="1">
      <c r="A168" s="25">
        <v>41086</v>
      </c>
      <c r="B168" s="225" t="s">
        <v>1993</v>
      </c>
      <c r="C168" s="219" t="s">
        <v>758</v>
      </c>
      <c r="D168" s="225" t="s">
        <v>355</v>
      </c>
      <c r="E168" s="196" t="s">
        <v>243</v>
      </c>
      <c r="F168" s="131">
        <v>12</v>
      </c>
      <c r="G168" s="26" t="s">
        <v>230</v>
      </c>
      <c r="H168" s="31">
        <v>18.37</v>
      </c>
      <c r="I168" s="27">
        <f t="shared" si="5"/>
        <v>220.44</v>
      </c>
      <c r="J168" s="28" t="s">
        <v>719</v>
      </c>
      <c r="K168" s="25">
        <v>41086</v>
      </c>
      <c r="L168" s="56">
        <v>41086</v>
      </c>
      <c r="M168" s="29" t="s">
        <v>167</v>
      </c>
      <c r="N168" s="28" t="s">
        <v>1383</v>
      </c>
      <c r="O168" s="32">
        <v>16292.64</v>
      </c>
      <c r="P168" s="56">
        <v>41241</v>
      </c>
    </row>
    <row r="169" spans="1:32" ht="12" customHeight="1">
      <c r="A169" s="25">
        <v>41086</v>
      </c>
      <c r="B169" s="225" t="s">
        <v>245</v>
      </c>
      <c r="C169" s="219" t="s">
        <v>758</v>
      </c>
      <c r="D169" s="225" t="s">
        <v>627</v>
      </c>
      <c r="E169" s="196">
        <v>9132</v>
      </c>
      <c r="F169" s="119">
        <v>600</v>
      </c>
      <c r="G169" s="26" t="s">
        <v>686</v>
      </c>
      <c r="H169" s="31">
        <v>2.6</v>
      </c>
      <c r="I169" s="27">
        <f t="shared" si="5"/>
        <v>1560</v>
      </c>
      <c r="J169" s="28" t="s">
        <v>101</v>
      </c>
      <c r="K169" s="25">
        <v>41089</v>
      </c>
      <c r="L169" s="25">
        <v>41087</v>
      </c>
      <c r="M169" s="29" t="s">
        <v>690</v>
      </c>
      <c r="N169" s="26" t="s">
        <v>715</v>
      </c>
    </row>
    <row r="170" spans="1:32" ht="12" customHeight="1">
      <c r="A170" s="25">
        <v>41087</v>
      </c>
      <c r="B170" s="225" t="s">
        <v>245</v>
      </c>
      <c r="C170" s="219" t="s">
        <v>758</v>
      </c>
      <c r="D170" s="225" t="s">
        <v>732</v>
      </c>
      <c r="E170" s="196">
        <v>8515</v>
      </c>
      <c r="F170" s="119">
        <v>5</v>
      </c>
      <c r="G170" s="26" t="s">
        <v>686</v>
      </c>
      <c r="H170" s="31">
        <v>17</v>
      </c>
      <c r="I170" s="27">
        <f t="shared" si="5"/>
        <v>85</v>
      </c>
      <c r="J170" s="28" t="s">
        <v>102</v>
      </c>
      <c r="K170" s="25">
        <v>41089</v>
      </c>
      <c r="L170" s="25">
        <v>41087</v>
      </c>
      <c r="M170" s="29" t="s">
        <v>690</v>
      </c>
      <c r="N170" s="26" t="s">
        <v>715</v>
      </c>
    </row>
    <row r="171" spans="1:32" s="33" customFormat="1" ht="12" customHeight="1">
      <c r="A171" s="25">
        <v>41087</v>
      </c>
      <c r="B171" s="225" t="s">
        <v>229</v>
      </c>
      <c r="C171" s="219" t="s">
        <v>758</v>
      </c>
      <c r="D171" s="225" t="s">
        <v>1889</v>
      </c>
      <c r="E171" s="196">
        <v>4680</v>
      </c>
      <c r="F171" s="119">
        <v>2</v>
      </c>
      <c r="G171" s="26" t="s">
        <v>698</v>
      </c>
      <c r="H171" s="31">
        <v>78.39</v>
      </c>
      <c r="I171" s="27">
        <f t="shared" si="5"/>
        <v>156.78</v>
      </c>
      <c r="J171" s="28" t="s">
        <v>726</v>
      </c>
      <c r="K171" s="25">
        <v>41087</v>
      </c>
      <c r="L171" s="25">
        <v>41096</v>
      </c>
      <c r="M171" s="29" t="s">
        <v>690</v>
      </c>
      <c r="N171" s="28" t="s">
        <v>850</v>
      </c>
      <c r="O171" s="32">
        <v>29214.74</v>
      </c>
      <c r="P171" s="88">
        <v>41117</v>
      </c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1:32" ht="12" customHeight="1">
      <c r="A172" s="25">
        <v>41081</v>
      </c>
      <c r="B172" s="225" t="s">
        <v>245</v>
      </c>
      <c r="C172" s="219" t="s">
        <v>758</v>
      </c>
      <c r="D172" s="225" t="s">
        <v>1890</v>
      </c>
      <c r="E172" s="196">
        <v>4680</v>
      </c>
      <c r="F172" s="119">
        <v>2</v>
      </c>
      <c r="G172" s="26" t="s">
        <v>698</v>
      </c>
      <c r="H172" s="31">
        <v>96</v>
      </c>
      <c r="I172" s="27">
        <f t="shared" si="5"/>
        <v>192</v>
      </c>
      <c r="J172" s="28" t="s">
        <v>727</v>
      </c>
      <c r="K172" s="25">
        <v>41087</v>
      </c>
      <c r="L172" s="25">
        <v>41080</v>
      </c>
      <c r="M172" s="29" t="s">
        <v>699</v>
      </c>
      <c r="N172" s="28" t="s">
        <v>44</v>
      </c>
      <c r="O172" s="32">
        <v>16544</v>
      </c>
      <c r="P172" s="56">
        <v>41138</v>
      </c>
      <c r="R172" s="26" t="s">
        <v>45</v>
      </c>
    </row>
    <row r="173" spans="1:32" s="33" customFormat="1" ht="12" customHeight="1">
      <c r="A173" s="25">
        <v>41088</v>
      </c>
      <c r="B173" s="225" t="s">
        <v>1992</v>
      </c>
      <c r="C173" s="219" t="s">
        <v>758</v>
      </c>
      <c r="D173" s="1" t="s">
        <v>1884</v>
      </c>
      <c r="E173" s="196" t="s">
        <v>103</v>
      </c>
      <c r="F173" s="119">
        <v>120</v>
      </c>
      <c r="G173" s="26" t="s">
        <v>686</v>
      </c>
      <c r="H173" s="31">
        <v>12.7</v>
      </c>
      <c r="I173" s="27">
        <f t="shared" si="5"/>
        <v>1524</v>
      </c>
      <c r="J173" s="28" t="s">
        <v>773</v>
      </c>
      <c r="K173" s="25">
        <v>41089</v>
      </c>
      <c r="L173" s="25">
        <v>41088</v>
      </c>
      <c r="M173" s="29" t="s">
        <v>699</v>
      </c>
      <c r="N173" s="28" t="s">
        <v>1583</v>
      </c>
      <c r="O173" s="32">
        <v>36833.599999999999</v>
      </c>
      <c r="P173" s="56">
        <v>41264</v>
      </c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 spans="1:32" ht="12" customHeight="1">
      <c r="A174" s="25">
        <v>41089</v>
      </c>
      <c r="B174" s="225" t="s">
        <v>1993</v>
      </c>
      <c r="C174" s="219" t="s">
        <v>758</v>
      </c>
      <c r="D174" s="225" t="s">
        <v>269</v>
      </c>
      <c r="E174" s="196" t="s">
        <v>270</v>
      </c>
      <c r="F174" s="119">
        <v>300</v>
      </c>
      <c r="G174" s="26" t="s">
        <v>691</v>
      </c>
      <c r="H174" s="31">
        <v>1.43</v>
      </c>
      <c r="I174" s="27">
        <f t="shared" si="5"/>
        <v>429</v>
      </c>
      <c r="J174" s="28" t="s">
        <v>733</v>
      </c>
      <c r="K174" s="25">
        <v>41089</v>
      </c>
      <c r="L174" s="56">
        <v>41089</v>
      </c>
      <c r="M174" s="29" t="s">
        <v>167</v>
      </c>
      <c r="N174" s="51" t="s">
        <v>162</v>
      </c>
      <c r="O174" s="32">
        <v>15416.4</v>
      </c>
      <c r="P174" s="56">
        <v>41151</v>
      </c>
    </row>
    <row r="175" spans="1:32" ht="12" customHeight="1">
      <c r="A175" s="25">
        <v>41089</v>
      </c>
      <c r="B175" s="225" t="s">
        <v>1993</v>
      </c>
      <c r="C175" s="219" t="s">
        <v>758</v>
      </c>
      <c r="D175" s="1" t="s">
        <v>1216</v>
      </c>
      <c r="E175" s="196">
        <v>3200</v>
      </c>
      <c r="F175" s="119">
        <v>40</v>
      </c>
      <c r="G175" s="26" t="s">
        <v>686</v>
      </c>
      <c r="H175" s="31">
        <v>28</v>
      </c>
      <c r="I175" s="27">
        <f t="shared" si="5"/>
        <v>1120</v>
      </c>
      <c r="J175" s="28" t="s">
        <v>733</v>
      </c>
      <c r="K175" s="25">
        <v>41089</v>
      </c>
      <c r="L175" s="56">
        <v>41089</v>
      </c>
      <c r="M175" s="29" t="s">
        <v>167</v>
      </c>
      <c r="N175" s="51" t="s">
        <v>162</v>
      </c>
      <c r="O175" s="32">
        <v>15416.4</v>
      </c>
      <c r="P175" s="56">
        <v>41151</v>
      </c>
    </row>
    <row r="176" spans="1:32" ht="12" customHeight="1">
      <c r="A176" s="25">
        <v>41089</v>
      </c>
      <c r="B176" s="225" t="s">
        <v>1993</v>
      </c>
      <c r="C176" s="219" t="s">
        <v>758</v>
      </c>
      <c r="D176" s="225" t="s">
        <v>264</v>
      </c>
      <c r="E176" s="196" t="s">
        <v>283</v>
      </c>
      <c r="F176" s="119">
        <v>20</v>
      </c>
      <c r="G176" s="26" t="s">
        <v>230</v>
      </c>
      <c r="H176" s="31">
        <v>1.92</v>
      </c>
      <c r="I176" s="27">
        <f t="shared" si="5"/>
        <v>38.4</v>
      </c>
      <c r="J176" s="28" t="s">
        <v>733</v>
      </c>
      <c r="K176" s="25">
        <v>41089</v>
      </c>
      <c r="L176" s="56">
        <v>41089</v>
      </c>
      <c r="M176" s="29" t="s">
        <v>167</v>
      </c>
      <c r="N176" s="51" t="s">
        <v>162</v>
      </c>
      <c r="O176" s="32">
        <v>15416.4</v>
      </c>
      <c r="P176" s="56">
        <v>41151</v>
      </c>
    </row>
    <row r="177" spans="1:32" ht="12" customHeight="1">
      <c r="A177" s="25">
        <v>41089</v>
      </c>
      <c r="B177" s="225" t="s">
        <v>1993</v>
      </c>
      <c r="C177" s="219" t="s">
        <v>758</v>
      </c>
      <c r="D177" s="225" t="s">
        <v>355</v>
      </c>
      <c r="E177" s="196" t="s">
        <v>260</v>
      </c>
      <c r="F177" s="119">
        <v>40</v>
      </c>
      <c r="G177" s="26" t="s">
        <v>230</v>
      </c>
      <c r="H177" s="31">
        <v>13.33</v>
      </c>
      <c r="I177" s="27">
        <f t="shared" si="5"/>
        <v>533.20000000000005</v>
      </c>
      <c r="J177" s="28" t="s">
        <v>733</v>
      </c>
      <c r="K177" s="25">
        <v>41089</v>
      </c>
      <c r="L177" s="56">
        <v>41089</v>
      </c>
      <c r="M177" s="29" t="s">
        <v>167</v>
      </c>
      <c r="N177" s="51" t="s">
        <v>162</v>
      </c>
      <c r="O177" s="32">
        <v>15416.4</v>
      </c>
      <c r="P177" s="56">
        <v>41151</v>
      </c>
    </row>
    <row r="178" spans="1:32" ht="14.25" customHeight="1">
      <c r="A178" s="25">
        <v>41089</v>
      </c>
      <c r="B178" s="225" t="s">
        <v>1993</v>
      </c>
      <c r="C178" s="219" t="s">
        <v>758</v>
      </c>
      <c r="D178" s="225" t="s">
        <v>1891</v>
      </c>
      <c r="E178" s="196" t="s">
        <v>703</v>
      </c>
      <c r="F178" s="119">
        <v>25</v>
      </c>
      <c r="G178" s="26" t="s">
        <v>686</v>
      </c>
      <c r="H178" s="31">
        <v>2.4</v>
      </c>
      <c r="I178" s="27">
        <f t="shared" si="5"/>
        <v>60</v>
      </c>
      <c r="J178" s="28" t="s">
        <v>733</v>
      </c>
      <c r="K178" s="25">
        <v>41089</v>
      </c>
      <c r="L178" s="56">
        <v>41089</v>
      </c>
      <c r="M178" s="29" t="s">
        <v>167</v>
      </c>
      <c r="N178" s="51" t="s">
        <v>162</v>
      </c>
      <c r="O178" s="32">
        <v>15416.4</v>
      </c>
      <c r="P178" s="56">
        <v>41151</v>
      </c>
    </row>
    <row r="179" spans="1:32" ht="12" customHeight="1">
      <c r="A179" s="25">
        <v>41090</v>
      </c>
      <c r="B179" s="225" t="s">
        <v>229</v>
      </c>
      <c r="C179" s="219" t="s">
        <v>758</v>
      </c>
      <c r="D179" s="342" t="s">
        <v>1885</v>
      </c>
      <c r="E179" s="196" t="s">
        <v>693</v>
      </c>
      <c r="F179" s="119">
        <v>20</v>
      </c>
      <c r="G179" s="92" t="s">
        <v>240</v>
      </c>
      <c r="H179" s="31">
        <v>13.91</v>
      </c>
      <c r="I179" s="27">
        <f t="shared" si="5"/>
        <v>278.2</v>
      </c>
      <c r="J179" s="28" t="s">
        <v>774</v>
      </c>
      <c r="K179" s="25">
        <v>41090</v>
      </c>
      <c r="L179" s="25">
        <v>41094</v>
      </c>
      <c r="M179" s="29" t="s">
        <v>690</v>
      </c>
      <c r="N179" s="28" t="s">
        <v>715</v>
      </c>
      <c r="P179" s="88"/>
    </row>
    <row r="180" spans="1:32" ht="12" customHeight="1">
      <c r="A180" s="25">
        <v>41090</v>
      </c>
      <c r="B180" s="225" t="s">
        <v>229</v>
      </c>
      <c r="C180" s="219" t="s">
        <v>758</v>
      </c>
      <c r="D180" s="225" t="s">
        <v>1878</v>
      </c>
      <c r="E180" s="196" t="s">
        <v>97</v>
      </c>
      <c r="F180" s="119">
        <v>500</v>
      </c>
      <c r="G180" s="198" t="s">
        <v>230</v>
      </c>
      <c r="H180" s="31">
        <v>1.49</v>
      </c>
      <c r="I180" s="27">
        <f t="shared" si="5"/>
        <v>745</v>
      </c>
      <c r="J180" s="28" t="s">
        <v>774</v>
      </c>
      <c r="K180" s="25">
        <v>41090</v>
      </c>
      <c r="L180" s="25">
        <v>41094</v>
      </c>
      <c r="M180" s="29" t="s">
        <v>690</v>
      </c>
      <c r="N180" s="28" t="s">
        <v>715</v>
      </c>
      <c r="P180" s="88"/>
    </row>
    <row r="181" spans="1:32" ht="12" customHeight="1">
      <c r="A181" s="25">
        <v>41086</v>
      </c>
      <c r="B181" s="225" t="s">
        <v>245</v>
      </c>
      <c r="C181" s="219" t="s">
        <v>758</v>
      </c>
      <c r="D181" s="225" t="s">
        <v>716</v>
      </c>
      <c r="E181" s="196">
        <v>4680</v>
      </c>
      <c r="F181" s="119">
        <v>2</v>
      </c>
      <c r="G181" s="26" t="s">
        <v>698</v>
      </c>
      <c r="H181" s="31">
        <v>90</v>
      </c>
      <c r="I181" s="27">
        <f t="shared" si="5"/>
        <v>180</v>
      </c>
      <c r="J181" s="28" t="s">
        <v>104</v>
      </c>
      <c r="K181" s="25">
        <v>41090</v>
      </c>
      <c r="L181" s="25">
        <v>41087</v>
      </c>
      <c r="M181" s="29" t="s">
        <v>699</v>
      </c>
      <c r="N181" s="28" t="s">
        <v>44</v>
      </c>
      <c r="O181" s="32">
        <v>16544</v>
      </c>
      <c r="P181" s="56">
        <v>41138</v>
      </c>
      <c r="R181" s="26" t="s">
        <v>45</v>
      </c>
    </row>
    <row r="182" spans="1:32" ht="12" customHeight="1">
      <c r="A182" s="25">
        <v>41086</v>
      </c>
      <c r="B182" s="225" t="s">
        <v>245</v>
      </c>
      <c r="C182" s="219" t="s">
        <v>758</v>
      </c>
      <c r="D182" s="225" t="s">
        <v>828</v>
      </c>
      <c r="E182" s="196" t="s">
        <v>327</v>
      </c>
      <c r="F182" s="119">
        <v>300</v>
      </c>
      <c r="G182" s="26" t="s">
        <v>691</v>
      </c>
      <c r="H182" s="31">
        <v>5.0599999999999996</v>
      </c>
      <c r="I182" s="27">
        <f t="shared" si="5"/>
        <v>1517.9999999999998</v>
      </c>
      <c r="J182" s="28" t="s">
        <v>805</v>
      </c>
      <c r="K182" s="25">
        <v>41090</v>
      </c>
      <c r="L182" s="25">
        <v>41087</v>
      </c>
      <c r="M182" s="29" t="s">
        <v>690</v>
      </c>
      <c r="N182" s="28" t="s">
        <v>715</v>
      </c>
    </row>
    <row r="183" spans="1:32" s="33" customFormat="1" ht="12" customHeight="1">
      <c r="A183" s="25">
        <v>41092</v>
      </c>
      <c r="B183" s="225" t="s">
        <v>229</v>
      </c>
      <c r="C183" s="219" t="s">
        <v>758</v>
      </c>
      <c r="D183" s="225" t="s">
        <v>1878</v>
      </c>
      <c r="E183" s="196" t="s">
        <v>97</v>
      </c>
      <c r="F183" s="119">
        <v>5000</v>
      </c>
      <c r="G183" s="198" t="s">
        <v>230</v>
      </c>
      <c r="H183" s="31">
        <v>1.55</v>
      </c>
      <c r="I183" s="27">
        <f t="shared" si="5"/>
        <v>7750</v>
      </c>
      <c r="J183" s="28" t="s">
        <v>105</v>
      </c>
      <c r="K183" s="25">
        <v>41092</v>
      </c>
      <c r="L183" s="25">
        <v>41096</v>
      </c>
      <c r="M183" s="29" t="s">
        <v>690</v>
      </c>
      <c r="N183" s="28" t="s">
        <v>850</v>
      </c>
      <c r="O183" s="32">
        <v>29214.74</v>
      </c>
      <c r="P183" s="88">
        <v>41117</v>
      </c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 spans="1:32" s="33" customFormat="1" ht="12" customHeight="1">
      <c r="A184" s="25">
        <v>41092</v>
      </c>
      <c r="B184" s="225" t="s">
        <v>229</v>
      </c>
      <c r="C184" s="219" t="s">
        <v>758</v>
      </c>
      <c r="D184" s="1" t="s">
        <v>1216</v>
      </c>
      <c r="E184" s="196">
        <v>3200</v>
      </c>
      <c r="F184" s="119">
        <v>40</v>
      </c>
      <c r="G184" s="26" t="s">
        <v>686</v>
      </c>
      <c r="H184" s="31">
        <v>28.73</v>
      </c>
      <c r="I184" s="27">
        <f t="shared" si="5"/>
        <v>1149.2</v>
      </c>
      <c r="J184" s="28" t="s">
        <v>106</v>
      </c>
      <c r="K184" s="25">
        <v>41092</v>
      </c>
      <c r="L184" s="25">
        <v>41096</v>
      </c>
      <c r="M184" s="29" t="s">
        <v>690</v>
      </c>
      <c r="N184" s="28" t="s">
        <v>850</v>
      </c>
      <c r="O184" s="32">
        <v>29214.74</v>
      </c>
      <c r="P184" s="88">
        <v>41117</v>
      </c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 spans="1:32" s="33" customFormat="1" ht="12" customHeight="1">
      <c r="A185" s="25">
        <v>41092</v>
      </c>
      <c r="B185" s="225" t="s">
        <v>229</v>
      </c>
      <c r="C185" s="219" t="s">
        <v>758</v>
      </c>
      <c r="D185" s="225" t="s">
        <v>355</v>
      </c>
      <c r="E185" s="196" t="s">
        <v>260</v>
      </c>
      <c r="F185" s="119">
        <v>40</v>
      </c>
      <c r="G185" s="26" t="s">
        <v>230</v>
      </c>
      <c r="H185" s="31">
        <v>13.33</v>
      </c>
      <c r="I185" s="27">
        <f t="shared" si="5"/>
        <v>533.20000000000005</v>
      </c>
      <c r="J185" s="28" t="s">
        <v>106</v>
      </c>
      <c r="K185" s="25">
        <v>41092</v>
      </c>
      <c r="L185" s="25">
        <v>41096</v>
      </c>
      <c r="M185" s="29" t="s">
        <v>690</v>
      </c>
      <c r="N185" s="28" t="s">
        <v>850</v>
      </c>
      <c r="O185" s="32">
        <v>29214.74</v>
      </c>
      <c r="P185" s="88">
        <v>41117</v>
      </c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 spans="1:32" s="33" customFormat="1" ht="12" customHeight="1">
      <c r="A186" s="25">
        <v>41092</v>
      </c>
      <c r="B186" s="225" t="s">
        <v>229</v>
      </c>
      <c r="C186" s="219" t="s">
        <v>758</v>
      </c>
      <c r="D186" s="225" t="s">
        <v>269</v>
      </c>
      <c r="E186" s="196" t="s">
        <v>270</v>
      </c>
      <c r="F186" s="119">
        <v>240</v>
      </c>
      <c r="G186" s="26" t="s">
        <v>691</v>
      </c>
      <c r="H186" s="31">
        <v>1.42</v>
      </c>
      <c r="I186" s="27">
        <f t="shared" ref="I186:I206" si="6">H186*F186</f>
        <v>340.79999999999995</v>
      </c>
      <c r="J186" s="28" t="s">
        <v>106</v>
      </c>
      <c r="K186" s="25">
        <v>41092</v>
      </c>
      <c r="L186" s="25">
        <v>41096</v>
      </c>
      <c r="M186" s="29" t="s">
        <v>690</v>
      </c>
      <c r="N186" s="28" t="s">
        <v>850</v>
      </c>
      <c r="O186" s="32">
        <v>29214.74</v>
      </c>
      <c r="P186" s="88">
        <v>41117</v>
      </c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 spans="1:32" s="33" customFormat="1" ht="12" customHeight="1">
      <c r="A187" s="25">
        <v>41092</v>
      </c>
      <c r="B187" s="225" t="s">
        <v>1989</v>
      </c>
      <c r="C187" s="219" t="s">
        <v>758</v>
      </c>
      <c r="D187" s="225" t="s">
        <v>264</v>
      </c>
      <c r="E187" s="196" t="s">
        <v>283</v>
      </c>
      <c r="F187" s="119">
        <v>40</v>
      </c>
      <c r="G187" s="26" t="s">
        <v>230</v>
      </c>
      <c r="H187" s="31">
        <v>1.92</v>
      </c>
      <c r="I187" s="27">
        <f t="shared" si="6"/>
        <v>76.8</v>
      </c>
      <c r="J187" s="28" t="s">
        <v>106</v>
      </c>
      <c r="K187" s="25">
        <v>41092</v>
      </c>
      <c r="L187" s="25">
        <v>41096</v>
      </c>
      <c r="M187" s="29" t="s">
        <v>690</v>
      </c>
      <c r="N187" s="28" t="s">
        <v>850</v>
      </c>
      <c r="O187" s="32">
        <v>29214.74</v>
      </c>
      <c r="P187" s="88">
        <v>41117</v>
      </c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 spans="1:32" s="33" customFormat="1" ht="12" customHeight="1">
      <c r="A188" s="25">
        <v>41093</v>
      </c>
      <c r="B188" s="225" t="s">
        <v>318</v>
      </c>
      <c r="C188" s="219" t="s">
        <v>758</v>
      </c>
      <c r="D188" s="225" t="s">
        <v>355</v>
      </c>
      <c r="E188" s="196" t="s">
        <v>243</v>
      </c>
      <c r="F188" s="119">
        <v>60</v>
      </c>
      <c r="G188" s="26" t="s">
        <v>230</v>
      </c>
      <c r="H188" s="31">
        <v>18.5</v>
      </c>
      <c r="I188" s="27">
        <f t="shared" si="6"/>
        <v>1110</v>
      </c>
      <c r="J188" s="28" t="s">
        <v>107</v>
      </c>
      <c r="K188" s="25">
        <v>41094</v>
      </c>
      <c r="L188" s="25">
        <v>41093</v>
      </c>
      <c r="M188" s="29" t="s">
        <v>699</v>
      </c>
      <c r="N188" s="28" t="s">
        <v>108</v>
      </c>
      <c r="O188" s="32">
        <v>1110</v>
      </c>
      <c r="P188" s="56">
        <v>41094</v>
      </c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 spans="1:32" s="33" customFormat="1" ht="12" customHeight="1">
      <c r="A189" s="25">
        <v>41094</v>
      </c>
      <c r="B189" s="225" t="s">
        <v>1989</v>
      </c>
      <c r="C189" s="219" t="s">
        <v>758</v>
      </c>
      <c r="D189" s="225" t="s">
        <v>1892</v>
      </c>
      <c r="E189" s="196">
        <v>4690</v>
      </c>
      <c r="F189" s="119">
        <v>1</v>
      </c>
      <c r="G189" s="26" t="s">
        <v>230</v>
      </c>
      <c r="H189" s="31">
        <v>212.43</v>
      </c>
      <c r="I189" s="27">
        <f t="shared" si="6"/>
        <v>212.43</v>
      </c>
      <c r="J189" s="28" t="s">
        <v>779</v>
      </c>
      <c r="K189" s="25">
        <v>41094</v>
      </c>
      <c r="L189" s="25">
        <v>41096</v>
      </c>
      <c r="M189" s="29" t="s">
        <v>690</v>
      </c>
      <c r="N189" s="28" t="s">
        <v>850</v>
      </c>
      <c r="O189" s="32">
        <v>29214.74</v>
      </c>
      <c r="P189" s="88">
        <v>41117</v>
      </c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 spans="1:32" s="33" customFormat="1" ht="12" customHeight="1">
      <c r="A190" s="25">
        <v>41094</v>
      </c>
      <c r="B190" s="225" t="s">
        <v>1989</v>
      </c>
      <c r="C190" s="219" t="s">
        <v>758</v>
      </c>
      <c r="D190" s="225" t="s">
        <v>1893</v>
      </c>
      <c r="E190" s="196">
        <v>4690</v>
      </c>
      <c r="F190" s="119">
        <v>1</v>
      </c>
      <c r="G190" s="26" t="s">
        <v>230</v>
      </c>
      <c r="H190" s="31">
        <v>212.43</v>
      </c>
      <c r="I190" s="27">
        <f t="shared" si="6"/>
        <v>212.43</v>
      </c>
      <c r="J190" s="28" t="s">
        <v>779</v>
      </c>
      <c r="K190" s="25">
        <v>41094</v>
      </c>
      <c r="L190" s="25">
        <v>41096</v>
      </c>
      <c r="M190" s="29" t="s">
        <v>690</v>
      </c>
      <c r="N190" s="28" t="s">
        <v>850</v>
      </c>
      <c r="O190" s="32">
        <v>29214.74</v>
      </c>
      <c r="P190" s="88">
        <v>41117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 spans="1:32" s="33" customFormat="1" ht="12" customHeight="1">
      <c r="A191" s="25">
        <v>41096</v>
      </c>
      <c r="B191" s="225" t="s">
        <v>1989</v>
      </c>
      <c r="C191" s="219" t="s">
        <v>758</v>
      </c>
      <c r="D191" s="1" t="s">
        <v>1880</v>
      </c>
      <c r="E191" s="196">
        <v>6006</v>
      </c>
      <c r="F191" s="119">
        <v>20</v>
      </c>
      <c r="G191" s="26" t="s">
        <v>686</v>
      </c>
      <c r="H191" s="31">
        <v>57.707999999999998</v>
      </c>
      <c r="I191" s="27">
        <f t="shared" si="6"/>
        <v>1154.1599999999999</v>
      </c>
      <c r="J191" s="28" t="s">
        <v>109</v>
      </c>
      <c r="K191" s="25">
        <v>41096</v>
      </c>
      <c r="L191" s="25">
        <v>41096</v>
      </c>
      <c r="M191" s="29" t="s">
        <v>690</v>
      </c>
      <c r="N191" s="28" t="s">
        <v>850</v>
      </c>
      <c r="O191" s="32">
        <v>29214.74</v>
      </c>
      <c r="P191" s="88">
        <v>41117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 spans="1:32" ht="12" customHeight="1">
      <c r="A192" s="25">
        <v>41096</v>
      </c>
      <c r="B192" s="225" t="s">
        <v>245</v>
      </c>
      <c r="C192" s="219" t="s">
        <v>758</v>
      </c>
      <c r="D192" s="342" t="s">
        <v>241</v>
      </c>
      <c r="E192" s="196">
        <v>6200</v>
      </c>
      <c r="F192" s="119">
        <v>144</v>
      </c>
      <c r="G192" s="26" t="s">
        <v>230</v>
      </c>
      <c r="H192" s="31">
        <v>42</v>
      </c>
      <c r="I192" s="27">
        <f t="shared" si="6"/>
        <v>6048</v>
      </c>
      <c r="J192" s="28" t="s">
        <v>784</v>
      </c>
      <c r="K192" s="25">
        <v>41100</v>
      </c>
      <c r="L192" s="25">
        <v>41096</v>
      </c>
      <c r="M192" s="29" t="s">
        <v>699</v>
      </c>
      <c r="N192" s="28" t="s">
        <v>44</v>
      </c>
      <c r="O192" s="32">
        <v>16544</v>
      </c>
      <c r="P192" s="56">
        <v>41138</v>
      </c>
      <c r="R192" s="26" t="s">
        <v>45</v>
      </c>
    </row>
    <row r="193" spans="1:32" ht="12" customHeight="1">
      <c r="A193" s="25">
        <v>41096</v>
      </c>
      <c r="B193" s="225" t="s">
        <v>245</v>
      </c>
      <c r="C193" s="219" t="s">
        <v>758</v>
      </c>
      <c r="D193" s="225" t="s">
        <v>355</v>
      </c>
      <c r="E193" s="196" t="s">
        <v>243</v>
      </c>
      <c r="F193" s="119">
        <v>360</v>
      </c>
      <c r="G193" s="26" t="s">
        <v>230</v>
      </c>
      <c r="H193" s="31">
        <v>17.5</v>
      </c>
      <c r="I193" s="27">
        <f t="shared" si="6"/>
        <v>6300</v>
      </c>
      <c r="J193" s="28" t="s">
        <v>784</v>
      </c>
      <c r="K193" s="25">
        <v>41100</v>
      </c>
      <c r="L193" s="25">
        <v>41096</v>
      </c>
      <c r="M193" s="29" t="s">
        <v>699</v>
      </c>
      <c r="N193" s="28" t="s">
        <v>44</v>
      </c>
      <c r="O193" s="32">
        <v>16544</v>
      </c>
      <c r="P193" s="56">
        <v>41138</v>
      </c>
      <c r="R193" s="26" t="s">
        <v>45</v>
      </c>
    </row>
    <row r="194" spans="1:32" ht="12" customHeight="1">
      <c r="A194" s="25">
        <v>41096</v>
      </c>
      <c r="B194" s="225" t="s">
        <v>245</v>
      </c>
      <c r="C194" s="219" t="s">
        <v>758</v>
      </c>
      <c r="D194" s="225" t="s">
        <v>233</v>
      </c>
      <c r="E194" s="196" t="s">
        <v>234</v>
      </c>
      <c r="F194" s="119">
        <v>700</v>
      </c>
      <c r="G194" s="194" t="s">
        <v>232</v>
      </c>
      <c r="H194" s="31">
        <v>5.0599999999999996</v>
      </c>
      <c r="I194" s="27">
        <f t="shared" si="6"/>
        <v>3541.9999999999995</v>
      </c>
      <c r="J194" s="28" t="s">
        <v>784</v>
      </c>
      <c r="K194" s="25">
        <v>41100</v>
      </c>
      <c r="L194" s="25">
        <v>41096</v>
      </c>
      <c r="M194" s="29" t="s">
        <v>699</v>
      </c>
      <c r="N194" s="28" t="s">
        <v>44</v>
      </c>
      <c r="O194" s="32">
        <v>16544</v>
      </c>
      <c r="P194" s="56">
        <v>41138</v>
      </c>
      <c r="R194" s="26" t="s">
        <v>45</v>
      </c>
    </row>
    <row r="195" spans="1:32" ht="12" customHeight="1">
      <c r="A195" s="25">
        <v>41096</v>
      </c>
      <c r="B195" s="225" t="s">
        <v>245</v>
      </c>
      <c r="C195" s="219" t="s">
        <v>758</v>
      </c>
      <c r="D195" s="225" t="s">
        <v>264</v>
      </c>
      <c r="E195" s="196">
        <v>501</v>
      </c>
      <c r="F195" s="119">
        <v>200</v>
      </c>
      <c r="G195" s="26" t="s">
        <v>686</v>
      </c>
      <c r="H195" s="31">
        <v>1.41</v>
      </c>
      <c r="I195" s="27">
        <f t="shared" si="6"/>
        <v>282</v>
      </c>
      <c r="J195" s="28" t="s">
        <v>784</v>
      </c>
      <c r="K195" s="25">
        <v>41100</v>
      </c>
      <c r="L195" s="25">
        <v>41096</v>
      </c>
      <c r="M195" s="29" t="s">
        <v>699</v>
      </c>
      <c r="N195" s="28" t="s">
        <v>44</v>
      </c>
      <c r="O195" s="32">
        <v>16544</v>
      </c>
      <c r="P195" s="56">
        <v>41138</v>
      </c>
      <c r="R195" s="26" t="s">
        <v>45</v>
      </c>
    </row>
    <row r="196" spans="1:32" s="33" customFormat="1" ht="12" customHeight="1">
      <c r="A196" s="25">
        <v>41100</v>
      </c>
      <c r="B196" s="225" t="s">
        <v>1989</v>
      </c>
      <c r="C196" s="219" t="s">
        <v>758</v>
      </c>
      <c r="D196" s="225" t="s">
        <v>289</v>
      </c>
      <c r="E196" s="196">
        <v>10434</v>
      </c>
      <c r="F196" s="119">
        <v>5</v>
      </c>
      <c r="G196" s="26" t="s">
        <v>692</v>
      </c>
      <c r="H196" s="31">
        <v>14.88</v>
      </c>
      <c r="I196" s="27">
        <f t="shared" si="6"/>
        <v>74.400000000000006</v>
      </c>
      <c r="J196" s="28" t="s">
        <v>110</v>
      </c>
      <c r="K196" s="25">
        <v>41100</v>
      </c>
      <c r="L196" s="25">
        <v>41117</v>
      </c>
      <c r="M196" s="29" t="s">
        <v>699</v>
      </c>
      <c r="N196" s="28" t="s">
        <v>850</v>
      </c>
      <c r="O196" s="32">
        <v>29214.74</v>
      </c>
      <c r="P196" s="88">
        <v>41117</v>
      </c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 spans="1:32" s="33" customFormat="1" ht="12" customHeight="1">
      <c r="A197" s="25">
        <v>41100</v>
      </c>
      <c r="B197" s="225" t="s">
        <v>1993</v>
      </c>
      <c r="C197" s="219" t="s">
        <v>758</v>
      </c>
      <c r="D197" s="225" t="s">
        <v>349</v>
      </c>
      <c r="E197" s="196" t="s">
        <v>111</v>
      </c>
      <c r="F197" s="119">
        <v>1000</v>
      </c>
      <c r="G197" s="26" t="s">
        <v>686</v>
      </c>
      <c r="H197" s="31">
        <v>1.5</v>
      </c>
      <c r="I197" s="27">
        <f t="shared" si="6"/>
        <v>1500</v>
      </c>
      <c r="J197" s="28" t="s">
        <v>789</v>
      </c>
      <c r="K197" s="25">
        <v>41100</v>
      </c>
      <c r="L197" s="56">
        <v>41100</v>
      </c>
      <c r="M197" s="29" t="s">
        <v>690</v>
      </c>
      <c r="N197" s="26" t="s">
        <v>715</v>
      </c>
      <c r="O197" s="32"/>
      <c r="P197" s="56"/>
      <c r="Q197" s="48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 spans="1:32" s="33" customFormat="1" ht="12" customHeight="1">
      <c r="A198" s="25">
        <v>41102</v>
      </c>
      <c r="B198" s="225" t="s">
        <v>1993</v>
      </c>
      <c r="C198" s="219" t="s">
        <v>758</v>
      </c>
      <c r="D198" s="225" t="s">
        <v>704</v>
      </c>
      <c r="E198" s="196" t="s">
        <v>703</v>
      </c>
      <c r="F198" s="119">
        <v>1000</v>
      </c>
      <c r="G198" s="26" t="s">
        <v>686</v>
      </c>
      <c r="H198" s="31">
        <v>2.25</v>
      </c>
      <c r="I198" s="27">
        <f t="shared" si="6"/>
        <v>2250</v>
      </c>
      <c r="J198" s="28" t="s">
        <v>793</v>
      </c>
      <c r="K198" s="25">
        <v>41102</v>
      </c>
      <c r="L198" s="56">
        <v>41106</v>
      </c>
      <c r="M198" s="29" t="s">
        <v>690</v>
      </c>
      <c r="N198" s="26" t="s">
        <v>715</v>
      </c>
      <c r="O198" s="32"/>
      <c r="P198" s="56"/>
      <c r="Q198" s="48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 spans="1:32" s="33" customFormat="1" ht="12" customHeight="1">
      <c r="A199" s="25">
        <v>41102</v>
      </c>
      <c r="B199" s="225" t="s">
        <v>1989</v>
      </c>
      <c r="C199" s="219" t="s">
        <v>758</v>
      </c>
      <c r="D199" s="225" t="s">
        <v>794</v>
      </c>
      <c r="E199" s="196">
        <v>10197</v>
      </c>
      <c r="F199" s="119">
        <v>1</v>
      </c>
      <c r="G199" s="26" t="s">
        <v>692</v>
      </c>
      <c r="H199" s="31">
        <v>40.200000000000003</v>
      </c>
      <c r="I199" s="27">
        <f t="shared" si="6"/>
        <v>40.200000000000003</v>
      </c>
      <c r="J199" s="28" t="s">
        <v>795</v>
      </c>
      <c r="K199" s="25">
        <v>41102</v>
      </c>
      <c r="L199" s="25">
        <v>41117</v>
      </c>
      <c r="M199" s="29" t="s">
        <v>699</v>
      </c>
      <c r="N199" s="28" t="s">
        <v>850</v>
      </c>
      <c r="O199" s="32">
        <v>29214.74</v>
      </c>
      <c r="P199" s="88">
        <v>41117</v>
      </c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 spans="1:32" s="33" customFormat="1" ht="12" customHeight="1">
      <c r="A200" s="25">
        <v>41102</v>
      </c>
      <c r="B200" s="225" t="s">
        <v>1989</v>
      </c>
      <c r="C200" s="219" t="s">
        <v>758</v>
      </c>
      <c r="D200" s="225" t="s">
        <v>289</v>
      </c>
      <c r="E200" s="196">
        <v>10434</v>
      </c>
      <c r="F200" s="119">
        <v>20</v>
      </c>
      <c r="G200" s="26" t="s">
        <v>692</v>
      </c>
      <c r="H200" s="26">
        <v>14.88</v>
      </c>
      <c r="I200" s="27">
        <f t="shared" si="6"/>
        <v>297.60000000000002</v>
      </c>
      <c r="J200" s="28" t="s">
        <v>112</v>
      </c>
      <c r="K200" s="25">
        <v>41102</v>
      </c>
      <c r="L200" s="25">
        <v>41117</v>
      </c>
      <c r="M200" s="29" t="s">
        <v>699</v>
      </c>
      <c r="N200" s="28" t="s">
        <v>850</v>
      </c>
      <c r="O200" s="32">
        <v>29214.74</v>
      </c>
      <c r="P200" s="88">
        <v>41117</v>
      </c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 spans="1:32" s="33" customFormat="1" ht="12" customHeight="1">
      <c r="A201" s="25">
        <v>41102</v>
      </c>
      <c r="B201" s="225" t="s">
        <v>1989</v>
      </c>
      <c r="C201" s="219" t="s">
        <v>758</v>
      </c>
      <c r="D201" s="225" t="s">
        <v>307</v>
      </c>
      <c r="E201" s="196">
        <v>1270</v>
      </c>
      <c r="F201" s="119">
        <v>200</v>
      </c>
      <c r="G201" s="190" t="s">
        <v>240</v>
      </c>
      <c r="H201" s="26">
        <v>4.3099999999999996</v>
      </c>
      <c r="I201" s="27">
        <f t="shared" si="6"/>
        <v>861.99999999999989</v>
      </c>
      <c r="J201" s="28" t="s">
        <v>112</v>
      </c>
      <c r="K201" s="25">
        <v>41102</v>
      </c>
      <c r="L201" s="25">
        <v>41117</v>
      </c>
      <c r="M201" s="29" t="s">
        <v>699</v>
      </c>
      <c r="N201" s="28" t="s">
        <v>850</v>
      </c>
      <c r="O201" s="32">
        <v>29214.74</v>
      </c>
      <c r="P201" s="88">
        <v>41117</v>
      </c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 spans="1:32" ht="12" customHeight="1">
      <c r="A202" s="25">
        <v>41107</v>
      </c>
      <c r="B202" s="225" t="s">
        <v>1989</v>
      </c>
      <c r="C202" s="219" t="s">
        <v>758</v>
      </c>
      <c r="D202" s="225" t="s">
        <v>807</v>
      </c>
      <c r="E202" s="196" t="s">
        <v>350</v>
      </c>
      <c r="F202" s="119">
        <v>3148</v>
      </c>
      <c r="G202" s="123" t="s">
        <v>172</v>
      </c>
      <c r="H202" s="31">
        <v>1.65</v>
      </c>
      <c r="I202" s="27">
        <f t="shared" si="6"/>
        <v>5194.2</v>
      </c>
      <c r="J202" s="28" t="s">
        <v>808</v>
      </c>
      <c r="K202" s="25">
        <v>41107</v>
      </c>
      <c r="L202" s="25">
        <v>41117</v>
      </c>
      <c r="M202" s="29" t="s">
        <v>699</v>
      </c>
      <c r="N202" s="28" t="s">
        <v>850</v>
      </c>
      <c r="O202" s="32">
        <v>29214.74</v>
      </c>
      <c r="P202" s="88">
        <v>41117</v>
      </c>
    </row>
    <row r="203" spans="1:32" ht="12" customHeight="1">
      <c r="A203" s="25">
        <v>41107</v>
      </c>
      <c r="B203" s="225" t="s">
        <v>1989</v>
      </c>
      <c r="C203" s="219" t="s">
        <v>758</v>
      </c>
      <c r="D203" s="1" t="s">
        <v>1219</v>
      </c>
      <c r="E203" s="196" t="s">
        <v>778</v>
      </c>
      <c r="F203" s="119">
        <v>37</v>
      </c>
      <c r="G203" s="26" t="s">
        <v>692</v>
      </c>
      <c r="H203" s="31">
        <v>13</v>
      </c>
      <c r="I203" s="27">
        <f t="shared" si="6"/>
        <v>481</v>
      </c>
      <c r="J203" s="28" t="s">
        <v>808</v>
      </c>
      <c r="K203" s="25">
        <v>41107</v>
      </c>
      <c r="L203" s="25">
        <v>41117</v>
      </c>
      <c r="M203" s="29" t="s">
        <v>699</v>
      </c>
      <c r="N203" s="28" t="s">
        <v>850</v>
      </c>
      <c r="O203" s="32">
        <v>29214.74</v>
      </c>
      <c r="P203" s="88">
        <v>41117</v>
      </c>
    </row>
    <row r="204" spans="1:32" ht="12" customHeight="1">
      <c r="A204" s="25">
        <v>41108</v>
      </c>
      <c r="B204" s="225" t="s">
        <v>1989</v>
      </c>
      <c r="C204" s="219" t="s">
        <v>758</v>
      </c>
      <c r="D204" s="225" t="s">
        <v>307</v>
      </c>
      <c r="E204" s="196">
        <v>1270</v>
      </c>
      <c r="F204" s="119">
        <v>60</v>
      </c>
      <c r="G204" s="190" t="s">
        <v>240</v>
      </c>
      <c r="H204" s="31">
        <v>4.1399999999999997</v>
      </c>
      <c r="I204" s="27">
        <f t="shared" si="6"/>
        <v>248.39999999999998</v>
      </c>
      <c r="J204" s="28" t="s">
        <v>113</v>
      </c>
      <c r="K204" s="25">
        <v>41108</v>
      </c>
      <c r="L204" s="25">
        <v>41116</v>
      </c>
      <c r="M204" s="29" t="s">
        <v>690</v>
      </c>
      <c r="N204" s="26" t="s">
        <v>715</v>
      </c>
      <c r="P204" s="88"/>
    </row>
    <row r="205" spans="1:32" ht="12" customHeight="1">
      <c r="A205" s="25">
        <v>41109</v>
      </c>
      <c r="B205" s="225" t="s">
        <v>1989</v>
      </c>
      <c r="C205" s="219" t="s">
        <v>758</v>
      </c>
      <c r="D205" s="225" t="s">
        <v>810</v>
      </c>
      <c r="E205" s="196">
        <v>4690</v>
      </c>
      <c r="F205" s="119">
        <v>1</v>
      </c>
      <c r="G205" s="26" t="s">
        <v>698</v>
      </c>
      <c r="H205" s="31">
        <v>212.43</v>
      </c>
      <c r="I205" s="27">
        <f t="shared" si="6"/>
        <v>212.43</v>
      </c>
      <c r="J205" s="28" t="s">
        <v>114</v>
      </c>
      <c r="K205" s="25">
        <v>41109</v>
      </c>
      <c r="L205" s="25">
        <v>41117</v>
      </c>
      <c r="M205" s="29" t="s">
        <v>699</v>
      </c>
      <c r="N205" s="28" t="s">
        <v>850</v>
      </c>
      <c r="O205" s="32">
        <v>29214.74</v>
      </c>
      <c r="P205" s="88">
        <v>41117</v>
      </c>
    </row>
    <row r="206" spans="1:32" ht="12" customHeight="1">
      <c r="A206" s="25">
        <v>41109</v>
      </c>
      <c r="B206" s="225" t="s">
        <v>1989</v>
      </c>
      <c r="C206" s="219" t="s">
        <v>758</v>
      </c>
      <c r="D206" s="225" t="s">
        <v>811</v>
      </c>
      <c r="E206" s="196">
        <v>4690</v>
      </c>
      <c r="F206" s="119">
        <v>1</v>
      </c>
      <c r="G206" s="26" t="s">
        <v>698</v>
      </c>
      <c r="H206" s="31">
        <v>212.43</v>
      </c>
      <c r="I206" s="27">
        <f t="shared" si="6"/>
        <v>212.43</v>
      </c>
      <c r="J206" s="28" t="s">
        <v>114</v>
      </c>
      <c r="K206" s="25">
        <v>41109</v>
      </c>
      <c r="L206" s="25">
        <v>41117</v>
      </c>
      <c r="M206" s="29" t="s">
        <v>699</v>
      </c>
      <c r="N206" s="28" t="s">
        <v>850</v>
      </c>
      <c r="O206" s="32">
        <v>29214.74</v>
      </c>
      <c r="P206" s="88">
        <v>41117</v>
      </c>
    </row>
    <row r="207" spans="1:32" ht="12" customHeight="1">
      <c r="A207" s="25">
        <v>41109</v>
      </c>
      <c r="B207" s="225" t="s">
        <v>1994</v>
      </c>
      <c r="C207" s="219" t="s">
        <v>758</v>
      </c>
      <c r="D207" s="1" t="s">
        <v>1880</v>
      </c>
      <c r="E207" s="196">
        <v>6006</v>
      </c>
      <c r="F207" s="119">
        <v>74</v>
      </c>
      <c r="G207" s="26" t="s">
        <v>686</v>
      </c>
      <c r="H207" s="31">
        <v>49.8</v>
      </c>
      <c r="I207" s="27">
        <f>49.8*F207</f>
        <v>3685.2</v>
      </c>
      <c r="J207" s="28" t="s">
        <v>107</v>
      </c>
      <c r="K207" s="25">
        <v>41109</v>
      </c>
      <c r="L207" s="25">
        <v>41109</v>
      </c>
      <c r="M207" s="29" t="s">
        <v>699</v>
      </c>
      <c r="N207" s="28" t="s">
        <v>815</v>
      </c>
      <c r="O207" s="32">
        <v>12098.2</v>
      </c>
      <c r="P207" s="56">
        <v>41109</v>
      </c>
    </row>
    <row r="208" spans="1:32" ht="12" customHeight="1">
      <c r="A208" s="25">
        <v>41109</v>
      </c>
      <c r="B208" s="225" t="s">
        <v>1994</v>
      </c>
      <c r="C208" s="219" t="s">
        <v>758</v>
      </c>
      <c r="D208" s="1" t="s">
        <v>1216</v>
      </c>
      <c r="E208" s="196">
        <v>3200</v>
      </c>
      <c r="F208" s="119">
        <v>100</v>
      </c>
      <c r="G208" s="26" t="s">
        <v>686</v>
      </c>
      <c r="H208" s="31">
        <v>26.55</v>
      </c>
      <c r="I208" s="27">
        <f>26.55*F208</f>
        <v>2655</v>
      </c>
      <c r="J208" s="28" t="s">
        <v>107</v>
      </c>
      <c r="K208" s="25">
        <v>41109</v>
      </c>
      <c r="L208" s="25">
        <v>41109</v>
      </c>
      <c r="M208" s="29" t="s">
        <v>699</v>
      </c>
      <c r="N208" s="28" t="s">
        <v>815</v>
      </c>
      <c r="O208" s="32">
        <v>12099.2</v>
      </c>
      <c r="P208" s="56">
        <v>41109</v>
      </c>
    </row>
    <row r="209" spans="1:32" ht="12" customHeight="1">
      <c r="A209" s="25">
        <v>41109</v>
      </c>
      <c r="B209" s="225" t="s">
        <v>1994</v>
      </c>
      <c r="C209" s="219" t="s">
        <v>758</v>
      </c>
      <c r="D209" s="225" t="s">
        <v>264</v>
      </c>
      <c r="E209" s="196" t="s">
        <v>283</v>
      </c>
      <c r="F209" s="119">
        <v>100</v>
      </c>
      <c r="G209" s="26" t="s">
        <v>686</v>
      </c>
      <c r="H209" s="31">
        <v>1.88</v>
      </c>
      <c r="I209" s="27">
        <f>1.88*F209</f>
        <v>188</v>
      </c>
      <c r="J209" s="28" t="s">
        <v>107</v>
      </c>
      <c r="K209" s="25">
        <v>41109</v>
      </c>
      <c r="L209" s="25">
        <v>41109</v>
      </c>
      <c r="M209" s="29" t="s">
        <v>699</v>
      </c>
      <c r="N209" s="28" t="s">
        <v>815</v>
      </c>
      <c r="O209" s="32">
        <v>12100.2</v>
      </c>
      <c r="P209" s="56">
        <v>41109</v>
      </c>
      <c r="R209" s="49"/>
      <c r="S209" s="49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</row>
    <row r="210" spans="1:32" ht="12" customHeight="1">
      <c r="A210" s="25">
        <v>41109</v>
      </c>
      <c r="B210" s="225" t="s">
        <v>1994</v>
      </c>
      <c r="C210" s="219" t="s">
        <v>758</v>
      </c>
      <c r="D210" s="5" t="s">
        <v>1227</v>
      </c>
      <c r="E210" s="196" t="s">
        <v>115</v>
      </c>
      <c r="F210" s="119">
        <v>100</v>
      </c>
      <c r="G210" s="26" t="s">
        <v>686</v>
      </c>
      <c r="H210" s="31">
        <v>37</v>
      </c>
      <c r="I210" s="27">
        <f>37*F210</f>
        <v>3700</v>
      </c>
      <c r="J210" s="28" t="s">
        <v>107</v>
      </c>
      <c r="K210" s="25">
        <v>41109</v>
      </c>
      <c r="L210" s="25">
        <v>41109</v>
      </c>
      <c r="M210" s="29" t="s">
        <v>699</v>
      </c>
      <c r="N210" s="28" t="s">
        <v>815</v>
      </c>
      <c r="O210" s="32">
        <v>12101.2</v>
      </c>
      <c r="P210" s="56">
        <v>41109</v>
      </c>
      <c r="R210" s="49"/>
      <c r="S210" s="49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</row>
    <row r="211" spans="1:32" ht="12" customHeight="1">
      <c r="A211" s="25">
        <v>41109</v>
      </c>
      <c r="B211" s="225" t="s">
        <v>1994</v>
      </c>
      <c r="C211" s="219" t="s">
        <v>758</v>
      </c>
      <c r="D211" s="225" t="s">
        <v>269</v>
      </c>
      <c r="E211" s="196" t="s">
        <v>270</v>
      </c>
      <c r="F211" s="119">
        <v>100</v>
      </c>
      <c r="G211" s="26" t="s">
        <v>691</v>
      </c>
      <c r="H211" s="31">
        <v>1.4</v>
      </c>
      <c r="I211" s="27">
        <f>1.4*F211</f>
        <v>140</v>
      </c>
      <c r="J211" s="28" t="s">
        <v>107</v>
      </c>
      <c r="K211" s="25">
        <v>41109</v>
      </c>
      <c r="L211" s="25">
        <v>41109</v>
      </c>
      <c r="M211" s="29" t="s">
        <v>699</v>
      </c>
      <c r="N211" s="28" t="s">
        <v>815</v>
      </c>
      <c r="O211" s="32">
        <v>12102.2</v>
      </c>
      <c r="P211" s="56">
        <v>41109</v>
      </c>
      <c r="R211" s="49"/>
      <c r="S211" s="49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</row>
    <row r="212" spans="1:32" ht="12" customHeight="1">
      <c r="A212" s="25">
        <v>41109</v>
      </c>
      <c r="B212" s="225" t="s">
        <v>1994</v>
      </c>
      <c r="C212" s="219" t="s">
        <v>758</v>
      </c>
      <c r="D212" s="225" t="s">
        <v>233</v>
      </c>
      <c r="E212" s="196" t="s">
        <v>824</v>
      </c>
      <c r="F212" s="205">
        <v>1000</v>
      </c>
      <c r="G212" s="26" t="s">
        <v>691</v>
      </c>
      <c r="H212" s="31">
        <v>1.73</v>
      </c>
      <c r="I212" s="27">
        <f t="shared" ref="I212:I243" si="7">H212*F212</f>
        <v>1730</v>
      </c>
      <c r="J212" s="28" t="s">
        <v>107</v>
      </c>
      <c r="K212" s="25">
        <v>41109</v>
      </c>
      <c r="L212" s="25">
        <v>41109</v>
      </c>
      <c r="M212" s="29" t="s">
        <v>699</v>
      </c>
      <c r="N212" s="28" t="s">
        <v>815</v>
      </c>
      <c r="O212" s="32">
        <v>12103.2</v>
      </c>
      <c r="P212" s="56">
        <v>41109</v>
      </c>
      <c r="R212" s="49"/>
      <c r="S212" s="49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</row>
    <row r="213" spans="1:32" ht="12" customHeight="1">
      <c r="A213" s="25">
        <v>41110</v>
      </c>
      <c r="B213" s="225" t="s">
        <v>1993</v>
      </c>
      <c r="C213" s="219" t="s">
        <v>758</v>
      </c>
      <c r="D213" s="225" t="s">
        <v>348</v>
      </c>
      <c r="E213" s="196">
        <v>3700</v>
      </c>
      <c r="F213" s="119">
        <v>50</v>
      </c>
      <c r="G213" s="26" t="s">
        <v>686</v>
      </c>
      <c r="H213" s="31">
        <v>3.6</v>
      </c>
      <c r="I213" s="27">
        <f t="shared" si="7"/>
        <v>180</v>
      </c>
      <c r="J213" s="28" t="s">
        <v>116</v>
      </c>
      <c r="K213" s="25">
        <v>41110</v>
      </c>
      <c r="L213" s="56">
        <v>41130</v>
      </c>
      <c r="M213" s="29" t="s">
        <v>167</v>
      </c>
      <c r="N213" s="28" t="s">
        <v>14</v>
      </c>
      <c r="O213" s="32">
        <v>9590</v>
      </c>
      <c r="P213" s="56">
        <v>41130</v>
      </c>
      <c r="R213" s="49"/>
      <c r="S213" s="49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</row>
    <row r="214" spans="1:32" ht="12" customHeight="1">
      <c r="A214" s="25">
        <v>41110</v>
      </c>
      <c r="B214" s="225" t="s">
        <v>1989</v>
      </c>
      <c r="C214" s="219" t="s">
        <v>758</v>
      </c>
      <c r="D214" s="225" t="s">
        <v>1878</v>
      </c>
      <c r="E214" s="196" t="s">
        <v>246</v>
      </c>
      <c r="F214" s="119">
        <v>1000</v>
      </c>
      <c r="G214" s="198" t="s">
        <v>230</v>
      </c>
      <c r="H214" s="31">
        <v>1.55</v>
      </c>
      <c r="I214" s="27">
        <f t="shared" si="7"/>
        <v>1550</v>
      </c>
      <c r="J214" s="28" t="s">
        <v>817</v>
      </c>
      <c r="K214" s="25">
        <v>41110</v>
      </c>
      <c r="L214" s="25">
        <v>41117</v>
      </c>
      <c r="M214" s="29" t="s">
        <v>699</v>
      </c>
      <c r="N214" s="28" t="s">
        <v>850</v>
      </c>
      <c r="O214" s="32">
        <v>29214.74</v>
      </c>
      <c r="P214" s="88">
        <v>41117</v>
      </c>
      <c r="R214" s="49"/>
      <c r="S214" s="49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</row>
    <row r="215" spans="1:32" ht="12" customHeight="1">
      <c r="A215" s="25">
        <v>41110</v>
      </c>
      <c r="B215" s="225" t="s">
        <v>1989</v>
      </c>
      <c r="C215" s="219" t="s">
        <v>758</v>
      </c>
      <c r="D215" s="225" t="s">
        <v>309</v>
      </c>
      <c r="E215" s="196">
        <v>1110</v>
      </c>
      <c r="F215" s="119">
        <v>150</v>
      </c>
      <c r="G215" s="26" t="s">
        <v>692</v>
      </c>
      <c r="H215" s="31">
        <v>0.77</v>
      </c>
      <c r="I215" s="27">
        <f t="shared" si="7"/>
        <v>115.5</v>
      </c>
      <c r="J215" s="28" t="s">
        <v>817</v>
      </c>
      <c r="K215" s="25">
        <v>41110</v>
      </c>
      <c r="L215" s="25">
        <v>41117</v>
      </c>
      <c r="M215" s="29" t="s">
        <v>699</v>
      </c>
      <c r="N215" s="28" t="s">
        <v>850</v>
      </c>
      <c r="O215" s="32">
        <v>29214.74</v>
      </c>
      <c r="P215" s="88">
        <v>41117</v>
      </c>
      <c r="R215" s="49"/>
      <c r="S215" s="49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</row>
    <row r="216" spans="1:32" ht="12" customHeight="1">
      <c r="A216" s="25">
        <v>41110</v>
      </c>
      <c r="B216" s="225" t="s">
        <v>1989</v>
      </c>
      <c r="C216" s="219" t="s">
        <v>758</v>
      </c>
      <c r="D216" s="1" t="s">
        <v>1216</v>
      </c>
      <c r="E216" s="196">
        <v>3200</v>
      </c>
      <c r="F216" s="119">
        <v>50</v>
      </c>
      <c r="G216" s="26" t="s">
        <v>686</v>
      </c>
      <c r="H216" s="31">
        <v>28.3</v>
      </c>
      <c r="I216" s="27">
        <f t="shared" si="7"/>
        <v>1415</v>
      </c>
      <c r="J216" s="28" t="s">
        <v>817</v>
      </c>
      <c r="K216" s="25">
        <v>41110</v>
      </c>
      <c r="L216" s="25">
        <v>41117</v>
      </c>
      <c r="M216" s="29" t="s">
        <v>699</v>
      </c>
      <c r="N216" s="28" t="s">
        <v>850</v>
      </c>
      <c r="O216" s="32">
        <v>29214.74</v>
      </c>
      <c r="P216" s="88">
        <v>41117</v>
      </c>
      <c r="R216" s="49"/>
      <c r="S216" s="49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</row>
    <row r="217" spans="1:32" ht="12" customHeight="1">
      <c r="A217" s="25">
        <v>41111</v>
      </c>
      <c r="B217" s="225" t="s">
        <v>1989</v>
      </c>
      <c r="C217" s="219" t="s">
        <v>758</v>
      </c>
      <c r="D217" s="1" t="s">
        <v>1216</v>
      </c>
      <c r="E217" s="196">
        <v>3200</v>
      </c>
      <c r="F217" s="119">
        <v>10</v>
      </c>
      <c r="G217" s="26" t="s">
        <v>686</v>
      </c>
      <c r="H217" s="31">
        <v>28.3</v>
      </c>
      <c r="I217" s="27">
        <f t="shared" si="7"/>
        <v>283</v>
      </c>
      <c r="J217" s="28" t="s">
        <v>117</v>
      </c>
      <c r="K217" s="25">
        <v>41111</v>
      </c>
      <c r="L217" s="25">
        <v>41117</v>
      </c>
      <c r="M217" s="29" t="s">
        <v>699</v>
      </c>
      <c r="N217" s="28" t="s">
        <v>850</v>
      </c>
      <c r="O217" s="32">
        <v>29214.74</v>
      </c>
      <c r="P217" s="88">
        <v>41117</v>
      </c>
      <c r="R217" s="49"/>
      <c r="S217" s="49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</row>
    <row r="218" spans="1:32" ht="12" customHeight="1">
      <c r="A218" s="25">
        <v>41111</v>
      </c>
      <c r="B218" s="225" t="s">
        <v>1989</v>
      </c>
      <c r="C218" s="219" t="s">
        <v>758</v>
      </c>
      <c r="D218" s="225" t="s">
        <v>269</v>
      </c>
      <c r="E218" s="196" t="s">
        <v>270</v>
      </c>
      <c r="F218" s="119">
        <v>200</v>
      </c>
      <c r="G218" s="26" t="s">
        <v>232</v>
      </c>
      <c r="H218" s="31">
        <v>1.42</v>
      </c>
      <c r="I218" s="27">
        <f t="shared" si="7"/>
        <v>284</v>
      </c>
      <c r="J218" s="28" t="s">
        <v>117</v>
      </c>
      <c r="K218" s="25">
        <v>41111</v>
      </c>
      <c r="L218" s="25">
        <v>41117</v>
      </c>
      <c r="M218" s="29" t="s">
        <v>699</v>
      </c>
      <c r="N218" s="28" t="s">
        <v>850</v>
      </c>
      <c r="O218" s="32">
        <v>29214.74</v>
      </c>
      <c r="P218" s="88">
        <v>41117</v>
      </c>
      <c r="R218" s="49"/>
      <c r="S218" s="49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</row>
    <row r="219" spans="1:32" ht="12" customHeight="1">
      <c r="A219" s="25">
        <v>41113</v>
      </c>
      <c r="B219" s="225" t="s">
        <v>1989</v>
      </c>
      <c r="C219" s="219" t="s">
        <v>758</v>
      </c>
      <c r="D219" s="225" t="s">
        <v>307</v>
      </c>
      <c r="E219" s="196">
        <v>1270</v>
      </c>
      <c r="F219" s="119">
        <v>100</v>
      </c>
      <c r="G219" s="190" t="s">
        <v>240</v>
      </c>
      <c r="H219" s="31">
        <v>4.3099999999999996</v>
      </c>
      <c r="I219" s="27">
        <f t="shared" si="7"/>
        <v>430.99999999999994</v>
      </c>
      <c r="J219" s="28" t="s">
        <v>816</v>
      </c>
      <c r="K219" s="25">
        <v>41113</v>
      </c>
      <c r="L219" s="25">
        <v>41117</v>
      </c>
      <c r="M219" s="29" t="s">
        <v>699</v>
      </c>
      <c r="N219" s="28" t="s">
        <v>850</v>
      </c>
      <c r="O219" s="32">
        <v>29214.74</v>
      </c>
      <c r="P219" s="88">
        <v>41117</v>
      </c>
      <c r="R219" s="49"/>
      <c r="S219" s="49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</row>
    <row r="220" spans="1:32" ht="12" customHeight="1">
      <c r="A220" s="25">
        <v>41113</v>
      </c>
      <c r="B220" s="225" t="s">
        <v>1989</v>
      </c>
      <c r="C220" s="219" t="s">
        <v>758</v>
      </c>
      <c r="D220" s="225" t="s">
        <v>322</v>
      </c>
      <c r="E220" s="196">
        <v>8511</v>
      </c>
      <c r="F220" s="119">
        <v>50</v>
      </c>
      <c r="G220" s="26" t="s">
        <v>686</v>
      </c>
      <c r="H220" s="31">
        <v>8.5500000000000007</v>
      </c>
      <c r="I220" s="27">
        <f t="shared" si="7"/>
        <v>427.50000000000006</v>
      </c>
      <c r="J220" s="28" t="s">
        <v>818</v>
      </c>
      <c r="K220" s="25">
        <v>41113</v>
      </c>
      <c r="L220" s="25">
        <v>41116</v>
      </c>
      <c r="M220" s="29" t="s">
        <v>690</v>
      </c>
      <c r="N220" s="26" t="s">
        <v>715</v>
      </c>
      <c r="P220" s="88"/>
      <c r="R220" s="49"/>
      <c r="S220" s="49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</row>
    <row r="221" spans="1:32" ht="12" customHeight="1">
      <c r="A221" s="25">
        <v>41113</v>
      </c>
      <c r="B221" s="225" t="s">
        <v>1994</v>
      </c>
      <c r="C221" s="219" t="s">
        <v>758</v>
      </c>
      <c r="D221" s="225" t="s">
        <v>1894</v>
      </c>
      <c r="E221" s="196">
        <v>8511</v>
      </c>
      <c r="F221" s="119">
        <v>40</v>
      </c>
      <c r="G221" s="26" t="s">
        <v>686</v>
      </c>
      <c r="H221" s="31">
        <v>8.0500000000000007</v>
      </c>
      <c r="I221" s="27">
        <f t="shared" si="7"/>
        <v>322</v>
      </c>
      <c r="J221" s="28" t="s">
        <v>819</v>
      </c>
      <c r="K221" s="25">
        <v>41113</v>
      </c>
      <c r="L221" s="25">
        <v>41113</v>
      </c>
      <c r="M221" s="29" t="s">
        <v>690</v>
      </c>
      <c r="N221" s="26" t="s">
        <v>715</v>
      </c>
      <c r="R221" s="49"/>
      <c r="S221" s="49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</row>
    <row r="222" spans="1:32" ht="12" customHeight="1">
      <c r="A222" s="25">
        <v>41113</v>
      </c>
      <c r="B222" s="225" t="s">
        <v>1994</v>
      </c>
      <c r="C222" s="219" t="s">
        <v>758</v>
      </c>
      <c r="D222" s="1" t="s">
        <v>1880</v>
      </c>
      <c r="E222" s="196">
        <v>6006</v>
      </c>
      <c r="F222" s="119">
        <v>276</v>
      </c>
      <c r="G222" s="26" t="s">
        <v>686</v>
      </c>
      <c r="H222" s="31">
        <v>49.5</v>
      </c>
      <c r="I222" s="27">
        <f t="shared" si="7"/>
        <v>13662</v>
      </c>
      <c r="J222" s="28" t="s">
        <v>825</v>
      </c>
      <c r="K222" s="25">
        <v>41116</v>
      </c>
      <c r="L222" s="25">
        <v>41115</v>
      </c>
      <c r="M222" s="29" t="s">
        <v>699</v>
      </c>
      <c r="N222" s="28" t="s">
        <v>826</v>
      </c>
      <c r="O222" s="32">
        <v>30365.8</v>
      </c>
      <c r="P222" s="56">
        <v>41116</v>
      </c>
      <c r="R222" s="49"/>
      <c r="S222" s="49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</row>
    <row r="223" spans="1:32" ht="12" customHeight="1">
      <c r="A223" s="25">
        <v>41113</v>
      </c>
      <c r="B223" s="225" t="s">
        <v>1994</v>
      </c>
      <c r="C223" s="219" t="s">
        <v>758</v>
      </c>
      <c r="D223" s="225" t="s">
        <v>1883</v>
      </c>
      <c r="E223" s="196">
        <v>8210</v>
      </c>
      <c r="F223" s="119">
        <v>960</v>
      </c>
      <c r="G223" s="26" t="s">
        <v>686</v>
      </c>
      <c r="H223" s="31">
        <v>3.78</v>
      </c>
      <c r="I223" s="27">
        <f t="shared" si="7"/>
        <v>3628.7999999999997</v>
      </c>
      <c r="J223" s="28" t="s">
        <v>825</v>
      </c>
      <c r="K223" s="25">
        <v>41116</v>
      </c>
      <c r="L223" s="25">
        <v>41115</v>
      </c>
      <c r="M223" s="29" t="s">
        <v>699</v>
      </c>
      <c r="N223" s="28" t="s">
        <v>826</v>
      </c>
      <c r="O223" s="32">
        <v>30365.8</v>
      </c>
      <c r="P223" s="56">
        <v>41116</v>
      </c>
      <c r="R223" s="49"/>
      <c r="S223" s="49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</row>
    <row r="224" spans="1:32" ht="12" customHeight="1">
      <c r="A224" s="25">
        <v>41113</v>
      </c>
      <c r="B224" s="225" t="s">
        <v>1994</v>
      </c>
      <c r="C224" s="219" t="s">
        <v>758</v>
      </c>
      <c r="D224" s="225" t="s">
        <v>352</v>
      </c>
      <c r="E224" s="196">
        <v>7502</v>
      </c>
      <c r="F224" s="119">
        <v>30</v>
      </c>
      <c r="G224" s="26" t="s">
        <v>686</v>
      </c>
      <c r="H224" s="31">
        <v>106</v>
      </c>
      <c r="I224" s="27">
        <f t="shared" si="7"/>
        <v>3180</v>
      </c>
      <c r="J224" s="28" t="s">
        <v>825</v>
      </c>
      <c r="K224" s="25">
        <v>41116</v>
      </c>
      <c r="L224" s="25">
        <v>41115</v>
      </c>
      <c r="M224" s="29" t="s">
        <v>699</v>
      </c>
      <c r="N224" s="28" t="s">
        <v>826</v>
      </c>
      <c r="O224" s="32">
        <v>30365.8</v>
      </c>
      <c r="P224" s="56">
        <v>41116</v>
      </c>
      <c r="R224" s="49"/>
      <c r="S224" s="49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</row>
    <row r="225" spans="1:32" ht="12" customHeight="1">
      <c r="A225" s="25">
        <v>41113</v>
      </c>
      <c r="B225" s="225" t="s">
        <v>1994</v>
      </c>
      <c r="C225" s="219" t="s">
        <v>758</v>
      </c>
      <c r="D225" s="225" t="s">
        <v>1878</v>
      </c>
      <c r="E225" s="196" t="s">
        <v>782</v>
      </c>
      <c r="F225" s="119">
        <v>5000</v>
      </c>
      <c r="G225" s="198" t="s">
        <v>230</v>
      </c>
      <c r="H225" s="31">
        <v>1.46</v>
      </c>
      <c r="I225" s="27">
        <f t="shared" si="7"/>
        <v>7300</v>
      </c>
      <c r="J225" s="28" t="s">
        <v>825</v>
      </c>
      <c r="K225" s="25">
        <v>41116</v>
      </c>
      <c r="L225" s="25">
        <v>41115</v>
      </c>
      <c r="M225" s="29" t="s">
        <v>699</v>
      </c>
      <c r="N225" s="28" t="s">
        <v>826</v>
      </c>
      <c r="O225" s="32">
        <v>30365.8</v>
      </c>
      <c r="P225" s="56">
        <v>41116</v>
      </c>
      <c r="R225" s="49"/>
      <c r="S225" s="49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</row>
    <row r="226" spans="1:32" ht="12" customHeight="1">
      <c r="A226" s="25">
        <v>41113</v>
      </c>
      <c r="B226" s="225" t="s">
        <v>1994</v>
      </c>
      <c r="C226" s="219" t="s">
        <v>758</v>
      </c>
      <c r="D226" s="225" t="s">
        <v>233</v>
      </c>
      <c r="E226" s="196" t="s">
        <v>824</v>
      </c>
      <c r="F226" s="205">
        <v>1500</v>
      </c>
      <c r="G226" s="26" t="s">
        <v>686</v>
      </c>
      <c r="H226" s="31">
        <v>1.73</v>
      </c>
      <c r="I226" s="27">
        <f t="shared" si="7"/>
        <v>2595</v>
      </c>
      <c r="J226" s="28" t="s">
        <v>825</v>
      </c>
      <c r="K226" s="25">
        <v>41116</v>
      </c>
      <c r="L226" s="25">
        <v>41115</v>
      </c>
      <c r="M226" s="29" t="s">
        <v>699</v>
      </c>
      <c r="N226" s="28" t="s">
        <v>826</v>
      </c>
      <c r="O226" s="32">
        <v>30365.8</v>
      </c>
      <c r="P226" s="56">
        <v>41116</v>
      </c>
      <c r="R226" s="49"/>
      <c r="S226" s="49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</row>
    <row r="227" spans="1:32" ht="12" customHeight="1">
      <c r="A227" s="25">
        <v>41114</v>
      </c>
      <c r="B227" s="225" t="s">
        <v>1995</v>
      </c>
      <c r="C227" s="219" t="s">
        <v>758</v>
      </c>
      <c r="D227" s="225" t="s">
        <v>1773</v>
      </c>
      <c r="E227" s="196">
        <v>8514</v>
      </c>
      <c r="F227" s="119">
        <v>34</v>
      </c>
      <c r="G227" s="26" t="s">
        <v>686</v>
      </c>
      <c r="H227" s="31">
        <v>61.6</v>
      </c>
      <c r="I227" s="27">
        <f t="shared" si="7"/>
        <v>2094.4</v>
      </c>
      <c r="J227" s="28" t="s">
        <v>827</v>
      </c>
      <c r="K227" s="25">
        <v>41116</v>
      </c>
      <c r="L227" s="25">
        <v>41114</v>
      </c>
      <c r="M227" s="29" t="s">
        <v>699</v>
      </c>
      <c r="N227" s="28" t="s">
        <v>1</v>
      </c>
      <c r="O227" s="32">
        <v>2094.4</v>
      </c>
      <c r="P227" s="56">
        <v>41127</v>
      </c>
      <c r="R227" s="49"/>
      <c r="S227" s="49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</row>
    <row r="228" spans="1:32" ht="12" customHeight="1">
      <c r="A228" s="25">
        <v>41115</v>
      </c>
      <c r="B228" s="225" t="s">
        <v>1989</v>
      </c>
      <c r="C228" s="219" t="s">
        <v>758</v>
      </c>
      <c r="D228" s="1" t="s">
        <v>1216</v>
      </c>
      <c r="E228" s="196">
        <v>3200</v>
      </c>
      <c r="F228" s="119">
        <v>20</v>
      </c>
      <c r="G228" s="26" t="s">
        <v>686</v>
      </c>
      <c r="H228" s="31">
        <v>28.3</v>
      </c>
      <c r="I228" s="27">
        <f t="shared" si="7"/>
        <v>566</v>
      </c>
      <c r="J228" s="28" t="s">
        <v>821</v>
      </c>
      <c r="K228" s="25">
        <v>41115</v>
      </c>
      <c r="L228" s="25">
        <v>41117</v>
      </c>
      <c r="M228" s="29" t="s">
        <v>699</v>
      </c>
      <c r="N228" s="28" t="s">
        <v>850</v>
      </c>
      <c r="O228" s="32">
        <v>29214.74</v>
      </c>
      <c r="P228" s="88">
        <v>41117</v>
      </c>
      <c r="R228" s="49"/>
      <c r="S228" s="49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</row>
    <row r="229" spans="1:32" ht="12" customHeight="1">
      <c r="A229" s="25">
        <v>41115</v>
      </c>
      <c r="B229" s="225" t="s">
        <v>1989</v>
      </c>
      <c r="C229" s="219" t="s">
        <v>758</v>
      </c>
      <c r="D229" s="225" t="s">
        <v>348</v>
      </c>
      <c r="E229" s="196">
        <v>3700</v>
      </c>
      <c r="F229" s="119">
        <v>20</v>
      </c>
      <c r="G229" s="26" t="s">
        <v>686</v>
      </c>
      <c r="H229" s="31">
        <v>3.64</v>
      </c>
      <c r="I229" s="27">
        <f t="shared" si="7"/>
        <v>72.8</v>
      </c>
      <c r="J229" s="28" t="s">
        <v>821</v>
      </c>
      <c r="K229" s="25">
        <v>41115</v>
      </c>
      <c r="L229" s="25">
        <v>41117</v>
      </c>
      <c r="M229" s="29" t="s">
        <v>699</v>
      </c>
      <c r="N229" s="28" t="s">
        <v>850</v>
      </c>
      <c r="O229" s="32">
        <v>29214.74</v>
      </c>
      <c r="P229" s="88">
        <v>41117</v>
      </c>
      <c r="R229" s="49"/>
      <c r="S229" s="49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</row>
    <row r="230" spans="1:32" ht="12" customHeight="1">
      <c r="A230" s="25">
        <v>41115</v>
      </c>
      <c r="B230" s="225" t="s">
        <v>1993</v>
      </c>
      <c r="C230" s="219" t="s">
        <v>758</v>
      </c>
      <c r="D230" s="1" t="s">
        <v>1880</v>
      </c>
      <c r="E230" s="196">
        <v>6006</v>
      </c>
      <c r="F230" s="119">
        <v>4</v>
      </c>
      <c r="G230" s="26" t="s">
        <v>686</v>
      </c>
      <c r="H230" s="31">
        <v>50</v>
      </c>
      <c r="I230" s="27">
        <f t="shared" si="7"/>
        <v>200</v>
      </c>
      <c r="J230" s="28" t="s">
        <v>823</v>
      </c>
      <c r="K230" s="25">
        <v>41116</v>
      </c>
      <c r="L230" s="56">
        <v>41130</v>
      </c>
      <c r="M230" s="29" t="s">
        <v>167</v>
      </c>
      <c r="N230" s="28" t="s">
        <v>14</v>
      </c>
      <c r="O230" s="32">
        <v>9590</v>
      </c>
      <c r="P230" s="56">
        <v>41130</v>
      </c>
      <c r="R230" s="49"/>
      <c r="S230" s="49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</row>
    <row r="231" spans="1:32" ht="12" customHeight="1">
      <c r="A231" s="25">
        <v>41116</v>
      </c>
      <c r="B231" s="225" t="s">
        <v>1993</v>
      </c>
      <c r="C231" s="219" t="s">
        <v>758</v>
      </c>
      <c r="D231" s="1" t="s">
        <v>1216</v>
      </c>
      <c r="E231" s="196">
        <v>3200</v>
      </c>
      <c r="F231" s="119">
        <v>80</v>
      </c>
      <c r="G231" s="26" t="s">
        <v>686</v>
      </c>
      <c r="H231" s="31">
        <v>26</v>
      </c>
      <c r="I231" s="27">
        <f t="shared" si="7"/>
        <v>2080</v>
      </c>
      <c r="J231" s="28" t="s">
        <v>829</v>
      </c>
      <c r="K231" s="25">
        <v>41117</v>
      </c>
      <c r="L231" s="56">
        <v>41130</v>
      </c>
      <c r="M231" s="29" t="s">
        <v>167</v>
      </c>
      <c r="N231" s="28" t="s">
        <v>14</v>
      </c>
      <c r="O231" s="32">
        <v>9590</v>
      </c>
      <c r="P231" s="56">
        <v>41130</v>
      </c>
      <c r="R231" s="49"/>
      <c r="S231" s="49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</row>
    <row r="232" spans="1:32" ht="12" customHeight="1">
      <c r="A232" s="25">
        <v>41116</v>
      </c>
      <c r="B232" s="225" t="s">
        <v>1993</v>
      </c>
      <c r="C232" s="219" t="s">
        <v>758</v>
      </c>
      <c r="D232" s="225" t="s">
        <v>348</v>
      </c>
      <c r="E232" s="196">
        <v>3700</v>
      </c>
      <c r="F232" s="119">
        <v>100</v>
      </c>
      <c r="G232" s="26" t="s">
        <v>686</v>
      </c>
      <c r="H232" s="31">
        <v>3.3</v>
      </c>
      <c r="I232" s="27">
        <f t="shared" si="7"/>
        <v>330</v>
      </c>
      <c r="J232" s="28" t="s">
        <v>829</v>
      </c>
      <c r="K232" s="25">
        <v>41117</v>
      </c>
      <c r="L232" s="56">
        <v>41130</v>
      </c>
      <c r="M232" s="29" t="s">
        <v>167</v>
      </c>
      <c r="N232" s="28" t="s">
        <v>14</v>
      </c>
      <c r="O232" s="32">
        <v>9590</v>
      </c>
      <c r="P232" s="56">
        <v>41130</v>
      </c>
      <c r="R232" s="49"/>
      <c r="S232" s="49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</row>
    <row r="233" spans="1:32" ht="12" customHeight="1">
      <c r="A233" s="25">
        <v>41116</v>
      </c>
      <c r="B233" s="225" t="s">
        <v>1993</v>
      </c>
      <c r="C233" s="219" t="s">
        <v>758</v>
      </c>
      <c r="D233" s="225" t="s">
        <v>233</v>
      </c>
      <c r="E233" s="196" t="s">
        <v>824</v>
      </c>
      <c r="F233" s="205">
        <v>1000</v>
      </c>
      <c r="G233" s="26" t="s">
        <v>686</v>
      </c>
      <c r="H233" s="31">
        <v>1.7</v>
      </c>
      <c r="I233" s="27">
        <f t="shared" si="7"/>
        <v>1700</v>
      </c>
      <c r="J233" s="28" t="s">
        <v>829</v>
      </c>
      <c r="K233" s="25">
        <v>41117</v>
      </c>
      <c r="L233" s="56">
        <v>41130</v>
      </c>
      <c r="M233" s="29" t="s">
        <v>167</v>
      </c>
      <c r="N233" s="28" t="s">
        <v>14</v>
      </c>
      <c r="O233" s="32">
        <v>9590</v>
      </c>
      <c r="P233" s="56">
        <v>41130</v>
      </c>
      <c r="R233" s="49"/>
      <c r="S233" s="49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</row>
    <row r="234" spans="1:32" ht="12" customHeight="1">
      <c r="A234" s="25">
        <v>41116</v>
      </c>
      <c r="B234" s="225" t="s">
        <v>1994</v>
      </c>
      <c r="C234" s="219" t="s">
        <v>758</v>
      </c>
      <c r="D234" s="225" t="s">
        <v>1895</v>
      </c>
      <c r="E234" s="196" t="s">
        <v>243</v>
      </c>
      <c r="F234" s="119">
        <v>180</v>
      </c>
      <c r="G234" s="26" t="s">
        <v>230</v>
      </c>
      <c r="H234" s="31">
        <v>17.5</v>
      </c>
      <c r="I234" s="27">
        <f t="shared" si="7"/>
        <v>3150</v>
      </c>
      <c r="J234" s="28" t="s">
        <v>707</v>
      </c>
      <c r="K234" s="25">
        <v>41117</v>
      </c>
      <c r="L234" s="25">
        <v>41117</v>
      </c>
      <c r="M234" s="29" t="s">
        <v>699</v>
      </c>
      <c r="N234" s="28" t="s">
        <v>839</v>
      </c>
      <c r="O234" s="32">
        <v>9114.6</v>
      </c>
      <c r="P234" s="56">
        <v>41117</v>
      </c>
      <c r="R234" s="49"/>
      <c r="S234" s="49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</row>
    <row r="235" spans="1:32" ht="12" customHeight="1">
      <c r="A235" s="25">
        <v>41116</v>
      </c>
      <c r="B235" s="225" t="s">
        <v>1994</v>
      </c>
      <c r="C235" s="219" t="s">
        <v>758</v>
      </c>
      <c r="D235" s="225" t="s">
        <v>1887</v>
      </c>
      <c r="E235" s="196" t="s">
        <v>234</v>
      </c>
      <c r="F235" s="119">
        <v>300</v>
      </c>
      <c r="G235" s="194" t="s">
        <v>232</v>
      </c>
      <c r="H235" s="31">
        <v>5.05</v>
      </c>
      <c r="I235" s="27">
        <f t="shared" si="7"/>
        <v>1515</v>
      </c>
      <c r="J235" s="28" t="s">
        <v>707</v>
      </c>
      <c r="K235" s="25">
        <v>41117</v>
      </c>
      <c r="L235" s="25">
        <v>41117</v>
      </c>
      <c r="M235" s="29" t="s">
        <v>699</v>
      </c>
      <c r="N235" s="28" t="s">
        <v>839</v>
      </c>
      <c r="O235" s="32">
        <v>9114.6</v>
      </c>
      <c r="P235" s="56">
        <v>41117</v>
      </c>
      <c r="R235" s="49"/>
      <c r="S235" s="49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</row>
    <row r="236" spans="1:32" ht="12" customHeight="1">
      <c r="A236" s="25">
        <v>41116</v>
      </c>
      <c r="B236" s="225" t="s">
        <v>1994</v>
      </c>
      <c r="C236" s="219" t="s">
        <v>758</v>
      </c>
      <c r="D236" s="225" t="s">
        <v>812</v>
      </c>
      <c r="E236" s="196">
        <v>8511</v>
      </c>
      <c r="F236" s="119">
        <v>200</v>
      </c>
      <c r="G236" s="119" t="s">
        <v>230</v>
      </c>
      <c r="H236" s="31">
        <v>8.09</v>
      </c>
      <c r="I236" s="27">
        <f t="shared" si="7"/>
        <v>1618</v>
      </c>
      <c r="J236" s="28" t="s">
        <v>825</v>
      </c>
      <c r="K236" s="25">
        <v>41120</v>
      </c>
      <c r="L236" s="25">
        <v>41121</v>
      </c>
      <c r="M236" s="29" t="s">
        <v>690</v>
      </c>
      <c r="N236" s="119" t="s">
        <v>715</v>
      </c>
      <c r="O236" s="32">
        <v>72146</v>
      </c>
      <c r="P236" s="56">
        <v>41149</v>
      </c>
      <c r="Q236" s="120" t="s">
        <v>144</v>
      </c>
      <c r="R236" s="49"/>
      <c r="S236" s="49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</row>
    <row r="237" spans="1:32" ht="12" customHeight="1">
      <c r="A237" s="25">
        <v>41116</v>
      </c>
      <c r="B237" s="225" t="s">
        <v>1994</v>
      </c>
      <c r="C237" s="219" t="s">
        <v>758</v>
      </c>
      <c r="D237" s="225" t="s">
        <v>828</v>
      </c>
      <c r="E237" s="196" t="s">
        <v>327</v>
      </c>
      <c r="F237" s="119">
        <v>160</v>
      </c>
      <c r="G237" s="119" t="s">
        <v>691</v>
      </c>
      <c r="H237" s="31">
        <v>5.2</v>
      </c>
      <c r="I237" s="27">
        <f t="shared" si="7"/>
        <v>832</v>
      </c>
      <c r="J237" s="28" t="s">
        <v>825</v>
      </c>
      <c r="K237" s="25">
        <v>41120</v>
      </c>
      <c r="L237" s="25">
        <v>41121</v>
      </c>
      <c r="M237" s="29" t="s">
        <v>690</v>
      </c>
      <c r="N237" s="119" t="s">
        <v>715</v>
      </c>
      <c r="O237" s="32">
        <v>72146</v>
      </c>
      <c r="P237" s="56">
        <v>41149</v>
      </c>
      <c r="Q237" s="120" t="s">
        <v>144</v>
      </c>
      <c r="R237" s="49"/>
      <c r="S237" s="49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</row>
    <row r="238" spans="1:32" ht="12" customHeight="1">
      <c r="A238" s="25">
        <v>41117</v>
      </c>
      <c r="B238" s="225" t="s">
        <v>1994</v>
      </c>
      <c r="C238" s="219" t="s">
        <v>758</v>
      </c>
      <c r="D238" s="225" t="s">
        <v>1883</v>
      </c>
      <c r="E238" s="196">
        <v>8210</v>
      </c>
      <c r="F238" s="119">
        <v>320</v>
      </c>
      <c r="G238" s="26" t="s">
        <v>686</v>
      </c>
      <c r="H238" s="31">
        <v>3.78</v>
      </c>
      <c r="I238" s="27">
        <f t="shared" si="7"/>
        <v>1209.5999999999999</v>
      </c>
      <c r="J238" s="28" t="s">
        <v>168</v>
      </c>
      <c r="K238" s="25">
        <v>41117</v>
      </c>
      <c r="L238" s="25">
        <v>41117</v>
      </c>
      <c r="M238" s="29" t="s">
        <v>699</v>
      </c>
      <c r="N238" s="28" t="s">
        <v>25</v>
      </c>
      <c r="O238" s="32">
        <v>9114.6</v>
      </c>
      <c r="P238" s="56">
        <v>41117</v>
      </c>
      <c r="R238" s="49"/>
      <c r="S238" s="49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</row>
    <row r="239" spans="1:32" ht="12" customHeight="1">
      <c r="A239" s="25">
        <v>41117</v>
      </c>
      <c r="B239" s="225" t="s">
        <v>1994</v>
      </c>
      <c r="C239" s="219" t="s">
        <v>163</v>
      </c>
      <c r="D239" s="342" t="s">
        <v>241</v>
      </c>
      <c r="E239" s="196">
        <v>6200</v>
      </c>
      <c r="F239" s="124">
        <v>72</v>
      </c>
      <c r="G239" s="124" t="s">
        <v>171</v>
      </c>
      <c r="H239" s="31">
        <v>45</v>
      </c>
      <c r="I239" s="27">
        <f t="shared" si="7"/>
        <v>3240</v>
      </c>
      <c r="J239" s="28" t="s">
        <v>168</v>
      </c>
      <c r="K239" s="25">
        <v>41117</v>
      </c>
      <c r="L239" s="25">
        <v>41117</v>
      </c>
      <c r="M239" s="29" t="s">
        <v>167</v>
      </c>
      <c r="N239" s="28" t="s">
        <v>25</v>
      </c>
      <c r="O239" s="32">
        <v>9114.6</v>
      </c>
      <c r="P239" s="56">
        <v>41117</v>
      </c>
      <c r="Q239" s="124"/>
      <c r="R239" s="49"/>
      <c r="S239" s="49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</row>
    <row r="240" spans="1:32" ht="12" customHeight="1">
      <c r="A240" s="25">
        <v>41117</v>
      </c>
      <c r="B240" s="225" t="s">
        <v>1989</v>
      </c>
      <c r="C240" s="219" t="s">
        <v>758</v>
      </c>
      <c r="D240" s="225" t="s">
        <v>672</v>
      </c>
      <c r="E240" s="196" t="s">
        <v>1086</v>
      </c>
      <c r="F240" s="119">
        <v>250</v>
      </c>
      <c r="G240" s="328" t="s">
        <v>171</v>
      </c>
      <c r="H240" s="31">
        <v>4.08</v>
      </c>
      <c r="I240" s="27">
        <f t="shared" si="7"/>
        <v>1020</v>
      </c>
      <c r="J240" s="28" t="s">
        <v>841</v>
      </c>
      <c r="K240" s="25">
        <v>41117</v>
      </c>
      <c r="L240" s="25">
        <v>41138</v>
      </c>
      <c r="M240" s="29" t="s">
        <v>699</v>
      </c>
      <c r="N240" s="37" t="s">
        <v>142</v>
      </c>
      <c r="O240" s="32">
        <v>13200.78</v>
      </c>
      <c r="P240" s="56">
        <v>41149</v>
      </c>
      <c r="R240" s="49"/>
      <c r="S240" s="49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</row>
    <row r="241" spans="1:32" ht="12" customHeight="1">
      <c r="A241" s="25">
        <v>41117</v>
      </c>
      <c r="B241" s="225" t="s">
        <v>1992</v>
      </c>
      <c r="C241" s="219" t="s">
        <v>758</v>
      </c>
      <c r="D241" s="1" t="s">
        <v>1881</v>
      </c>
      <c r="E241" s="196">
        <v>10435</v>
      </c>
      <c r="F241" s="119">
        <v>60</v>
      </c>
      <c r="G241" s="26" t="s">
        <v>692</v>
      </c>
      <c r="H241" s="31">
        <v>15.84</v>
      </c>
      <c r="I241" s="27">
        <f t="shared" si="7"/>
        <v>950.4</v>
      </c>
      <c r="J241" s="28" t="s">
        <v>707</v>
      </c>
      <c r="K241" s="25" t="s">
        <v>5500</v>
      </c>
      <c r="L241" s="25">
        <v>41117</v>
      </c>
      <c r="M241" s="29" t="s">
        <v>699</v>
      </c>
      <c r="N241" s="28" t="s">
        <v>139</v>
      </c>
      <c r="O241" s="32">
        <v>26090.799999999999</v>
      </c>
      <c r="P241" s="56">
        <v>41148</v>
      </c>
      <c r="R241" s="49"/>
      <c r="S241" s="49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</row>
    <row r="242" spans="1:32" ht="12" customHeight="1">
      <c r="A242" s="25">
        <v>41117</v>
      </c>
      <c r="B242" s="225" t="s">
        <v>1992</v>
      </c>
      <c r="C242" s="219" t="s">
        <v>758</v>
      </c>
      <c r="D242" s="225" t="s">
        <v>1896</v>
      </c>
      <c r="E242" s="196">
        <v>10436</v>
      </c>
      <c r="F242" s="119">
        <v>64</v>
      </c>
      <c r="G242" s="26" t="s">
        <v>692</v>
      </c>
      <c r="H242" s="31">
        <v>17.82</v>
      </c>
      <c r="I242" s="27">
        <f t="shared" si="7"/>
        <v>1140.48</v>
      </c>
      <c r="J242" s="28" t="s">
        <v>707</v>
      </c>
      <c r="K242" s="25" t="s">
        <v>5500</v>
      </c>
      <c r="L242" s="25">
        <v>41117</v>
      </c>
      <c r="M242" s="29" t="s">
        <v>699</v>
      </c>
      <c r="N242" s="28" t="s">
        <v>139</v>
      </c>
      <c r="O242" s="32">
        <v>26090.799999999999</v>
      </c>
      <c r="P242" s="56">
        <v>41148</v>
      </c>
      <c r="Q242" s="49"/>
      <c r="R242" s="49"/>
      <c r="S242" s="49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</row>
    <row r="243" spans="1:32" ht="12" customHeight="1">
      <c r="A243" s="25">
        <v>41120</v>
      </c>
      <c r="B243" s="225" t="s">
        <v>1993</v>
      </c>
      <c r="C243" s="219" t="s">
        <v>758</v>
      </c>
      <c r="D243" s="225" t="s">
        <v>233</v>
      </c>
      <c r="E243" s="196" t="s">
        <v>824</v>
      </c>
      <c r="F243" s="205">
        <v>3000</v>
      </c>
      <c r="G243" s="26" t="s">
        <v>691</v>
      </c>
      <c r="H243" s="31">
        <v>1.7</v>
      </c>
      <c r="I243" s="27">
        <f t="shared" si="7"/>
        <v>5100</v>
      </c>
      <c r="J243" s="28" t="s">
        <v>842</v>
      </c>
      <c r="K243" s="25">
        <v>41120</v>
      </c>
      <c r="L243" s="56">
        <v>41130</v>
      </c>
      <c r="M243" s="29" t="s">
        <v>167</v>
      </c>
      <c r="N243" s="28" t="s">
        <v>14</v>
      </c>
      <c r="O243" s="32">
        <v>9590</v>
      </c>
      <c r="P243" s="56">
        <v>41130</v>
      </c>
      <c r="Q243" s="49"/>
      <c r="R243" s="49"/>
      <c r="S243" s="49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</row>
    <row r="244" spans="1:32" ht="12" customHeight="1">
      <c r="A244" s="25">
        <v>41120</v>
      </c>
      <c r="B244" s="225" t="s">
        <v>1992</v>
      </c>
      <c r="C244" s="219" t="s">
        <v>758</v>
      </c>
      <c r="D244" s="225" t="s">
        <v>274</v>
      </c>
      <c r="E244" s="196" t="s">
        <v>783</v>
      </c>
      <c r="F244" s="119">
        <v>800</v>
      </c>
      <c r="G244" s="26" t="s">
        <v>686</v>
      </c>
      <c r="H244" s="31">
        <v>30</v>
      </c>
      <c r="I244" s="27">
        <f t="shared" ref="I244:I263" si="8">H244*F244</f>
        <v>24000</v>
      </c>
      <c r="J244" s="28" t="s">
        <v>849</v>
      </c>
      <c r="K244" s="25" t="s">
        <v>5500</v>
      </c>
      <c r="L244" s="25">
        <v>41120</v>
      </c>
      <c r="M244" s="29" t="s">
        <v>699</v>
      </c>
      <c r="N244" s="28" t="s">
        <v>139</v>
      </c>
      <c r="O244" s="32">
        <v>26090.799999999999</v>
      </c>
      <c r="P244" s="56">
        <v>41148</v>
      </c>
      <c r="Q244" s="49"/>
      <c r="R244" s="49"/>
      <c r="S244" s="49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</row>
    <row r="245" spans="1:32" ht="12" customHeight="1">
      <c r="A245" s="25">
        <v>41120</v>
      </c>
      <c r="B245" s="225" t="s">
        <v>1994</v>
      </c>
      <c r="C245" s="219" t="s">
        <v>758</v>
      </c>
      <c r="D245" s="342" t="s">
        <v>241</v>
      </c>
      <c r="E245" s="196">
        <v>6200</v>
      </c>
      <c r="F245" s="119">
        <v>120</v>
      </c>
      <c r="G245" s="26" t="s">
        <v>230</v>
      </c>
      <c r="H245" s="31">
        <v>45</v>
      </c>
      <c r="I245" s="27">
        <f t="shared" si="8"/>
        <v>5400</v>
      </c>
      <c r="J245" s="28" t="s">
        <v>825</v>
      </c>
      <c r="K245" s="25">
        <v>41117</v>
      </c>
      <c r="L245" s="25">
        <v>41121</v>
      </c>
      <c r="M245" s="29" t="s">
        <v>699</v>
      </c>
      <c r="N245" s="50" t="s">
        <v>118</v>
      </c>
      <c r="O245" s="32">
        <v>45569.5</v>
      </c>
      <c r="P245" s="56">
        <v>41121</v>
      </c>
      <c r="Q245" s="49"/>
      <c r="R245" s="49"/>
      <c r="S245" s="49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</row>
    <row r="246" spans="1:32" ht="12" customHeight="1">
      <c r="A246" s="25">
        <v>41120</v>
      </c>
      <c r="B246" s="225" t="s">
        <v>1994</v>
      </c>
      <c r="C246" s="219" t="s">
        <v>758</v>
      </c>
      <c r="D246" s="225" t="s">
        <v>274</v>
      </c>
      <c r="E246" s="196" t="s">
        <v>275</v>
      </c>
      <c r="F246" s="119">
        <v>200</v>
      </c>
      <c r="G246" s="26" t="s">
        <v>686</v>
      </c>
      <c r="H246" s="31">
        <v>29.5</v>
      </c>
      <c r="I246" s="27">
        <f t="shared" si="8"/>
        <v>5900</v>
      </c>
      <c r="J246" s="28" t="s">
        <v>825</v>
      </c>
      <c r="K246" s="25">
        <v>41121</v>
      </c>
      <c r="L246" s="25">
        <v>41121</v>
      </c>
      <c r="M246" s="29" t="s">
        <v>699</v>
      </c>
      <c r="N246" s="50" t="s">
        <v>118</v>
      </c>
      <c r="O246" s="32">
        <v>45569.5</v>
      </c>
      <c r="P246" s="56">
        <v>41121</v>
      </c>
      <c r="Q246" s="49"/>
      <c r="R246" s="49"/>
      <c r="S246" s="49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</row>
    <row r="247" spans="1:32" ht="12" customHeight="1">
      <c r="A247" s="25">
        <v>41120</v>
      </c>
      <c r="B247" s="225" t="s">
        <v>1994</v>
      </c>
      <c r="C247" s="219" t="s">
        <v>758</v>
      </c>
      <c r="D247" s="225" t="s">
        <v>847</v>
      </c>
      <c r="E247" s="196" t="s">
        <v>846</v>
      </c>
      <c r="F247" s="119">
        <v>150</v>
      </c>
      <c r="G247" s="26" t="s">
        <v>686</v>
      </c>
      <c r="H247" s="31">
        <v>29.5</v>
      </c>
      <c r="I247" s="27">
        <f t="shared" si="8"/>
        <v>4425</v>
      </c>
      <c r="J247" s="28" t="s">
        <v>825</v>
      </c>
      <c r="K247" s="25">
        <v>41121</v>
      </c>
      <c r="L247" s="25">
        <v>41121</v>
      </c>
      <c r="M247" s="29" t="s">
        <v>699</v>
      </c>
      <c r="N247" s="50" t="s">
        <v>118</v>
      </c>
      <c r="O247" s="32">
        <v>45569.5</v>
      </c>
      <c r="P247" s="56">
        <v>41121</v>
      </c>
      <c r="Q247" s="49"/>
      <c r="R247" s="49"/>
      <c r="S247" s="49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</row>
    <row r="248" spans="1:32" ht="12" customHeight="1">
      <c r="A248" s="25">
        <v>41120</v>
      </c>
      <c r="B248" s="225" t="s">
        <v>1994</v>
      </c>
      <c r="C248" s="219" t="s">
        <v>758</v>
      </c>
      <c r="D248" s="225" t="s">
        <v>233</v>
      </c>
      <c r="E248" s="196" t="s">
        <v>234</v>
      </c>
      <c r="F248" s="119">
        <v>1600</v>
      </c>
      <c r="G248" s="194" t="s">
        <v>232</v>
      </c>
      <c r="H248" s="31">
        <v>5.05</v>
      </c>
      <c r="I248" s="27">
        <f t="shared" si="8"/>
        <v>8080</v>
      </c>
      <c r="J248" s="28" t="s">
        <v>825</v>
      </c>
      <c r="K248" s="25">
        <v>41121</v>
      </c>
      <c r="L248" s="25">
        <v>41121</v>
      </c>
      <c r="M248" s="29" t="s">
        <v>699</v>
      </c>
      <c r="N248" s="50" t="s">
        <v>118</v>
      </c>
      <c r="O248" s="32">
        <v>45569.5</v>
      </c>
      <c r="P248" s="56">
        <v>41121</v>
      </c>
      <c r="Q248" s="49"/>
      <c r="R248" s="49"/>
      <c r="S248" s="49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</row>
    <row r="249" spans="1:32" ht="12" customHeight="1">
      <c r="A249" s="25">
        <v>41120</v>
      </c>
      <c r="B249" s="225" t="s">
        <v>1994</v>
      </c>
      <c r="C249" s="219" t="s">
        <v>758</v>
      </c>
      <c r="D249" s="225" t="s">
        <v>352</v>
      </c>
      <c r="E249" s="196">
        <v>7502</v>
      </c>
      <c r="F249" s="119">
        <v>200</v>
      </c>
      <c r="G249" s="26" t="s">
        <v>686</v>
      </c>
      <c r="H249" s="31">
        <v>105</v>
      </c>
      <c r="I249" s="27">
        <f t="shared" si="8"/>
        <v>21000</v>
      </c>
      <c r="J249" s="28" t="s">
        <v>825</v>
      </c>
      <c r="K249" s="25">
        <v>41121</v>
      </c>
      <c r="L249" s="25">
        <v>41121</v>
      </c>
      <c r="M249" s="29" t="s">
        <v>699</v>
      </c>
      <c r="N249" s="50" t="s">
        <v>118</v>
      </c>
      <c r="O249" s="32">
        <v>45569.5</v>
      </c>
      <c r="P249" s="56">
        <v>41121</v>
      </c>
      <c r="Q249" s="49"/>
      <c r="R249" s="49"/>
      <c r="S249" s="49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</row>
    <row r="250" spans="1:32" ht="12" customHeight="1">
      <c r="A250" s="25">
        <v>41120</v>
      </c>
      <c r="B250" s="225" t="s">
        <v>1994</v>
      </c>
      <c r="C250" s="219" t="s">
        <v>758</v>
      </c>
      <c r="D250" s="225" t="s">
        <v>264</v>
      </c>
      <c r="E250" s="196">
        <v>501</v>
      </c>
      <c r="F250" s="119">
        <v>550</v>
      </c>
      <c r="G250" s="190" t="s">
        <v>686</v>
      </c>
      <c r="H250" s="31">
        <v>1.39</v>
      </c>
      <c r="I250" s="27">
        <f t="shared" si="8"/>
        <v>764.5</v>
      </c>
      <c r="J250" s="28" t="s">
        <v>825</v>
      </c>
      <c r="K250" s="25">
        <v>41121</v>
      </c>
      <c r="L250" s="25">
        <v>41121</v>
      </c>
      <c r="M250" s="29" t="s">
        <v>699</v>
      </c>
      <c r="N250" s="50" t="s">
        <v>118</v>
      </c>
      <c r="O250" s="32">
        <v>45569.5</v>
      </c>
      <c r="P250" s="56">
        <v>41121</v>
      </c>
      <c r="Q250" s="49"/>
      <c r="R250" s="49"/>
      <c r="S250" s="49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</row>
    <row r="251" spans="1:32" ht="12" customHeight="1">
      <c r="A251" s="25">
        <v>41121</v>
      </c>
      <c r="B251" s="225" t="s">
        <v>1989</v>
      </c>
      <c r="C251" s="219" t="s">
        <v>758</v>
      </c>
      <c r="D251" s="225" t="s">
        <v>845</v>
      </c>
      <c r="E251" s="196">
        <v>16618</v>
      </c>
      <c r="F251" s="119">
        <v>200</v>
      </c>
      <c r="G251" s="26" t="s">
        <v>692</v>
      </c>
      <c r="H251" s="31">
        <v>35.75</v>
      </c>
      <c r="I251" s="27">
        <f t="shared" si="8"/>
        <v>7150</v>
      </c>
      <c r="J251" s="28" t="s">
        <v>848</v>
      </c>
      <c r="K251" s="25">
        <v>41121</v>
      </c>
      <c r="L251" s="25">
        <v>41138</v>
      </c>
      <c r="M251" s="29" t="s">
        <v>699</v>
      </c>
      <c r="N251" s="37" t="s">
        <v>142</v>
      </c>
      <c r="O251" s="32">
        <v>13200.78</v>
      </c>
      <c r="P251" s="56">
        <v>41149</v>
      </c>
      <c r="Q251" s="49"/>
      <c r="R251" s="49"/>
      <c r="S251" s="49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</row>
    <row r="252" spans="1:32" ht="12" customHeight="1">
      <c r="A252" s="25">
        <v>41122</v>
      </c>
      <c r="B252" s="225" t="s">
        <v>1989</v>
      </c>
      <c r="C252" s="219" t="s">
        <v>758</v>
      </c>
      <c r="D252" s="1" t="s">
        <v>1219</v>
      </c>
      <c r="E252" s="196" t="s">
        <v>778</v>
      </c>
      <c r="F252" s="119">
        <v>5</v>
      </c>
      <c r="G252" s="26" t="s">
        <v>692</v>
      </c>
      <c r="H252" s="31">
        <v>13</v>
      </c>
      <c r="I252" s="27">
        <f t="shared" si="8"/>
        <v>65</v>
      </c>
      <c r="J252" s="28" t="s">
        <v>851</v>
      </c>
      <c r="K252" s="25">
        <v>41122</v>
      </c>
      <c r="L252" s="25">
        <v>41138</v>
      </c>
      <c r="M252" s="29" t="s">
        <v>699</v>
      </c>
      <c r="N252" s="37" t="s">
        <v>142</v>
      </c>
      <c r="O252" s="32">
        <v>13200.78</v>
      </c>
      <c r="P252" s="56">
        <v>41149</v>
      </c>
      <c r="Q252" s="49"/>
      <c r="R252" s="49"/>
      <c r="S252" s="49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</row>
    <row r="253" spans="1:32" ht="12" customHeight="1">
      <c r="A253" s="25">
        <v>41123</v>
      </c>
      <c r="B253" s="225" t="s">
        <v>1989</v>
      </c>
      <c r="C253" s="219" t="s">
        <v>758</v>
      </c>
      <c r="D253" s="225" t="s">
        <v>309</v>
      </c>
      <c r="E253" s="196">
        <v>1110</v>
      </c>
      <c r="F253" s="119">
        <v>100</v>
      </c>
      <c r="G253" s="26" t="s">
        <v>692</v>
      </c>
      <c r="H253" s="31">
        <v>0.77</v>
      </c>
      <c r="I253" s="27">
        <f t="shared" si="8"/>
        <v>77</v>
      </c>
      <c r="J253" s="28" t="s">
        <v>119</v>
      </c>
      <c r="K253" s="25">
        <v>41123</v>
      </c>
      <c r="L253" s="25">
        <v>41138</v>
      </c>
      <c r="M253" s="29" t="s">
        <v>699</v>
      </c>
      <c r="N253" s="37" t="s">
        <v>142</v>
      </c>
      <c r="O253" s="32">
        <v>13200.78</v>
      </c>
      <c r="P253" s="56">
        <v>41149</v>
      </c>
      <c r="Q253" s="49"/>
      <c r="R253" s="49"/>
      <c r="S253" s="49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</row>
    <row r="254" spans="1:32" ht="12" customHeight="1">
      <c r="A254" s="25">
        <v>41124</v>
      </c>
      <c r="B254" s="225" t="s">
        <v>1989</v>
      </c>
      <c r="C254" s="219" t="s">
        <v>758</v>
      </c>
      <c r="D254" s="225" t="s">
        <v>307</v>
      </c>
      <c r="E254" s="196">
        <v>1270</v>
      </c>
      <c r="F254" s="119">
        <v>100</v>
      </c>
      <c r="G254" s="190" t="s">
        <v>240</v>
      </c>
      <c r="H254" s="31">
        <v>4.1399999999999997</v>
      </c>
      <c r="I254" s="27">
        <f t="shared" si="8"/>
        <v>413.99999999999994</v>
      </c>
      <c r="J254" s="28" t="s">
        <v>120</v>
      </c>
      <c r="K254" s="25">
        <v>41124</v>
      </c>
      <c r="L254" s="25">
        <v>41138</v>
      </c>
      <c r="M254" s="29" t="s">
        <v>690</v>
      </c>
      <c r="N254" s="28" t="s">
        <v>715</v>
      </c>
      <c r="Q254" s="49"/>
      <c r="R254" s="49"/>
      <c r="S254" s="49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</row>
    <row r="255" spans="1:32" ht="12" customHeight="1">
      <c r="A255" s="25">
        <v>41124</v>
      </c>
      <c r="B255" s="225" t="s">
        <v>1989</v>
      </c>
      <c r="C255" s="219" t="s">
        <v>758</v>
      </c>
      <c r="D255" s="225" t="s">
        <v>289</v>
      </c>
      <c r="E255" s="196">
        <v>10434</v>
      </c>
      <c r="F255" s="119">
        <v>100</v>
      </c>
      <c r="G255" s="26" t="s">
        <v>692</v>
      </c>
      <c r="H255" s="31">
        <v>14.88</v>
      </c>
      <c r="I255" s="27">
        <f t="shared" si="8"/>
        <v>1488</v>
      </c>
      <c r="J255" s="28" t="s">
        <v>121</v>
      </c>
      <c r="K255" s="25">
        <v>41124</v>
      </c>
      <c r="L255" s="25">
        <v>41138</v>
      </c>
      <c r="M255" s="29" t="s">
        <v>699</v>
      </c>
      <c r="N255" s="37" t="s">
        <v>142</v>
      </c>
      <c r="O255" s="32">
        <v>13200.78</v>
      </c>
      <c r="P255" s="56">
        <v>41149</v>
      </c>
      <c r="Q255" s="49"/>
      <c r="R255" s="49"/>
      <c r="S255" s="49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</row>
    <row r="256" spans="1:32" ht="12" customHeight="1">
      <c r="A256" s="25">
        <v>41124</v>
      </c>
      <c r="B256" s="225" t="s">
        <v>1993</v>
      </c>
      <c r="C256" s="219" t="s">
        <v>758</v>
      </c>
      <c r="D256" s="225" t="s">
        <v>1897</v>
      </c>
      <c r="E256" s="196" t="s">
        <v>111</v>
      </c>
      <c r="F256" s="119">
        <v>1000</v>
      </c>
      <c r="G256" s="26" t="s">
        <v>686</v>
      </c>
      <c r="H256" s="31">
        <v>1.5</v>
      </c>
      <c r="I256" s="27">
        <f t="shared" si="8"/>
        <v>1500</v>
      </c>
      <c r="J256" s="28" t="s">
        <v>122</v>
      </c>
      <c r="K256" s="25">
        <v>41124</v>
      </c>
      <c r="L256" s="56">
        <v>41131</v>
      </c>
      <c r="M256" s="29" t="s">
        <v>690</v>
      </c>
      <c r="N256" s="28" t="s">
        <v>715</v>
      </c>
      <c r="Q256" s="49"/>
      <c r="R256" s="49"/>
      <c r="S256" s="49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</row>
    <row r="257" spans="1:32" ht="12" customHeight="1">
      <c r="A257" s="25">
        <v>41123</v>
      </c>
      <c r="B257" s="225" t="s">
        <v>245</v>
      </c>
      <c r="C257" s="220" t="s">
        <v>7</v>
      </c>
      <c r="D257" s="225" t="s">
        <v>1898</v>
      </c>
      <c r="E257" s="196" t="s">
        <v>2</v>
      </c>
      <c r="F257" s="119">
        <v>32</v>
      </c>
      <c r="G257" s="190" t="s">
        <v>830</v>
      </c>
      <c r="H257" s="31">
        <v>108</v>
      </c>
      <c r="I257" s="27">
        <f t="shared" si="8"/>
        <v>3456</v>
      </c>
      <c r="J257" s="28" t="s">
        <v>10</v>
      </c>
      <c r="K257" s="25">
        <v>41127</v>
      </c>
      <c r="L257" s="25">
        <v>41124</v>
      </c>
      <c r="M257" s="29" t="s">
        <v>699</v>
      </c>
      <c r="N257" s="28" t="s">
        <v>1245</v>
      </c>
      <c r="O257" s="32">
        <v>25994.400000000001</v>
      </c>
      <c r="P257" s="56">
        <v>41222</v>
      </c>
      <c r="Q257" s="49"/>
      <c r="R257" s="49"/>
      <c r="S257" s="49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</row>
    <row r="258" spans="1:32" ht="12" customHeight="1">
      <c r="A258" s="25">
        <v>41128</v>
      </c>
      <c r="B258" s="225" t="s">
        <v>245</v>
      </c>
      <c r="C258" s="219" t="s">
        <v>758</v>
      </c>
      <c r="D258" s="225" t="s">
        <v>9</v>
      </c>
      <c r="E258" s="196">
        <v>2096</v>
      </c>
      <c r="F258" s="119">
        <v>150</v>
      </c>
      <c r="G258" s="26" t="s">
        <v>691</v>
      </c>
      <c r="H258" s="31">
        <v>12.65</v>
      </c>
      <c r="I258" s="27">
        <f t="shared" si="8"/>
        <v>1897.5</v>
      </c>
      <c r="J258" s="28" t="s">
        <v>11</v>
      </c>
      <c r="K258" s="25">
        <v>41129</v>
      </c>
      <c r="L258" s="25">
        <v>41129</v>
      </c>
      <c r="M258" s="29" t="s">
        <v>699</v>
      </c>
      <c r="N258" s="28" t="s">
        <v>1245</v>
      </c>
      <c r="O258" s="32">
        <v>25994.400000000001</v>
      </c>
      <c r="P258" s="56">
        <v>41222</v>
      </c>
      <c r="R258" s="26" t="s">
        <v>728</v>
      </c>
      <c r="S258" s="49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</row>
    <row r="259" spans="1:32" ht="12" customHeight="1">
      <c r="A259" s="25">
        <v>41128</v>
      </c>
      <c r="B259" s="225" t="s">
        <v>245</v>
      </c>
      <c r="C259" s="219" t="s">
        <v>758</v>
      </c>
      <c r="D259" s="225" t="s">
        <v>355</v>
      </c>
      <c r="E259" s="196" t="s">
        <v>260</v>
      </c>
      <c r="F259" s="119">
        <v>2</v>
      </c>
      <c r="G259" s="26" t="s">
        <v>686</v>
      </c>
      <c r="H259" s="31">
        <v>12.74</v>
      </c>
      <c r="I259" s="27">
        <f t="shared" si="8"/>
        <v>25.48</v>
      </c>
      <c r="J259" s="28" t="s">
        <v>8</v>
      </c>
      <c r="K259" s="25">
        <v>41129</v>
      </c>
      <c r="L259" s="25">
        <v>41129</v>
      </c>
      <c r="M259" s="29" t="s">
        <v>699</v>
      </c>
      <c r="N259" s="28" t="s">
        <v>1245</v>
      </c>
      <c r="O259" s="32">
        <v>25994.400000000001</v>
      </c>
      <c r="P259" s="56">
        <v>41222</v>
      </c>
      <c r="S259" s="49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</row>
    <row r="260" spans="1:32" ht="12" customHeight="1">
      <c r="A260" s="25">
        <v>41128</v>
      </c>
      <c r="B260" s="225" t="s">
        <v>245</v>
      </c>
      <c r="C260" s="219" t="s">
        <v>758</v>
      </c>
      <c r="D260" s="225" t="s">
        <v>1899</v>
      </c>
      <c r="E260" s="196" t="s">
        <v>22</v>
      </c>
      <c r="F260" s="119">
        <v>48</v>
      </c>
      <c r="G260" s="26" t="s">
        <v>686</v>
      </c>
      <c r="H260" s="31">
        <v>12.74</v>
      </c>
      <c r="I260" s="27">
        <f t="shared" si="8"/>
        <v>611.52</v>
      </c>
      <c r="J260" s="28" t="s">
        <v>23</v>
      </c>
      <c r="K260" s="25">
        <v>41134</v>
      </c>
      <c r="L260" s="25">
        <v>41129</v>
      </c>
      <c r="M260" s="29" t="s">
        <v>699</v>
      </c>
      <c r="N260" s="28" t="s">
        <v>1245</v>
      </c>
      <c r="O260" s="32">
        <v>25994.400000000001</v>
      </c>
      <c r="P260" s="56">
        <v>41222</v>
      </c>
      <c r="R260" s="26" t="s">
        <v>728</v>
      </c>
      <c r="S260" s="49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</row>
    <row r="261" spans="1:32" ht="12" customHeight="1">
      <c r="A261" s="25">
        <v>41128</v>
      </c>
      <c r="B261" s="225" t="s">
        <v>245</v>
      </c>
      <c r="C261" s="219" t="s">
        <v>758</v>
      </c>
      <c r="D261" s="225" t="s">
        <v>1887</v>
      </c>
      <c r="E261" s="196" t="s">
        <v>234</v>
      </c>
      <c r="F261" s="119">
        <v>500</v>
      </c>
      <c r="G261" s="194" t="s">
        <v>232</v>
      </c>
      <c r="H261" s="31">
        <v>4.78</v>
      </c>
      <c r="I261" s="27">
        <f t="shared" si="8"/>
        <v>2390</v>
      </c>
      <c r="J261" s="28" t="s">
        <v>23</v>
      </c>
      <c r="K261" s="25">
        <v>41134</v>
      </c>
      <c r="L261" s="25">
        <v>41129</v>
      </c>
      <c r="M261" s="29" t="s">
        <v>699</v>
      </c>
      <c r="N261" s="28" t="s">
        <v>1245</v>
      </c>
      <c r="O261" s="32">
        <v>25994.400000000001</v>
      </c>
      <c r="P261" s="56">
        <v>41222</v>
      </c>
      <c r="R261" s="26" t="s">
        <v>728</v>
      </c>
      <c r="S261" s="49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</row>
    <row r="262" spans="1:32" ht="12" customHeight="1">
      <c r="A262" s="25">
        <v>41128</v>
      </c>
      <c r="B262" s="225" t="s">
        <v>245</v>
      </c>
      <c r="C262" s="219" t="s">
        <v>758</v>
      </c>
      <c r="D262" s="225" t="s">
        <v>1900</v>
      </c>
      <c r="E262" s="196">
        <v>1427</v>
      </c>
      <c r="F262" s="119">
        <v>9</v>
      </c>
      <c r="G262" s="190" t="s">
        <v>692</v>
      </c>
      <c r="H262" s="31">
        <v>83</v>
      </c>
      <c r="I262" s="27">
        <f t="shared" si="8"/>
        <v>747</v>
      </c>
      <c r="J262" s="28" t="s">
        <v>23</v>
      </c>
      <c r="K262" s="25">
        <v>41134</v>
      </c>
      <c r="L262" s="25">
        <v>41129</v>
      </c>
      <c r="M262" s="29" t="s">
        <v>699</v>
      </c>
      <c r="N262" s="28" t="s">
        <v>1245</v>
      </c>
      <c r="O262" s="32">
        <v>25994.400000000001</v>
      </c>
      <c r="P262" s="56">
        <v>41222</v>
      </c>
      <c r="R262" s="26" t="s">
        <v>728</v>
      </c>
      <c r="S262" s="49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</row>
    <row r="263" spans="1:32" ht="12" customHeight="1">
      <c r="A263" s="25">
        <v>41129</v>
      </c>
      <c r="B263" s="225" t="s">
        <v>1989</v>
      </c>
      <c r="C263" s="219" t="s">
        <v>758</v>
      </c>
      <c r="D263" s="225" t="s">
        <v>13</v>
      </c>
      <c r="E263" s="196">
        <v>8822</v>
      </c>
      <c r="F263" s="119">
        <v>90</v>
      </c>
      <c r="G263" s="26" t="s">
        <v>686</v>
      </c>
      <c r="H263" s="31">
        <v>13.38</v>
      </c>
      <c r="I263" s="27">
        <f t="shared" si="8"/>
        <v>1204.2</v>
      </c>
      <c r="J263" s="28" t="s">
        <v>123</v>
      </c>
      <c r="K263" s="25">
        <v>41129</v>
      </c>
      <c r="L263" s="25">
        <v>41138</v>
      </c>
      <c r="M263" s="29" t="s">
        <v>699</v>
      </c>
      <c r="N263" s="37" t="s">
        <v>142</v>
      </c>
      <c r="O263" s="32">
        <v>13200.78</v>
      </c>
      <c r="P263" s="56">
        <v>41149</v>
      </c>
      <c r="S263" s="49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</row>
    <row r="264" spans="1:32" ht="12" customHeight="1">
      <c r="A264" s="25">
        <v>41134</v>
      </c>
      <c r="B264" s="225" t="s">
        <v>26</v>
      </c>
      <c r="C264" s="219" t="s">
        <v>680</v>
      </c>
      <c r="D264" s="225" t="s">
        <v>1886</v>
      </c>
      <c r="E264" s="196">
        <v>4941</v>
      </c>
      <c r="F264" s="177" t="s">
        <v>1592</v>
      </c>
      <c r="G264" s="26" t="s">
        <v>27</v>
      </c>
      <c r="H264" s="31">
        <v>359</v>
      </c>
      <c r="I264" s="27">
        <f>H264*4*0.8</f>
        <v>1148.8</v>
      </c>
      <c r="K264" s="25" t="s">
        <v>5500</v>
      </c>
      <c r="L264" s="25">
        <v>41134</v>
      </c>
      <c r="M264" s="29" t="s">
        <v>699</v>
      </c>
      <c r="N264" s="28" t="s">
        <v>1014</v>
      </c>
      <c r="O264" s="32">
        <v>1436</v>
      </c>
      <c r="P264" s="56">
        <v>41199</v>
      </c>
      <c r="S264" s="49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</row>
    <row r="265" spans="1:32" ht="12" customHeight="1">
      <c r="A265" s="25">
        <v>41134</v>
      </c>
      <c r="B265" s="225" t="s">
        <v>1989</v>
      </c>
      <c r="C265" s="219" t="s">
        <v>680</v>
      </c>
      <c r="D265" s="1" t="s">
        <v>1219</v>
      </c>
      <c r="E265" s="196" t="s">
        <v>778</v>
      </c>
      <c r="F265" s="119">
        <v>50</v>
      </c>
      <c r="G265" s="26" t="s">
        <v>692</v>
      </c>
      <c r="H265" s="31">
        <v>13</v>
      </c>
      <c r="I265" s="27">
        <f t="shared" ref="I265:I296" si="9">H265*F265</f>
        <v>650</v>
      </c>
      <c r="J265" s="28" t="s">
        <v>124</v>
      </c>
      <c r="K265" s="25">
        <v>41134</v>
      </c>
      <c r="L265" s="25">
        <v>41138</v>
      </c>
      <c r="M265" s="29" t="s">
        <v>699</v>
      </c>
      <c r="N265" s="37" t="s">
        <v>142</v>
      </c>
      <c r="O265" s="32">
        <v>13200.78</v>
      </c>
      <c r="P265" s="56">
        <v>41149</v>
      </c>
      <c r="S265" s="49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</row>
    <row r="266" spans="1:32" ht="12" customHeight="1">
      <c r="A266" s="25">
        <v>41134</v>
      </c>
      <c r="B266" s="225" t="s">
        <v>1989</v>
      </c>
      <c r="C266" s="219" t="s">
        <v>680</v>
      </c>
      <c r="D266" s="225" t="s">
        <v>309</v>
      </c>
      <c r="E266" s="196">
        <v>1110</v>
      </c>
      <c r="F266" s="119">
        <v>100</v>
      </c>
      <c r="G266" s="26" t="s">
        <v>692</v>
      </c>
      <c r="H266" s="31">
        <v>0.77</v>
      </c>
      <c r="I266" s="27">
        <f t="shared" si="9"/>
        <v>77</v>
      </c>
      <c r="J266" s="28" t="s">
        <v>124</v>
      </c>
      <c r="K266" s="25">
        <v>41134</v>
      </c>
      <c r="L266" s="25">
        <v>41138</v>
      </c>
      <c r="M266" s="29" t="s">
        <v>699</v>
      </c>
      <c r="N266" s="37" t="s">
        <v>142</v>
      </c>
      <c r="O266" s="32">
        <v>13200.78</v>
      </c>
      <c r="P266" s="56">
        <v>41149</v>
      </c>
      <c r="S266" s="49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</row>
    <row r="267" spans="1:32" ht="12" customHeight="1">
      <c r="A267" s="25">
        <v>41134</v>
      </c>
      <c r="B267" s="225" t="s">
        <v>1993</v>
      </c>
      <c r="C267" s="219" t="s">
        <v>680</v>
      </c>
      <c r="D267" s="1" t="s">
        <v>1216</v>
      </c>
      <c r="E267" s="196">
        <v>3200</v>
      </c>
      <c r="F267" s="119">
        <v>60</v>
      </c>
      <c r="G267" s="26" t="s">
        <v>686</v>
      </c>
      <c r="H267" s="31">
        <v>26</v>
      </c>
      <c r="I267" s="27">
        <f t="shared" si="9"/>
        <v>1560</v>
      </c>
      <c r="J267" s="28" t="s">
        <v>125</v>
      </c>
      <c r="K267" s="25">
        <v>41134</v>
      </c>
      <c r="L267" s="56">
        <v>41152</v>
      </c>
      <c r="M267" s="29" t="s">
        <v>167</v>
      </c>
      <c r="N267" s="52" t="s">
        <v>162</v>
      </c>
      <c r="O267" s="32">
        <v>15416.4</v>
      </c>
      <c r="P267" s="56">
        <v>41151</v>
      </c>
      <c r="S267" s="49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</row>
    <row r="268" spans="1:32" ht="12" customHeight="1">
      <c r="A268" s="25">
        <v>41134</v>
      </c>
      <c r="B268" s="225" t="s">
        <v>1993</v>
      </c>
      <c r="C268" s="219" t="s">
        <v>680</v>
      </c>
      <c r="D268" s="225" t="s">
        <v>348</v>
      </c>
      <c r="E268" s="196">
        <v>3700</v>
      </c>
      <c r="F268" s="119">
        <v>50</v>
      </c>
      <c r="G268" s="26" t="s">
        <v>686</v>
      </c>
      <c r="H268" s="31">
        <v>3.3</v>
      </c>
      <c r="I268" s="27">
        <f t="shared" si="9"/>
        <v>165</v>
      </c>
      <c r="J268" s="28" t="s">
        <v>125</v>
      </c>
      <c r="K268" s="25">
        <v>41134</v>
      </c>
      <c r="L268" s="56">
        <v>41152</v>
      </c>
      <c r="M268" s="29" t="s">
        <v>167</v>
      </c>
      <c r="N268" s="52" t="s">
        <v>162</v>
      </c>
      <c r="O268" s="32">
        <v>15416.4</v>
      </c>
      <c r="P268" s="56">
        <v>41151</v>
      </c>
      <c r="S268" s="49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</row>
    <row r="269" spans="1:32" ht="12" customHeight="1">
      <c r="A269" s="25">
        <v>41134</v>
      </c>
      <c r="B269" s="225" t="s">
        <v>1993</v>
      </c>
      <c r="C269" s="219" t="s">
        <v>680</v>
      </c>
      <c r="D269" s="225" t="s">
        <v>269</v>
      </c>
      <c r="E269" s="196" t="s">
        <v>270</v>
      </c>
      <c r="F269" s="119">
        <v>200</v>
      </c>
      <c r="G269" s="26" t="s">
        <v>691</v>
      </c>
      <c r="H269" s="31">
        <v>1.34</v>
      </c>
      <c r="I269" s="27">
        <f t="shared" si="9"/>
        <v>268</v>
      </c>
      <c r="J269" s="28" t="s">
        <v>125</v>
      </c>
      <c r="K269" s="25">
        <v>41134</v>
      </c>
      <c r="L269" s="56">
        <v>41152</v>
      </c>
      <c r="M269" s="29" t="s">
        <v>690</v>
      </c>
      <c r="N269" s="28" t="s">
        <v>715</v>
      </c>
      <c r="S269" s="49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</row>
    <row r="270" spans="1:32" ht="12" customHeight="1">
      <c r="A270" s="25">
        <v>41134</v>
      </c>
      <c r="B270" s="225" t="s">
        <v>1994</v>
      </c>
      <c r="C270" s="219" t="s">
        <v>680</v>
      </c>
      <c r="D270" s="342" t="s">
        <v>241</v>
      </c>
      <c r="E270" s="196">
        <v>6200</v>
      </c>
      <c r="F270" s="119">
        <v>120</v>
      </c>
      <c r="G270" s="26" t="s">
        <v>230</v>
      </c>
      <c r="H270" s="31">
        <v>45</v>
      </c>
      <c r="I270" s="27">
        <f t="shared" si="9"/>
        <v>5400</v>
      </c>
      <c r="J270" s="28" t="s">
        <v>707</v>
      </c>
      <c r="K270" s="25">
        <v>41134</v>
      </c>
      <c r="L270" s="25">
        <v>41134</v>
      </c>
      <c r="M270" s="29" t="s">
        <v>699</v>
      </c>
      <c r="N270" s="28" t="s">
        <v>126</v>
      </c>
      <c r="O270" s="32">
        <v>25233</v>
      </c>
      <c r="P270" s="56">
        <v>41134</v>
      </c>
      <c r="S270" s="49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</row>
    <row r="271" spans="1:32" ht="12" customHeight="1">
      <c r="A271" s="25">
        <v>41134</v>
      </c>
      <c r="B271" s="225" t="s">
        <v>1994</v>
      </c>
      <c r="C271" s="219" t="s">
        <v>680</v>
      </c>
      <c r="D271" s="225" t="s">
        <v>274</v>
      </c>
      <c r="E271" s="196" t="s">
        <v>275</v>
      </c>
      <c r="F271" s="119">
        <v>300</v>
      </c>
      <c r="G271" s="26" t="s">
        <v>686</v>
      </c>
      <c r="H271" s="31">
        <v>29.5</v>
      </c>
      <c r="I271" s="27">
        <f t="shared" si="9"/>
        <v>8850</v>
      </c>
      <c r="J271" s="28" t="s">
        <v>707</v>
      </c>
      <c r="K271" s="25">
        <v>41134</v>
      </c>
      <c r="L271" s="25">
        <v>41134</v>
      </c>
      <c r="M271" s="29" t="s">
        <v>699</v>
      </c>
      <c r="N271" s="28" t="s">
        <v>126</v>
      </c>
      <c r="O271" s="32">
        <v>25233</v>
      </c>
      <c r="P271" s="56">
        <v>41134</v>
      </c>
      <c r="S271" s="49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</row>
    <row r="272" spans="1:32" ht="12" customHeight="1">
      <c r="A272" s="25">
        <v>41134</v>
      </c>
      <c r="B272" s="225" t="s">
        <v>1994</v>
      </c>
      <c r="C272" s="219" t="s">
        <v>680</v>
      </c>
      <c r="D272" s="225" t="s">
        <v>28</v>
      </c>
      <c r="E272" s="196">
        <v>6800</v>
      </c>
      <c r="F272" s="119">
        <v>2</v>
      </c>
      <c r="G272" s="26" t="s">
        <v>686</v>
      </c>
      <c r="H272" s="31">
        <v>425</v>
      </c>
      <c r="I272" s="27">
        <f t="shared" si="9"/>
        <v>850</v>
      </c>
      <c r="J272" s="28" t="s">
        <v>707</v>
      </c>
      <c r="K272" s="25">
        <v>41134</v>
      </c>
      <c r="L272" s="25">
        <v>41134</v>
      </c>
      <c r="M272" s="29" t="s">
        <v>699</v>
      </c>
      <c r="N272" s="28" t="s">
        <v>126</v>
      </c>
      <c r="O272" s="32">
        <v>25233</v>
      </c>
      <c r="P272" s="56">
        <v>41134</v>
      </c>
      <c r="S272" s="49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</row>
    <row r="273" spans="1:32" ht="12" customHeight="1">
      <c r="A273" s="25">
        <v>41134</v>
      </c>
      <c r="B273" s="225" t="s">
        <v>1994</v>
      </c>
      <c r="C273" s="219" t="s">
        <v>680</v>
      </c>
      <c r="D273" s="225" t="s">
        <v>233</v>
      </c>
      <c r="E273" s="196" t="s">
        <v>127</v>
      </c>
      <c r="F273" s="119">
        <v>2000</v>
      </c>
      <c r="G273" s="194" t="s">
        <v>232</v>
      </c>
      <c r="H273" s="31">
        <v>4.78</v>
      </c>
      <c r="I273" s="27">
        <f t="shared" si="9"/>
        <v>9560</v>
      </c>
      <c r="J273" s="28" t="s">
        <v>707</v>
      </c>
      <c r="K273" s="25">
        <v>41134</v>
      </c>
      <c r="L273" s="25">
        <v>41134</v>
      </c>
      <c r="M273" s="29" t="s">
        <v>699</v>
      </c>
      <c r="N273" s="28" t="s">
        <v>126</v>
      </c>
      <c r="O273" s="32">
        <v>25233</v>
      </c>
      <c r="P273" s="56">
        <v>41134</v>
      </c>
      <c r="S273" s="49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</row>
    <row r="274" spans="1:32" ht="12" customHeight="1">
      <c r="A274" s="25">
        <v>41134</v>
      </c>
      <c r="B274" s="225" t="s">
        <v>1994</v>
      </c>
      <c r="C274" s="219" t="s">
        <v>680</v>
      </c>
      <c r="D274" s="225" t="s">
        <v>702</v>
      </c>
      <c r="E274" s="196" t="s">
        <v>381</v>
      </c>
      <c r="F274" s="119">
        <v>100</v>
      </c>
      <c r="G274" s="26" t="s">
        <v>686</v>
      </c>
      <c r="H274" s="31">
        <v>4.0199999999999996</v>
      </c>
      <c r="I274" s="27">
        <f t="shared" si="9"/>
        <v>401.99999999999994</v>
      </c>
      <c r="J274" s="28" t="s">
        <v>707</v>
      </c>
      <c r="K274" s="25">
        <v>41134</v>
      </c>
      <c r="L274" s="25">
        <v>41134</v>
      </c>
      <c r="M274" s="29" t="s">
        <v>699</v>
      </c>
      <c r="N274" s="28" t="s">
        <v>126</v>
      </c>
      <c r="O274" s="32">
        <v>25233</v>
      </c>
      <c r="P274" s="56">
        <v>41134</v>
      </c>
      <c r="S274" s="49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</row>
    <row r="275" spans="1:32" ht="12" customHeight="1">
      <c r="A275" s="25">
        <v>41134</v>
      </c>
      <c r="B275" s="225" t="s">
        <v>1994</v>
      </c>
      <c r="C275" s="219" t="s">
        <v>680</v>
      </c>
      <c r="D275" s="1" t="s">
        <v>1219</v>
      </c>
      <c r="E275" s="196" t="s">
        <v>128</v>
      </c>
      <c r="F275" s="119">
        <v>10</v>
      </c>
      <c r="G275" s="26" t="s">
        <v>692</v>
      </c>
      <c r="H275" s="31">
        <v>13</v>
      </c>
      <c r="I275" s="27">
        <f t="shared" si="9"/>
        <v>130</v>
      </c>
      <c r="J275" s="28" t="s">
        <v>707</v>
      </c>
      <c r="K275" s="25">
        <v>41134</v>
      </c>
      <c r="L275" s="25">
        <v>41134</v>
      </c>
      <c r="M275" s="29" t="s">
        <v>699</v>
      </c>
      <c r="N275" s="28" t="s">
        <v>126</v>
      </c>
      <c r="O275" s="32">
        <v>25233</v>
      </c>
      <c r="P275" s="56">
        <v>41134</v>
      </c>
      <c r="S275" s="49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</row>
    <row r="276" spans="1:32" ht="12" customHeight="1">
      <c r="A276" s="25">
        <v>41134</v>
      </c>
      <c r="B276" s="225" t="s">
        <v>1994</v>
      </c>
      <c r="C276" s="219" t="s">
        <v>680</v>
      </c>
      <c r="D276" s="225" t="s">
        <v>307</v>
      </c>
      <c r="E276" s="196">
        <v>1270</v>
      </c>
      <c r="F276" s="119">
        <v>10</v>
      </c>
      <c r="G276" s="190" t="s">
        <v>240</v>
      </c>
      <c r="H276" s="31">
        <v>4.0999999999999996</v>
      </c>
      <c r="I276" s="27">
        <f t="shared" si="9"/>
        <v>41</v>
      </c>
      <c r="J276" s="28" t="s">
        <v>707</v>
      </c>
      <c r="K276" s="25">
        <v>41134</v>
      </c>
      <c r="L276" s="25">
        <v>41134</v>
      </c>
      <c r="M276" s="29" t="s">
        <v>699</v>
      </c>
      <c r="N276" s="28" t="s">
        <v>126</v>
      </c>
      <c r="O276" s="32">
        <v>25233</v>
      </c>
      <c r="P276" s="56">
        <v>41134</v>
      </c>
      <c r="S276" s="49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</row>
    <row r="277" spans="1:32" ht="12" customHeight="1">
      <c r="A277" s="25">
        <v>41134</v>
      </c>
      <c r="B277" s="225" t="s">
        <v>1996</v>
      </c>
      <c r="C277" s="219" t="s">
        <v>680</v>
      </c>
      <c r="D277" s="225" t="s">
        <v>1901</v>
      </c>
      <c r="E277" s="196" t="s">
        <v>46</v>
      </c>
      <c r="F277" s="119">
        <v>200</v>
      </c>
      <c r="G277" s="26" t="s">
        <v>757</v>
      </c>
      <c r="H277" s="31">
        <v>33.110999999999997</v>
      </c>
      <c r="I277" s="27">
        <f t="shared" si="9"/>
        <v>6622.2</v>
      </c>
      <c r="J277" s="28" t="s">
        <v>54</v>
      </c>
      <c r="K277" s="25">
        <v>41137</v>
      </c>
      <c r="L277" s="25">
        <v>41130</v>
      </c>
      <c r="M277" s="29" t="s">
        <v>699</v>
      </c>
      <c r="N277" s="28" t="s">
        <v>129</v>
      </c>
      <c r="O277" s="32">
        <v>51205.05</v>
      </c>
      <c r="P277" s="56">
        <v>41135</v>
      </c>
      <c r="R277" s="26" t="s">
        <v>57</v>
      </c>
      <c r="S277" s="49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</row>
    <row r="278" spans="1:32" ht="12" customHeight="1">
      <c r="A278" s="25">
        <v>41134</v>
      </c>
      <c r="B278" s="225" t="s">
        <v>1996</v>
      </c>
      <c r="C278" s="219" t="s">
        <v>680</v>
      </c>
      <c r="D278" s="225" t="s">
        <v>1902</v>
      </c>
      <c r="E278" s="196" t="s">
        <v>47</v>
      </c>
      <c r="F278" s="119">
        <v>50</v>
      </c>
      <c r="G278" s="26" t="s">
        <v>757</v>
      </c>
      <c r="H278" s="31">
        <v>42.939</v>
      </c>
      <c r="I278" s="27">
        <f t="shared" si="9"/>
        <v>2146.9499999999998</v>
      </c>
      <c r="J278" s="28" t="s">
        <v>54</v>
      </c>
      <c r="K278" s="25">
        <v>41137</v>
      </c>
      <c r="L278" s="25">
        <v>41130</v>
      </c>
      <c r="M278" s="29" t="s">
        <v>699</v>
      </c>
      <c r="N278" s="28" t="s">
        <v>129</v>
      </c>
      <c r="O278" s="32">
        <v>51205.05</v>
      </c>
      <c r="P278" s="56">
        <v>41135</v>
      </c>
      <c r="R278" s="26" t="s">
        <v>58</v>
      </c>
      <c r="S278" s="49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</row>
    <row r="279" spans="1:32" ht="12" customHeight="1">
      <c r="A279" s="25">
        <v>41134</v>
      </c>
      <c r="B279" s="225" t="s">
        <v>1996</v>
      </c>
      <c r="C279" s="219" t="s">
        <v>680</v>
      </c>
      <c r="D279" s="225" t="s">
        <v>1903</v>
      </c>
      <c r="E279" s="196" t="s">
        <v>49</v>
      </c>
      <c r="F279" s="119">
        <v>10</v>
      </c>
      <c r="G279" s="26" t="s">
        <v>757</v>
      </c>
      <c r="H279" s="31">
        <v>181.35</v>
      </c>
      <c r="I279" s="27">
        <f t="shared" si="9"/>
        <v>1813.5</v>
      </c>
      <c r="J279" s="28" t="s">
        <v>54</v>
      </c>
      <c r="K279" s="25">
        <v>41137</v>
      </c>
      <c r="L279" s="25">
        <v>41130</v>
      </c>
      <c r="M279" s="29" t="s">
        <v>699</v>
      </c>
      <c r="N279" s="28" t="s">
        <v>129</v>
      </c>
      <c r="O279" s="32">
        <v>51205.05</v>
      </c>
      <c r="P279" s="56">
        <v>41135</v>
      </c>
      <c r="R279" s="26" t="s">
        <v>59</v>
      </c>
      <c r="S279" s="49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</row>
    <row r="280" spans="1:32" ht="12" customHeight="1">
      <c r="A280" s="25">
        <v>41134</v>
      </c>
      <c r="B280" s="225" t="s">
        <v>1996</v>
      </c>
      <c r="C280" s="219" t="s">
        <v>680</v>
      </c>
      <c r="D280" s="225" t="s">
        <v>1904</v>
      </c>
      <c r="E280" s="196" t="s">
        <v>50</v>
      </c>
      <c r="F280" s="119">
        <v>100</v>
      </c>
      <c r="G280" s="26" t="s">
        <v>757</v>
      </c>
      <c r="H280" s="31">
        <v>107.64</v>
      </c>
      <c r="I280" s="27">
        <f t="shared" si="9"/>
        <v>10764</v>
      </c>
      <c r="J280" s="28" t="s">
        <v>54</v>
      </c>
      <c r="K280" s="25">
        <v>41137</v>
      </c>
      <c r="L280" s="25">
        <v>41130</v>
      </c>
      <c r="M280" s="29" t="s">
        <v>699</v>
      </c>
      <c r="N280" s="28" t="s">
        <v>129</v>
      </c>
      <c r="O280" s="32">
        <v>51205.05</v>
      </c>
      <c r="P280" s="56">
        <v>41135</v>
      </c>
      <c r="R280" s="26" t="s">
        <v>60</v>
      </c>
      <c r="S280" s="49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</row>
    <row r="281" spans="1:32" ht="12" customHeight="1">
      <c r="A281" s="25">
        <v>41134</v>
      </c>
      <c r="B281" s="225" t="s">
        <v>1996</v>
      </c>
      <c r="C281" s="219" t="s">
        <v>680</v>
      </c>
      <c r="D281" s="225" t="s">
        <v>1905</v>
      </c>
      <c r="E281" s="196">
        <v>9031</v>
      </c>
      <c r="F281" s="119">
        <v>10000</v>
      </c>
      <c r="G281" s="126" t="s">
        <v>177</v>
      </c>
      <c r="H281" s="30">
        <v>1.49292</v>
      </c>
      <c r="I281" s="27">
        <f t="shared" si="9"/>
        <v>14929.2</v>
      </c>
      <c r="J281" s="28" t="s">
        <v>54</v>
      </c>
      <c r="K281" s="25">
        <v>41137</v>
      </c>
      <c r="L281" s="25">
        <v>41130</v>
      </c>
      <c r="M281" s="29" t="s">
        <v>699</v>
      </c>
      <c r="N281" s="28" t="s">
        <v>129</v>
      </c>
      <c r="O281" s="32">
        <v>51205.05</v>
      </c>
      <c r="P281" s="56">
        <v>41135</v>
      </c>
      <c r="R281" s="26" t="s">
        <v>61</v>
      </c>
      <c r="S281" s="49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</row>
    <row r="282" spans="1:32" ht="12" customHeight="1">
      <c r="A282" s="25">
        <v>41134</v>
      </c>
      <c r="B282" s="225" t="s">
        <v>1996</v>
      </c>
      <c r="C282" s="219" t="s">
        <v>680</v>
      </c>
      <c r="D282" s="225" t="s">
        <v>1906</v>
      </c>
      <c r="E282" s="196">
        <v>9032</v>
      </c>
      <c r="F282" s="119">
        <v>10000</v>
      </c>
      <c r="G282" s="372" t="s">
        <v>171</v>
      </c>
      <c r="H282" s="30">
        <v>1.4928999999999999</v>
      </c>
      <c r="I282" s="27">
        <f t="shared" si="9"/>
        <v>14928.999999999998</v>
      </c>
      <c r="J282" s="28" t="s">
        <v>54</v>
      </c>
      <c r="K282" s="25">
        <v>41137</v>
      </c>
      <c r="L282" s="25">
        <v>41130</v>
      </c>
      <c r="M282" s="29" t="s">
        <v>699</v>
      </c>
      <c r="N282" s="28" t="s">
        <v>129</v>
      </c>
      <c r="O282" s="32">
        <v>51205.05</v>
      </c>
      <c r="P282" s="56">
        <v>41135</v>
      </c>
      <c r="R282" s="26" t="s">
        <v>62</v>
      </c>
      <c r="S282" s="49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</row>
    <row r="283" spans="1:32" ht="12" customHeight="1">
      <c r="A283" s="25">
        <v>41134</v>
      </c>
      <c r="B283" s="225" t="s">
        <v>1997</v>
      </c>
      <c r="C283" s="219" t="s">
        <v>680</v>
      </c>
      <c r="D283" s="225" t="s">
        <v>683</v>
      </c>
      <c r="E283" s="196" t="s">
        <v>53</v>
      </c>
      <c r="F283" s="119">
        <v>1500</v>
      </c>
      <c r="G283" s="26" t="s">
        <v>692</v>
      </c>
      <c r="H283" s="31">
        <v>3.2136</v>
      </c>
      <c r="I283" s="27">
        <f t="shared" si="9"/>
        <v>4820.3999999999996</v>
      </c>
      <c r="J283" s="28" t="s">
        <v>55</v>
      </c>
      <c r="K283" s="25">
        <v>41137</v>
      </c>
      <c r="L283" s="25">
        <v>41130</v>
      </c>
      <c r="M283" s="29" t="s">
        <v>699</v>
      </c>
      <c r="N283" s="28" t="s">
        <v>130</v>
      </c>
      <c r="O283" s="32">
        <v>4820.3999999999996</v>
      </c>
      <c r="P283" s="56">
        <v>41135</v>
      </c>
      <c r="R283" s="26" t="s">
        <v>63</v>
      </c>
      <c r="S283" s="49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</row>
    <row r="284" spans="1:32" ht="12" customHeight="1">
      <c r="A284" s="25">
        <v>41134</v>
      </c>
      <c r="B284" s="225" t="s">
        <v>1998</v>
      </c>
      <c r="C284" s="219" t="s">
        <v>680</v>
      </c>
      <c r="D284" s="225" t="s">
        <v>306</v>
      </c>
      <c r="E284" s="196">
        <v>1426</v>
      </c>
      <c r="F284" s="119">
        <v>20</v>
      </c>
      <c r="G284" s="26" t="s">
        <v>692</v>
      </c>
      <c r="H284" s="31">
        <v>19.422000000000001</v>
      </c>
      <c r="I284" s="27">
        <f t="shared" si="9"/>
        <v>388.44</v>
      </c>
      <c r="J284" s="28" t="s">
        <v>64</v>
      </c>
      <c r="K284" s="25">
        <v>41138</v>
      </c>
      <c r="L284" s="25">
        <v>41130</v>
      </c>
      <c r="M284" s="29" t="s">
        <v>699</v>
      </c>
      <c r="N284" s="28" t="s">
        <v>56</v>
      </c>
      <c r="O284" s="32">
        <v>2462.85</v>
      </c>
      <c r="P284" s="56">
        <v>41138</v>
      </c>
      <c r="S284" s="49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</row>
    <row r="285" spans="1:32" ht="12" customHeight="1">
      <c r="A285" s="25">
        <v>41134</v>
      </c>
      <c r="B285" s="225" t="s">
        <v>1998</v>
      </c>
      <c r="C285" s="219" t="s">
        <v>680</v>
      </c>
      <c r="D285" s="225" t="s">
        <v>1907</v>
      </c>
      <c r="E285" s="196">
        <v>1436</v>
      </c>
      <c r="F285" s="119">
        <v>20</v>
      </c>
      <c r="G285" s="26" t="s">
        <v>692</v>
      </c>
      <c r="H285" s="31">
        <v>29.659500000000001</v>
      </c>
      <c r="I285" s="27">
        <f t="shared" si="9"/>
        <v>593.19000000000005</v>
      </c>
      <c r="J285" s="28" t="s">
        <v>4965</v>
      </c>
      <c r="K285" s="25" t="s">
        <v>4965</v>
      </c>
      <c r="L285" s="25">
        <v>41130</v>
      </c>
      <c r="M285" s="29" t="s">
        <v>699</v>
      </c>
      <c r="N285" s="28" t="s">
        <v>948</v>
      </c>
      <c r="O285" s="32">
        <v>593.19000000000005</v>
      </c>
      <c r="P285" s="56">
        <v>41180</v>
      </c>
      <c r="S285" s="49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</row>
    <row r="286" spans="1:32" ht="12" customHeight="1">
      <c r="A286" s="25">
        <v>41134</v>
      </c>
      <c r="B286" s="225" t="s">
        <v>1998</v>
      </c>
      <c r="C286" s="219" t="s">
        <v>680</v>
      </c>
      <c r="D286" s="225" t="s">
        <v>289</v>
      </c>
      <c r="E286" s="196">
        <v>10434</v>
      </c>
      <c r="F286" s="119">
        <v>40</v>
      </c>
      <c r="G286" s="26" t="s">
        <v>692</v>
      </c>
      <c r="H286" s="31">
        <v>15.6195</v>
      </c>
      <c r="I286" s="27">
        <f t="shared" si="9"/>
        <v>624.78</v>
      </c>
      <c r="J286" s="28" t="s">
        <v>64</v>
      </c>
      <c r="K286" s="25">
        <v>41138</v>
      </c>
      <c r="L286" s="25">
        <v>41130</v>
      </c>
      <c r="M286" s="29" t="s">
        <v>699</v>
      </c>
      <c r="N286" s="28" t="s">
        <v>56</v>
      </c>
      <c r="O286" s="32">
        <v>2462.85</v>
      </c>
      <c r="P286" s="56">
        <v>41138</v>
      </c>
      <c r="S286" s="49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</row>
    <row r="287" spans="1:32" ht="12" customHeight="1">
      <c r="A287" s="25">
        <v>41134</v>
      </c>
      <c r="B287" s="225" t="s">
        <v>1998</v>
      </c>
      <c r="C287" s="219" t="s">
        <v>680</v>
      </c>
      <c r="D287" s="225" t="s">
        <v>267</v>
      </c>
      <c r="E287" s="196">
        <v>12308</v>
      </c>
      <c r="F287" s="119">
        <v>20</v>
      </c>
      <c r="G287" s="26" t="s">
        <v>692</v>
      </c>
      <c r="H287" s="31">
        <v>18.778500000000001</v>
      </c>
      <c r="I287" s="27">
        <f t="shared" si="9"/>
        <v>375.57000000000005</v>
      </c>
      <c r="J287" s="28" t="s">
        <v>64</v>
      </c>
      <c r="K287" s="25">
        <v>41138</v>
      </c>
      <c r="L287" s="25">
        <v>41130</v>
      </c>
      <c r="M287" s="29" t="s">
        <v>699</v>
      </c>
      <c r="N287" s="28" t="s">
        <v>56</v>
      </c>
      <c r="O287" s="32">
        <v>2462.85</v>
      </c>
      <c r="P287" s="56">
        <v>41138</v>
      </c>
      <c r="S287" s="49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</row>
    <row r="288" spans="1:32" ht="12" customHeight="1">
      <c r="A288" s="25">
        <v>41134</v>
      </c>
      <c r="B288" s="225" t="s">
        <v>1998</v>
      </c>
      <c r="C288" s="219" t="s">
        <v>680</v>
      </c>
      <c r="D288" s="5" t="s">
        <v>2023</v>
      </c>
      <c r="E288" s="196" t="s">
        <v>263</v>
      </c>
      <c r="F288" s="119">
        <v>10</v>
      </c>
      <c r="G288" s="26" t="s">
        <v>692</v>
      </c>
      <c r="H288" s="31">
        <v>29.25</v>
      </c>
      <c r="I288" s="27">
        <f t="shared" si="9"/>
        <v>292.5</v>
      </c>
      <c r="J288" s="28" t="s">
        <v>64</v>
      </c>
      <c r="K288" s="25">
        <v>41138</v>
      </c>
      <c r="L288" s="25">
        <v>41130</v>
      </c>
      <c r="M288" s="29" t="s">
        <v>699</v>
      </c>
      <c r="N288" s="28" t="s">
        <v>56</v>
      </c>
      <c r="O288" s="32">
        <v>2462.85</v>
      </c>
      <c r="P288" s="56">
        <v>41138</v>
      </c>
      <c r="S288" s="49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</row>
    <row r="289" spans="1:32" ht="12" customHeight="1">
      <c r="A289" s="25">
        <v>41134</v>
      </c>
      <c r="B289" s="225" t="s">
        <v>1998</v>
      </c>
      <c r="C289" s="219" t="s">
        <v>680</v>
      </c>
      <c r="D289" s="225" t="s">
        <v>1908</v>
      </c>
      <c r="E289" s="196">
        <v>10197</v>
      </c>
      <c r="F289" s="119">
        <v>20</v>
      </c>
      <c r="G289" s="26" t="s">
        <v>692</v>
      </c>
      <c r="H289" s="31">
        <v>39.078000000000003</v>
      </c>
      <c r="I289" s="27">
        <f t="shared" si="9"/>
        <v>781.56000000000006</v>
      </c>
      <c r="J289" s="28" t="s">
        <v>64</v>
      </c>
      <c r="K289" s="25">
        <v>41138</v>
      </c>
      <c r="L289" s="25">
        <v>41130</v>
      </c>
      <c r="M289" s="29" t="s">
        <v>699</v>
      </c>
      <c r="N289" s="28" t="s">
        <v>56</v>
      </c>
      <c r="O289" s="32">
        <v>2462.85</v>
      </c>
      <c r="P289" s="56">
        <v>41138</v>
      </c>
      <c r="S289" s="49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</row>
    <row r="290" spans="1:32" ht="12" customHeight="1">
      <c r="A290" s="25">
        <v>41135</v>
      </c>
      <c r="B290" s="225" t="s">
        <v>1989</v>
      </c>
      <c r="C290" s="219" t="s">
        <v>680</v>
      </c>
      <c r="D290" s="225" t="s">
        <v>29</v>
      </c>
      <c r="E290" s="196" t="s">
        <v>30</v>
      </c>
      <c r="F290" s="119">
        <v>1</v>
      </c>
      <c r="G290" s="26" t="s">
        <v>686</v>
      </c>
      <c r="H290" s="31">
        <v>1469.58</v>
      </c>
      <c r="I290" s="27">
        <f t="shared" si="9"/>
        <v>1469.58</v>
      </c>
      <c r="J290" s="28" t="s">
        <v>31</v>
      </c>
      <c r="K290" s="25">
        <v>41135</v>
      </c>
      <c r="L290" s="25">
        <v>41138</v>
      </c>
      <c r="M290" s="29" t="s">
        <v>699</v>
      </c>
      <c r="N290" s="37" t="s">
        <v>142</v>
      </c>
      <c r="O290" s="32">
        <v>13200.78</v>
      </c>
      <c r="P290" s="56">
        <v>41149</v>
      </c>
      <c r="S290" s="49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</row>
    <row r="291" spans="1:32" ht="12" customHeight="1">
      <c r="A291" s="25">
        <v>41135</v>
      </c>
      <c r="B291" s="225" t="s">
        <v>1989</v>
      </c>
      <c r="C291" s="219" t="s">
        <v>680</v>
      </c>
      <c r="D291" s="225" t="s">
        <v>289</v>
      </c>
      <c r="E291" s="196">
        <v>10434</v>
      </c>
      <c r="F291" s="119">
        <v>20</v>
      </c>
      <c r="G291" s="26" t="s">
        <v>692</v>
      </c>
      <c r="H291" s="31">
        <v>14.28</v>
      </c>
      <c r="I291" s="27">
        <f t="shared" si="9"/>
        <v>285.59999999999997</v>
      </c>
      <c r="J291" s="28" t="s">
        <v>42</v>
      </c>
      <c r="K291" s="25">
        <v>41135</v>
      </c>
      <c r="L291" s="25">
        <v>41138</v>
      </c>
      <c r="M291" s="29" t="s">
        <v>690</v>
      </c>
      <c r="N291" s="28" t="s">
        <v>715</v>
      </c>
      <c r="S291" s="49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</row>
    <row r="292" spans="1:32" ht="12" customHeight="1">
      <c r="A292" s="25">
        <v>41135</v>
      </c>
      <c r="B292" s="225" t="s">
        <v>1993</v>
      </c>
      <c r="C292" s="219" t="s">
        <v>680</v>
      </c>
      <c r="D292" s="225" t="s">
        <v>1909</v>
      </c>
      <c r="E292" s="196" t="s">
        <v>36</v>
      </c>
      <c r="F292" s="119">
        <v>2</v>
      </c>
      <c r="G292" s="26" t="s">
        <v>698</v>
      </c>
      <c r="H292" s="31">
        <v>52</v>
      </c>
      <c r="I292" s="27">
        <f t="shared" si="9"/>
        <v>104</v>
      </c>
      <c r="J292" s="28" t="s">
        <v>4965</v>
      </c>
      <c r="K292" s="25">
        <v>41135</v>
      </c>
      <c r="L292" s="56">
        <v>41152</v>
      </c>
      <c r="M292" s="29" t="s">
        <v>690</v>
      </c>
      <c r="N292" s="28" t="s">
        <v>715</v>
      </c>
      <c r="S292" s="49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</row>
    <row r="293" spans="1:32" ht="12" customHeight="1">
      <c r="A293" s="25">
        <v>41135</v>
      </c>
      <c r="B293" s="225" t="s">
        <v>1994</v>
      </c>
      <c r="C293" s="219" t="s">
        <v>680</v>
      </c>
      <c r="D293" s="225" t="s">
        <v>1883</v>
      </c>
      <c r="E293" s="196">
        <v>8210</v>
      </c>
      <c r="F293" s="119">
        <v>19200</v>
      </c>
      <c r="G293" s="26" t="s">
        <v>232</v>
      </c>
      <c r="H293" s="31">
        <v>3.63</v>
      </c>
      <c r="I293" s="27">
        <f t="shared" si="9"/>
        <v>69696</v>
      </c>
      <c r="K293" s="25">
        <v>41136</v>
      </c>
      <c r="L293" s="25">
        <v>41136</v>
      </c>
      <c r="M293" s="29" t="s">
        <v>699</v>
      </c>
      <c r="N293" s="38" t="s">
        <v>143</v>
      </c>
      <c r="O293" s="32">
        <v>72146</v>
      </c>
      <c r="P293" s="56">
        <v>41149</v>
      </c>
      <c r="S293" s="49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</row>
    <row r="294" spans="1:32" ht="12" customHeight="1">
      <c r="A294" s="25">
        <v>41136</v>
      </c>
      <c r="B294" s="225" t="s">
        <v>1993</v>
      </c>
      <c r="C294" s="219" t="s">
        <v>680</v>
      </c>
      <c r="D294" s="225" t="s">
        <v>264</v>
      </c>
      <c r="E294" s="196" t="s">
        <v>283</v>
      </c>
      <c r="F294" s="119">
        <v>50</v>
      </c>
      <c r="G294" s="26" t="s">
        <v>686</v>
      </c>
      <c r="H294" s="31">
        <v>1.92</v>
      </c>
      <c r="I294" s="27">
        <f t="shared" si="9"/>
        <v>96</v>
      </c>
      <c r="J294" s="28" t="s">
        <v>131</v>
      </c>
      <c r="K294" s="25">
        <v>41136</v>
      </c>
      <c r="L294" s="56">
        <v>41152</v>
      </c>
      <c r="M294" s="29" t="s">
        <v>167</v>
      </c>
      <c r="N294" s="52" t="s">
        <v>162</v>
      </c>
      <c r="O294" s="32">
        <v>15416.4</v>
      </c>
      <c r="P294" s="56">
        <v>41151</v>
      </c>
      <c r="S294" s="49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</row>
    <row r="295" spans="1:32" ht="12" customHeight="1">
      <c r="A295" s="25">
        <v>41136</v>
      </c>
      <c r="B295" s="225" t="s">
        <v>1993</v>
      </c>
      <c r="C295" s="219" t="s">
        <v>680</v>
      </c>
      <c r="D295" s="225" t="s">
        <v>355</v>
      </c>
      <c r="E295" s="196" t="s">
        <v>260</v>
      </c>
      <c r="F295" s="119">
        <v>120</v>
      </c>
      <c r="G295" s="26" t="s">
        <v>686</v>
      </c>
      <c r="H295" s="31">
        <v>12.74</v>
      </c>
      <c r="I295" s="27">
        <f t="shared" si="9"/>
        <v>1528.8</v>
      </c>
      <c r="J295" s="28" t="s">
        <v>131</v>
      </c>
      <c r="K295" s="25">
        <v>41136</v>
      </c>
      <c r="L295" s="56">
        <v>41152</v>
      </c>
      <c r="M295" s="29" t="s">
        <v>167</v>
      </c>
      <c r="N295" s="52" t="s">
        <v>162</v>
      </c>
      <c r="O295" s="32">
        <v>15416.4</v>
      </c>
      <c r="P295" s="56">
        <v>41151</v>
      </c>
      <c r="S295" s="49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</row>
    <row r="296" spans="1:32" ht="12" customHeight="1">
      <c r="A296" s="25">
        <v>41136</v>
      </c>
      <c r="B296" s="225" t="s">
        <v>1993</v>
      </c>
      <c r="C296" s="219" t="s">
        <v>680</v>
      </c>
      <c r="D296" s="225" t="s">
        <v>269</v>
      </c>
      <c r="E296" s="196" t="s">
        <v>270</v>
      </c>
      <c r="F296" s="119">
        <v>200</v>
      </c>
      <c r="G296" s="26" t="s">
        <v>232</v>
      </c>
      <c r="H296" s="31">
        <v>1.43</v>
      </c>
      <c r="I296" s="27">
        <f t="shared" si="9"/>
        <v>286</v>
      </c>
      <c r="J296" s="28" t="s">
        <v>131</v>
      </c>
      <c r="K296" s="25">
        <v>41136</v>
      </c>
      <c r="L296" s="56">
        <v>41152</v>
      </c>
      <c r="M296" s="29" t="s">
        <v>167</v>
      </c>
      <c r="N296" s="52" t="s">
        <v>162</v>
      </c>
      <c r="O296" s="32">
        <v>15416.4</v>
      </c>
      <c r="P296" s="56">
        <v>41151</v>
      </c>
      <c r="S296" s="49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</row>
    <row r="297" spans="1:32" ht="12" customHeight="1">
      <c r="A297" s="25">
        <v>41137</v>
      </c>
      <c r="B297" s="225" t="s">
        <v>1999</v>
      </c>
      <c r="C297" s="219" t="s">
        <v>680</v>
      </c>
      <c r="D297" s="342" t="s">
        <v>241</v>
      </c>
      <c r="E297" s="196">
        <v>6200</v>
      </c>
      <c r="F297" s="119">
        <v>100</v>
      </c>
      <c r="G297" s="26" t="s">
        <v>230</v>
      </c>
      <c r="H297" s="31">
        <v>45</v>
      </c>
      <c r="I297" s="27">
        <f t="shared" ref="I297:I328" si="10">H297*F297</f>
        <v>4500</v>
      </c>
      <c r="J297" s="28" t="s">
        <v>43</v>
      </c>
      <c r="K297" s="25">
        <v>41143</v>
      </c>
      <c r="L297" s="25">
        <v>41138</v>
      </c>
      <c r="M297" s="29" t="s">
        <v>699</v>
      </c>
      <c r="N297" s="28" t="s">
        <v>1245</v>
      </c>
      <c r="O297" s="32">
        <v>25994.400000000001</v>
      </c>
      <c r="P297" s="56">
        <v>41222</v>
      </c>
      <c r="R297" s="26" t="s">
        <v>78</v>
      </c>
      <c r="S297" s="49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</row>
    <row r="298" spans="1:32" ht="12" customHeight="1">
      <c r="A298" s="25">
        <v>41137</v>
      </c>
      <c r="B298" s="225" t="s">
        <v>1999</v>
      </c>
      <c r="C298" s="219" t="s">
        <v>680</v>
      </c>
      <c r="D298" s="225" t="s">
        <v>1887</v>
      </c>
      <c r="E298" s="225" t="s">
        <v>1874</v>
      </c>
      <c r="F298" s="119">
        <v>600</v>
      </c>
      <c r="G298" s="26" t="s">
        <v>691</v>
      </c>
      <c r="H298" s="31">
        <v>8.8000000000000007</v>
      </c>
      <c r="I298" s="27">
        <f t="shared" si="10"/>
        <v>5280</v>
      </c>
      <c r="J298" s="28" t="s">
        <v>43</v>
      </c>
      <c r="K298" s="25">
        <v>41143</v>
      </c>
      <c r="L298" s="25">
        <v>41138</v>
      </c>
      <c r="M298" s="29" t="s">
        <v>699</v>
      </c>
      <c r="N298" s="28" t="s">
        <v>1245</v>
      </c>
      <c r="O298" s="32">
        <v>25994.400000000001</v>
      </c>
      <c r="P298" s="56">
        <v>41222</v>
      </c>
      <c r="R298" s="26" t="s">
        <v>78</v>
      </c>
      <c r="S298" s="49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</row>
    <row r="299" spans="1:32" ht="12" customHeight="1">
      <c r="A299" s="25">
        <v>41138</v>
      </c>
      <c r="B299" s="225" t="s">
        <v>1989</v>
      </c>
      <c r="C299" s="219" t="s">
        <v>680</v>
      </c>
      <c r="D299" s="225" t="s">
        <v>307</v>
      </c>
      <c r="E299" s="196">
        <v>1270</v>
      </c>
      <c r="F299" s="119">
        <v>100</v>
      </c>
      <c r="G299" s="190" t="s">
        <v>240</v>
      </c>
      <c r="H299" s="31">
        <v>4.1399999999999997</v>
      </c>
      <c r="I299" s="27">
        <f t="shared" si="10"/>
        <v>413.99999999999994</v>
      </c>
      <c r="J299" s="28" t="s">
        <v>132</v>
      </c>
      <c r="K299" s="25">
        <v>41138</v>
      </c>
      <c r="L299" s="25">
        <v>41138</v>
      </c>
      <c r="M299" s="29" t="s">
        <v>690</v>
      </c>
      <c r="N299" s="28" t="s">
        <v>715</v>
      </c>
      <c r="S299" s="49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</row>
    <row r="300" spans="1:32" ht="12" customHeight="1">
      <c r="A300" s="25">
        <v>41138</v>
      </c>
      <c r="B300" s="225" t="s">
        <v>1999</v>
      </c>
      <c r="C300" s="219" t="s">
        <v>680</v>
      </c>
      <c r="D300" s="225" t="s">
        <v>828</v>
      </c>
      <c r="E300" s="196" t="s">
        <v>327</v>
      </c>
      <c r="F300" s="119">
        <v>300</v>
      </c>
      <c r="G300" s="26" t="s">
        <v>691</v>
      </c>
      <c r="H300" s="31">
        <v>5</v>
      </c>
      <c r="I300" s="27">
        <f t="shared" si="10"/>
        <v>1500</v>
      </c>
      <c r="J300" s="28" t="s">
        <v>133</v>
      </c>
      <c r="K300" s="25">
        <v>41141</v>
      </c>
      <c r="L300" s="25">
        <v>41141</v>
      </c>
      <c r="M300" s="29" t="s">
        <v>690</v>
      </c>
      <c r="N300" s="28" t="s">
        <v>715</v>
      </c>
      <c r="S300" s="49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</row>
    <row r="301" spans="1:32" ht="12" customHeight="1">
      <c r="A301" s="25">
        <v>41141</v>
      </c>
      <c r="B301" s="225" t="s">
        <v>229</v>
      </c>
      <c r="C301" s="219" t="s">
        <v>758</v>
      </c>
      <c r="D301" s="225" t="s">
        <v>66</v>
      </c>
      <c r="E301" s="196" t="s">
        <v>65</v>
      </c>
      <c r="F301" s="119">
        <v>5</v>
      </c>
      <c r="G301" s="26" t="s">
        <v>691</v>
      </c>
      <c r="H301" s="31">
        <v>6.05</v>
      </c>
      <c r="I301" s="27">
        <f t="shared" si="10"/>
        <v>30.25</v>
      </c>
      <c r="J301" s="28" t="s">
        <v>134</v>
      </c>
      <c r="K301" s="25">
        <v>41141</v>
      </c>
      <c r="L301" s="56">
        <v>41166</v>
      </c>
      <c r="M301" s="29" t="s">
        <v>879</v>
      </c>
      <c r="N301" s="28" t="s">
        <v>715</v>
      </c>
      <c r="S301" s="49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</row>
    <row r="302" spans="1:32" ht="12" customHeight="1">
      <c r="A302" s="25">
        <v>41141</v>
      </c>
      <c r="B302" s="225" t="s">
        <v>229</v>
      </c>
      <c r="C302" s="219" t="s">
        <v>758</v>
      </c>
      <c r="D302" s="225" t="s">
        <v>307</v>
      </c>
      <c r="E302" s="196">
        <v>1270</v>
      </c>
      <c r="F302" s="119">
        <v>100</v>
      </c>
      <c r="G302" s="190" t="s">
        <v>240</v>
      </c>
      <c r="H302" s="31">
        <v>4.1399999999999997</v>
      </c>
      <c r="I302" s="27">
        <f t="shared" si="10"/>
        <v>413.99999999999994</v>
      </c>
      <c r="J302" s="28" t="s">
        <v>134</v>
      </c>
      <c r="K302" s="25">
        <v>41141</v>
      </c>
      <c r="L302" s="56">
        <v>41166</v>
      </c>
      <c r="M302" s="29" t="s">
        <v>879</v>
      </c>
      <c r="N302" s="28" t="s">
        <v>715</v>
      </c>
      <c r="S302" s="49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</row>
    <row r="303" spans="1:32" ht="12" customHeight="1">
      <c r="A303" s="25">
        <v>41141</v>
      </c>
      <c r="B303" s="225" t="s">
        <v>229</v>
      </c>
      <c r="C303" s="219" t="s">
        <v>758</v>
      </c>
      <c r="D303" s="225" t="s">
        <v>69</v>
      </c>
      <c r="E303" s="196">
        <v>6005</v>
      </c>
      <c r="F303" s="119">
        <v>8</v>
      </c>
      <c r="G303" s="26" t="s">
        <v>686</v>
      </c>
      <c r="H303" s="31">
        <v>40.369999999999997</v>
      </c>
      <c r="I303" s="27">
        <f t="shared" si="10"/>
        <v>322.95999999999998</v>
      </c>
      <c r="J303" s="28" t="s">
        <v>134</v>
      </c>
      <c r="K303" s="25">
        <v>41141</v>
      </c>
      <c r="L303" s="56">
        <v>41166</v>
      </c>
      <c r="M303" s="29" t="s">
        <v>879</v>
      </c>
      <c r="N303" s="28" t="s">
        <v>947</v>
      </c>
      <c r="O303" s="32">
        <v>37976.959999999999</v>
      </c>
      <c r="P303" s="56">
        <v>41180</v>
      </c>
      <c r="S303" s="49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</row>
    <row r="304" spans="1:32" ht="12" customHeight="1">
      <c r="A304" s="25">
        <v>41142</v>
      </c>
      <c r="B304" s="225" t="s">
        <v>1993</v>
      </c>
      <c r="C304" s="219" t="s">
        <v>758</v>
      </c>
      <c r="D304" s="225" t="s">
        <v>233</v>
      </c>
      <c r="E304" s="196" t="s">
        <v>72</v>
      </c>
      <c r="F304" s="205">
        <v>2200</v>
      </c>
      <c r="G304" s="26" t="s">
        <v>691</v>
      </c>
      <c r="H304" s="27">
        <v>1.7</v>
      </c>
      <c r="I304" s="27">
        <f t="shared" si="10"/>
        <v>3740</v>
      </c>
      <c r="J304" s="28" t="s">
        <v>74</v>
      </c>
      <c r="K304" s="25">
        <v>41142</v>
      </c>
      <c r="L304" s="56">
        <v>41152</v>
      </c>
      <c r="M304" s="29" t="s">
        <v>167</v>
      </c>
      <c r="N304" s="52" t="s">
        <v>162</v>
      </c>
      <c r="O304" s="32">
        <v>15416.4</v>
      </c>
      <c r="P304" s="56">
        <v>41151</v>
      </c>
      <c r="S304" s="49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</row>
    <row r="305" spans="1:32" ht="12" customHeight="1">
      <c r="A305" s="25">
        <v>41142</v>
      </c>
      <c r="B305" s="225" t="s">
        <v>1993</v>
      </c>
      <c r="C305" s="219" t="s">
        <v>758</v>
      </c>
      <c r="D305" s="1" t="s">
        <v>1216</v>
      </c>
      <c r="E305" s="196">
        <v>3200</v>
      </c>
      <c r="F305" s="119">
        <v>200</v>
      </c>
      <c r="G305" s="26" t="s">
        <v>686</v>
      </c>
      <c r="H305" s="27">
        <v>26</v>
      </c>
      <c r="I305" s="27">
        <f t="shared" si="10"/>
        <v>5200</v>
      </c>
      <c r="J305" s="28" t="s">
        <v>74</v>
      </c>
      <c r="K305" s="25">
        <v>41142</v>
      </c>
      <c r="L305" s="56">
        <v>41152</v>
      </c>
      <c r="M305" s="29" t="s">
        <v>167</v>
      </c>
      <c r="N305" s="52" t="s">
        <v>162</v>
      </c>
      <c r="O305" s="32">
        <v>15416.4</v>
      </c>
      <c r="P305" s="56">
        <v>41151</v>
      </c>
      <c r="S305" s="49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</row>
    <row r="306" spans="1:32" ht="12" customHeight="1">
      <c r="A306" s="25">
        <v>41142</v>
      </c>
      <c r="B306" s="225" t="s">
        <v>1993</v>
      </c>
      <c r="C306" s="219" t="s">
        <v>758</v>
      </c>
      <c r="D306" s="225" t="s">
        <v>348</v>
      </c>
      <c r="E306" s="196">
        <v>3700</v>
      </c>
      <c r="F306" s="119">
        <v>200</v>
      </c>
      <c r="G306" s="26" t="s">
        <v>686</v>
      </c>
      <c r="H306" s="27">
        <v>3.3</v>
      </c>
      <c r="I306" s="27">
        <f t="shared" si="10"/>
        <v>660</v>
      </c>
      <c r="J306" s="28" t="s">
        <v>74</v>
      </c>
      <c r="K306" s="25">
        <v>41142</v>
      </c>
      <c r="L306" s="66">
        <v>41152</v>
      </c>
      <c r="M306" s="29" t="s">
        <v>167</v>
      </c>
      <c r="N306" s="53" t="s">
        <v>162</v>
      </c>
      <c r="O306" s="54">
        <v>15416.4</v>
      </c>
      <c r="P306" s="57">
        <v>41151</v>
      </c>
      <c r="Q306" s="49"/>
      <c r="R306" s="49"/>
      <c r="S306" s="49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</row>
    <row r="307" spans="1:32" ht="12" customHeight="1">
      <c r="A307" s="25">
        <v>41143</v>
      </c>
      <c r="B307" s="225" t="s">
        <v>229</v>
      </c>
      <c r="C307" s="219" t="s">
        <v>758</v>
      </c>
      <c r="D307" s="225" t="s">
        <v>309</v>
      </c>
      <c r="E307" s="196">
        <v>1110</v>
      </c>
      <c r="F307" s="119">
        <v>600</v>
      </c>
      <c r="G307" s="26" t="s">
        <v>692</v>
      </c>
      <c r="H307" s="31">
        <v>0.77</v>
      </c>
      <c r="I307" s="27">
        <f t="shared" si="10"/>
        <v>462</v>
      </c>
      <c r="J307" s="28" t="s">
        <v>135</v>
      </c>
      <c r="K307" s="25">
        <v>41143</v>
      </c>
      <c r="L307" s="57">
        <v>41166</v>
      </c>
      <c r="M307" s="49" t="s">
        <v>879</v>
      </c>
      <c r="N307" s="49" t="s">
        <v>947</v>
      </c>
      <c r="O307" s="49">
        <v>37976.959999999999</v>
      </c>
      <c r="P307" s="57">
        <v>41180</v>
      </c>
      <c r="Q307" s="49"/>
      <c r="R307" s="49"/>
      <c r="S307" s="49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</row>
    <row r="308" spans="1:32" ht="12" customHeight="1">
      <c r="A308" s="25">
        <v>41144</v>
      </c>
      <c r="B308" s="225" t="s">
        <v>229</v>
      </c>
      <c r="C308" s="219" t="s">
        <v>758</v>
      </c>
      <c r="D308" s="225" t="s">
        <v>289</v>
      </c>
      <c r="E308" s="196">
        <v>10434</v>
      </c>
      <c r="F308" s="119">
        <v>15</v>
      </c>
      <c r="G308" s="26" t="s">
        <v>692</v>
      </c>
      <c r="H308" s="31">
        <v>14.88</v>
      </c>
      <c r="I308" s="27">
        <f t="shared" si="10"/>
        <v>223.20000000000002</v>
      </c>
      <c r="J308" s="28" t="s">
        <v>136</v>
      </c>
      <c r="K308" s="25">
        <v>41144</v>
      </c>
      <c r="L308" s="56">
        <v>41166</v>
      </c>
      <c r="M308" s="29" t="s">
        <v>879</v>
      </c>
      <c r="N308" s="28" t="s">
        <v>947</v>
      </c>
      <c r="O308" s="32">
        <v>37976.959999999999</v>
      </c>
      <c r="P308" s="56">
        <v>41180</v>
      </c>
    </row>
    <row r="309" spans="1:32" ht="12" customHeight="1">
      <c r="A309" s="25">
        <v>41144</v>
      </c>
      <c r="B309" s="225" t="s">
        <v>229</v>
      </c>
      <c r="C309" s="219" t="s">
        <v>758</v>
      </c>
      <c r="D309" s="5" t="s">
        <v>1910</v>
      </c>
      <c r="E309" s="196" t="s">
        <v>88</v>
      </c>
      <c r="F309" s="119">
        <v>180</v>
      </c>
      <c r="G309" s="26" t="s">
        <v>692</v>
      </c>
      <c r="H309" s="31">
        <v>3.97</v>
      </c>
      <c r="I309" s="27">
        <f t="shared" si="10"/>
        <v>714.6</v>
      </c>
      <c r="J309" s="28" t="s">
        <v>136</v>
      </c>
      <c r="K309" s="25">
        <v>41144</v>
      </c>
      <c r="L309" s="56">
        <v>41166</v>
      </c>
      <c r="M309" s="29" t="s">
        <v>879</v>
      </c>
      <c r="N309" s="28" t="s">
        <v>947</v>
      </c>
      <c r="O309" s="32">
        <v>37976.959999999999</v>
      </c>
      <c r="P309" s="56">
        <v>41180</v>
      </c>
    </row>
    <row r="310" spans="1:32" ht="12" customHeight="1">
      <c r="A310" s="25">
        <v>41145</v>
      </c>
      <c r="B310" s="225" t="s">
        <v>1994</v>
      </c>
      <c r="C310" s="219" t="s">
        <v>758</v>
      </c>
      <c r="D310" s="225" t="s">
        <v>1878</v>
      </c>
      <c r="E310" s="196" t="s">
        <v>90</v>
      </c>
      <c r="F310" s="119">
        <v>2500</v>
      </c>
      <c r="G310" s="198" t="s">
        <v>230</v>
      </c>
      <c r="H310" s="31">
        <v>1.46</v>
      </c>
      <c r="I310" s="27">
        <f t="shared" si="10"/>
        <v>3650</v>
      </c>
      <c r="K310" s="25">
        <v>41145</v>
      </c>
      <c r="L310" s="25">
        <v>41145</v>
      </c>
      <c r="M310" s="29" t="s">
        <v>699</v>
      </c>
      <c r="N310" s="36" t="s">
        <v>138</v>
      </c>
      <c r="O310" s="32">
        <v>18407</v>
      </c>
      <c r="P310" s="56">
        <v>41145</v>
      </c>
    </row>
    <row r="311" spans="1:32" ht="12" customHeight="1">
      <c r="A311" s="25">
        <v>41145</v>
      </c>
      <c r="B311" s="225" t="s">
        <v>1994</v>
      </c>
      <c r="C311" s="219" t="s">
        <v>758</v>
      </c>
      <c r="D311" s="225" t="s">
        <v>233</v>
      </c>
      <c r="E311" s="196" t="s">
        <v>89</v>
      </c>
      <c r="F311" s="119">
        <v>3000</v>
      </c>
      <c r="G311" s="194" t="s">
        <v>232</v>
      </c>
      <c r="H311" s="31">
        <v>4.78</v>
      </c>
      <c r="I311" s="27">
        <f t="shared" si="10"/>
        <v>14340</v>
      </c>
      <c r="K311" s="25">
        <v>41145</v>
      </c>
      <c r="L311" s="25">
        <v>41145</v>
      </c>
      <c r="M311" s="29" t="s">
        <v>699</v>
      </c>
      <c r="N311" s="36" t="s">
        <v>138</v>
      </c>
      <c r="O311" s="32">
        <v>18407</v>
      </c>
      <c r="P311" s="56">
        <v>41145</v>
      </c>
    </row>
    <row r="312" spans="1:32" ht="12" customHeight="1">
      <c r="A312" s="25">
        <v>41145</v>
      </c>
      <c r="B312" s="225" t="s">
        <v>1994</v>
      </c>
      <c r="C312" s="219" t="s">
        <v>758</v>
      </c>
      <c r="D312" s="225" t="s">
        <v>264</v>
      </c>
      <c r="E312" s="196">
        <v>501</v>
      </c>
      <c r="F312" s="119">
        <v>300</v>
      </c>
      <c r="G312" s="190" t="s">
        <v>686</v>
      </c>
      <c r="H312" s="31">
        <v>1.39</v>
      </c>
      <c r="I312" s="27">
        <f t="shared" si="10"/>
        <v>416.99999999999994</v>
      </c>
      <c r="K312" s="25">
        <v>41145</v>
      </c>
      <c r="L312" s="25">
        <v>41145</v>
      </c>
      <c r="M312" s="29" t="s">
        <v>699</v>
      </c>
      <c r="N312" s="36" t="s">
        <v>138</v>
      </c>
      <c r="O312" s="32">
        <v>18407</v>
      </c>
      <c r="P312" s="56">
        <v>41145</v>
      </c>
    </row>
    <row r="313" spans="1:32" ht="12" customHeight="1">
      <c r="A313" s="25">
        <v>41145</v>
      </c>
      <c r="B313" s="225" t="s">
        <v>1989</v>
      </c>
      <c r="C313" s="219" t="s">
        <v>758</v>
      </c>
      <c r="D313" s="225" t="s">
        <v>289</v>
      </c>
      <c r="E313" s="196">
        <v>10434</v>
      </c>
      <c r="F313" s="119">
        <v>20</v>
      </c>
      <c r="G313" s="26" t="s">
        <v>91</v>
      </c>
      <c r="H313" s="31">
        <v>14.88</v>
      </c>
      <c r="I313" s="27">
        <f t="shared" si="10"/>
        <v>297.60000000000002</v>
      </c>
      <c r="J313" s="28" t="s">
        <v>137</v>
      </c>
      <c r="K313" s="25">
        <v>41145</v>
      </c>
      <c r="L313" s="56">
        <v>41166</v>
      </c>
      <c r="M313" s="29" t="s">
        <v>879</v>
      </c>
      <c r="N313" s="28" t="s">
        <v>947</v>
      </c>
      <c r="O313" s="32">
        <v>37976.959999999999</v>
      </c>
      <c r="P313" s="56">
        <v>41180</v>
      </c>
    </row>
    <row r="314" spans="1:32" ht="12" customHeight="1">
      <c r="A314" s="25">
        <v>41150</v>
      </c>
      <c r="B314" s="225" t="s">
        <v>254</v>
      </c>
      <c r="C314" s="219" t="s">
        <v>758</v>
      </c>
      <c r="D314" s="225" t="s">
        <v>274</v>
      </c>
      <c r="E314" s="196" t="s">
        <v>783</v>
      </c>
      <c r="F314" s="119">
        <v>600</v>
      </c>
      <c r="G314" s="26" t="s">
        <v>686</v>
      </c>
      <c r="H314" s="31">
        <v>29</v>
      </c>
      <c r="I314" s="27">
        <f t="shared" si="10"/>
        <v>17400</v>
      </c>
      <c r="K314" s="25">
        <v>41150</v>
      </c>
      <c r="L314" s="25">
        <v>41150</v>
      </c>
      <c r="M314" s="29" t="s">
        <v>700</v>
      </c>
      <c r="N314" s="80" t="s">
        <v>917</v>
      </c>
      <c r="O314" s="81">
        <v>21015</v>
      </c>
      <c r="P314" s="56">
        <v>41167</v>
      </c>
    </row>
    <row r="315" spans="1:32" ht="12" customHeight="1">
      <c r="A315" s="25">
        <v>41150</v>
      </c>
      <c r="B315" s="225" t="s">
        <v>254</v>
      </c>
      <c r="C315" s="219" t="s">
        <v>758</v>
      </c>
      <c r="D315" s="225" t="s">
        <v>355</v>
      </c>
      <c r="E315" s="196" t="s">
        <v>146</v>
      </c>
      <c r="F315" s="119">
        <v>120</v>
      </c>
      <c r="G315" s="26" t="s">
        <v>686</v>
      </c>
      <c r="H315" s="31">
        <v>17</v>
      </c>
      <c r="I315" s="27">
        <f t="shared" si="10"/>
        <v>2040</v>
      </c>
      <c r="K315" s="25">
        <v>41150</v>
      </c>
      <c r="L315" s="25">
        <v>41150</v>
      </c>
      <c r="M315" s="29" t="s">
        <v>700</v>
      </c>
      <c r="N315" s="80" t="s">
        <v>917</v>
      </c>
      <c r="O315" s="81">
        <v>21015</v>
      </c>
      <c r="P315" s="56">
        <v>41167</v>
      </c>
    </row>
    <row r="316" spans="1:32" ht="12" customHeight="1">
      <c r="A316" s="25">
        <v>41150</v>
      </c>
      <c r="B316" s="225" t="s">
        <v>1994</v>
      </c>
      <c r="C316" s="219" t="s">
        <v>758</v>
      </c>
      <c r="D316" s="225" t="s">
        <v>1878</v>
      </c>
      <c r="E316" s="51" t="s">
        <v>155</v>
      </c>
      <c r="F316" s="119">
        <v>3000</v>
      </c>
      <c r="G316" s="198" t="s">
        <v>230</v>
      </c>
      <c r="H316" s="31">
        <v>1.46</v>
      </c>
      <c r="I316" s="27">
        <f t="shared" si="10"/>
        <v>4380</v>
      </c>
      <c r="J316" s="52" t="s">
        <v>158</v>
      </c>
      <c r="K316" s="25">
        <v>41150</v>
      </c>
      <c r="L316" s="25">
        <v>41150</v>
      </c>
      <c r="M316" s="29" t="s">
        <v>699</v>
      </c>
      <c r="N316" s="52" t="s">
        <v>159</v>
      </c>
      <c r="O316" s="32">
        <v>34144.199999999997</v>
      </c>
      <c r="P316" s="56">
        <v>41150</v>
      </c>
    </row>
    <row r="317" spans="1:32" ht="12" customHeight="1">
      <c r="A317" s="25">
        <v>41150</v>
      </c>
      <c r="B317" s="225" t="s">
        <v>1994</v>
      </c>
      <c r="C317" s="219" t="s">
        <v>758</v>
      </c>
      <c r="D317" s="225" t="s">
        <v>1883</v>
      </c>
      <c r="E317" s="196">
        <v>8210</v>
      </c>
      <c r="F317" s="119">
        <v>2240</v>
      </c>
      <c r="G317" s="26" t="s">
        <v>686</v>
      </c>
      <c r="H317" s="31">
        <v>3.63</v>
      </c>
      <c r="I317" s="27">
        <f t="shared" si="10"/>
        <v>8131.2</v>
      </c>
      <c r="J317" s="52" t="s">
        <v>158</v>
      </c>
      <c r="K317" s="25">
        <v>41150</v>
      </c>
      <c r="L317" s="25">
        <v>41150</v>
      </c>
      <c r="M317" s="29" t="s">
        <v>699</v>
      </c>
      <c r="N317" s="52" t="s">
        <v>159</v>
      </c>
      <c r="O317" s="32">
        <v>34144.199999999997</v>
      </c>
      <c r="P317" s="56">
        <v>41150</v>
      </c>
    </row>
    <row r="318" spans="1:32" ht="12" customHeight="1">
      <c r="A318" s="25">
        <v>41150</v>
      </c>
      <c r="B318" s="225" t="s">
        <v>1994</v>
      </c>
      <c r="C318" s="219" t="s">
        <v>758</v>
      </c>
      <c r="D318" s="225" t="s">
        <v>1911</v>
      </c>
      <c r="E318" s="51" t="s">
        <v>156</v>
      </c>
      <c r="F318" s="119">
        <v>40</v>
      </c>
      <c r="G318" s="26" t="s">
        <v>686</v>
      </c>
      <c r="H318" s="31">
        <v>29.5</v>
      </c>
      <c r="I318" s="27">
        <f t="shared" si="10"/>
        <v>1180</v>
      </c>
      <c r="J318" s="52" t="s">
        <v>158</v>
      </c>
      <c r="K318" s="25">
        <v>41150</v>
      </c>
      <c r="L318" s="25">
        <v>41150</v>
      </c>
      <c r="M318" s="29" t="s">
        <v>699</v>
      </c>
      <c r="N318" s="52" t="s">
        <v>159</v>
      </c>
      <c r="O318" s="32">
        <v>34144.199999999997</v>
      </c>
      <c r="P318" s="56">
        <v>41150</v>
      </c>
    </row>
    <row r="319" spans="1:32" ht="12" customHeight="1">
      <c r="A319" s="25">
        <v>41150</v>
      </c>
      <c r="B319" s="225" t="s">
        <v>1994</v>
      </c>
      <c r="C319" s="219" t="s">
        <v>758</v>
      </c>
      <c r="D319" s="225" t="s">
        <v>1929</v>
      </c>
      <c r="E319" s="196">
        <v>6800</v>
      </c>
      <c r="F319" s="119">
        <v>5</v>
      </c>
      <c r="G319" s="26" t="s">
        <v>686</v>
      </c>
      <c r="H319" s="31">
        <v>420</v>
      </c>
      <c r="I319" s="27">
        <f t="shared" si="10"/>
        <v>2100</v>
      </c>
      <c r="J319" s="52" t="s">
        <v>158</v>
      </c>
      <c r="K319" s="25">
        <v>41150</v>
      </c>
      <c r="L319" s="25">
        <v>41150</v>
      </c>
      <c r="M319" s="29" t="s">
        <v>699</v>
      </c>
      <c r="N319" s="52" t="s">
        <v>159</v>
      </c>
      <c r="O319" s="32">
        <v>34144.199999999997</v>
      </c>
      <c r="P319" s="56">
        <v>41150</v>
      </c>
    </row>
    <row r="320" spans="1:32" ht="12" customHeight="1">
      <c r="A320" s="25">
        <v>41150</v>
      </c>
      <c r="B320" s="225" t="s">
        <v>1994</v>
      </c>
      <c r="C320" s="219" t="s">
        <v>758</v>
      </c>
      <c r="D320" s="5" t="s">
        <v>1227</v>
      </c>
      <c r="E320" s="51" t="s">
        <v>147</v>
      </c>
      <c r="F320" s="119">
        <v>100</v>
      </c>
      <c r="G320" s="26" t="s">
        <v>686</v>
      </c>
      <c r="H320" s="31">
        <v>36</v>
      </c>
      <c r="I320" s="27">
        <f t="shared" si="10"/>
        <v>3600</v>
      </c>
      <c r="J320" s="52" t="s">
        <v>158</v>
      </c>
      <c r="K320" s="25">
        <v>41150</v>
      </c>
      <c r="L320" s="25">
        <v>41150</v>
      </c>
      <c r="M320" s="29" t="s">
        <v>699</v>
      </c>
      <c r="N320" s="52" t="s">
        <v>159</v>
      </c>
      <c r="O320" s="32">
        <v>34144.199999999997</v>
      </c>
      <c r="P320" s="56">
        <v>41150</v>
      </c>
    </row>
    <row r="321" spans="1:16" ht="12" customHeight="1">
      <c r="A321" s="25">
        <v>41150</v>
      </c>
      <c r="B321" s="225" t="s">
        <v>1994</v>
      </c>
      <c r="C321" s="219" t="s">
        <v>758</v>
      </c>
      <c r="D321" s="225" t="s">
        <v>264</v>
      </c>
      <c r="E321" s="196" t="s">
        <v>901</v>
      </c>
      <c r="F321" s="119">
        <v>100</v>
      </c>
      <c r="G321" s="26" t="s">
        <v>686</v>
      </c>
      <c r="H321" s="31">
        <v>1.88</v>
      </c>
      <c r="I321" s="27">
        <f t="shared" si="10"/>
        <v>188</v>
      </c>
      <c r="J321" s="52" t="s">
        <v>158</v>
      </c>
      <c r="K321" s="25">
        <v>41150</v>
      </c>
      <c r="L321" s="25">
        <v>41150</v>
      </c>
      <c r="M321" s="29" t="s">
        <v>699</v>
      </c>
      <c r="N321" s="52" t="s">
        <v>159</v>
      </c>
      <c r="O321" s="32">
        <v>34144.199999999997</v>
      </c>
      <c r="P321" s="56">
        <v>41150</v>
      </c>
    </row>
    <row r="322" spans="1:16" ht="12" customHeight="1">
      <c r="A322" s="25">
        <v>41150</v>
      </c>
      <c r="B322" s="225" t="s">
        <v>1994</v>
      </c>
      <c r="C322" s="219" t="s">
        <v>758</v>
      </c>
      <c r="D322" s="225" t="s">
        <v>269</v>
      </c>
      <c r="E322" s="51" t="s">
        <v>776</v>
      </c>
      <c r="F322" s="119">
        <v>100</v>
      </c>
      <c r="G322" s="118" t="s">
        <v>172</v>
      </c>
      <c r="H322" s="31">
        <v>1.4</v>
      </c>
      <c r="I322" s="27">
        <f t="shared" si="10"/>
        <v>140</v>
      </c>
      <c r="J322" s="52" t="s">
        <v>158</v>
      </c>
      <c r="K322" s="25">
        <v>41150</v>
      </c>
      <c r="L322" s="25">
        <v>41150</v>
      </c>
      <c r="M322" s="29" t="s">
        <v>699</v>
      </c>
      <c r="N322" s="52" t="s">
        <v>159</v>
      </c>
      <c r="O322" s="32">
        <v>34144.199999999997</v>
      </c>
      <c r="P322" s="56">
        <v>41150</v>
      </c>
    </row>
    <row r="323" spans="1:16" ht="12" customHeight="1">
      <c r="A323" s="25">
        <v>41150</v>
      </c>
      <c r="B323" s="225" t="s">
        <v>1994</v>
      </c>
      <c r="C323" s="219" t="s">
        <v>758</v>
      </c>
      <c r="D323" s="225" t="s">
        <v>264</v>
      </c>
      <c r="E323" s="196">
        <v>501</v>
      </c>
      <c r="F323" s="119">
        <v>500</v>
      </c>
      <c r="G323" s="190" t="s">
        <v>686</v>
      </c>
      <c r="H323" s="31">
        <v>1.39</v>
      </c>
      <c r="I323" s="27">
        <f t="shared" si="10"/>
        <v>695</v>
      </c>
      <c r="J323" s="52" t="s">
        <v>158</v>
      </c>
      <c r="K323" s="25">
        <v>41150</v>
      </c>
      <c r="L323" s="25">
        <v>41150</v>
      </c>
      <c r="M323" s="29" t="s">
        <v>699</v>
      </c>
      <c r="N323" s="52" t="s">
        <v>159</v>
      </c>
      <c r="O323" s="32">
        <v>34144.199999999997</v>
      </c>
      <c r="P323" s="56">
        <v>41150</v>
      </c>
    </row>
    <row r="324" spans="1:16" ht="12" customHeight="1">
      <c r="A324" s="25">
        <v>41150</v>
      </c>
      <c r="B324" s="225" t="s">
        <v>1994</v>
      </c>
      <c r="C324" s="219" t="s">
        <v>758</v>
      </c>
      <c r="D324" s="225" t="s">
        <v>1887</v>
      </c>
      <c r="E324" s="51" t="s">
        <v>154</v>
      </c>
      <c r="F324" s="119">
        <v>1000</v>
      </c>
      <c r="G324" s="194" t="s">
        <v>232</v>
      </c>
      <c r="H324" s="31">
        <v>4.88</v>
      </c>
      <c r="I324" s="27">
        <f t="shared" si="10"/>
        <v>4880</v>
      </c>
      <c r="J324" s="52" t="s">
        <v>158</v>
      </c>
      <c r="K324" s="25">
        <v>41150</v>
      </c>
      <c r="L324" s="25">
        <v>41150</v>
      </c>
      <c r="M324" s="29" t="s">
        <v>699</v>
      </c>
      <c r="N324" s="52" t="s">
        <v>159</v>
      </c>
      <c r="O324" s="32">
        <v>34144.199999999997</v>
      </c>
      <c r="P324" s="56">
        <v>41150</v>
      </c>
    </row>
    <row r="325" spans="1:16" ht="12" customHeight="1">
      <c r="A325" s="25">
        <v>41150</v>
      </c>
      <c r="B325" s="225" t="s">
        <v>1994</v>
      </c>
      <c r="C325" s="219" t="s">
        <v>758</v>
      </c>
      <c r="D325" s="225" t="s">
        <v>274</v>
      </c>
      <c r="E325" s="51" t="s">
        <v>157</v>
      </c>
      <c r="F325" s="119">
        <v>300</v>
      </c>
      <c r="G325" s="51" t="s">
        <v>686</v>
      </c>
      <c r="H325" s="31">
        <v>29.5</v>
      </c>
      <c r="I325" s="27">
        <f t="shared" si="10"/>
        <v>8850</v>
      </c>
      <c r="J325" s="52" t="s">
        <v>158</v>
      </c>
      <c r="K325" s="25">
        <v>41150</v>
      </c>
      <c r="L325" s="25">
        <v>41150</v>
      </c>
      <c r="M325" s="29" t="s">
        <v>699</v>
      </c>
      <c r="N325" s="52" t="s">
        <v>159</v>
      </c>
      <c r="O325" s="32">
        <v>34144.199999999997</v>
      </c>
      <c r="P325" s="56">
        <v>41150</v>
      </c>
    </row>
    <row r="326" spans="1:16" ht="12" customHeight="1">
      <c r="A326" s="25">
        <v>41151</v>
      </c>
      <c r="B326" s="225" t="s">
        <v>229</v>
      </c>
      <c r="C326" s="219" t="s">
        <v>758</v>
      </c>
      <c r="D326" s="225" t="s">
        <v>264</v>
      </c>
      <c r="E326" s="196">
        <v>501</v>
      </c>
      <c r="F326" s="119">
        <v>100</v>
      </c>
      <c r="G326" s="51" t="s">
        <v>686</v>
      </c>
      <c r="H326" s="31">
        <v>1.4</v>
      </c>
      <c r="I326" s="27">
        <f t="shared" si="10"/>
        <v>140</v>
      </c>
      <c r="J326" s="52" t="s">
        <v>153</v>
      </c>
      <c r="K326" s="25">
        <v>41150</v>
      </c>
      <c r="L326" s="56">
        <v>41166</v>
      </c>
      <c r="M326" s="29" t="s">
        <v>879</v>
      </c>
      <c r="N326" s="28" t="s">
        <v>947</v>
      </c>
      <c r="O326" s="32">
        <v>37976.959999999999</v>
      </c>
      <c r="P326" s="56">
        <v>41180</v>
      </c>
    </row>
    <row r="327" spans="1:16" ht="12" customHeight="1">
      <c r="A327" s="25">
        <v>41151</v>
      </c>
      <c r="B327" s="225" t="s">
        <v>1993</v>
      </c>
      <c r="C327" s="219" t="s">
        <v>758</v>
      </c>
      <c r="D327" s="1" t="s">
        <v>1216</v>
      </c>
      <c r="E327" s="196">
        <v>3200</v>
      </c>
      <c r="F327" s="121">
        <v>100</v>
      </c>
      <c r="G327" s="51" t="s">
        <v>686</v>
      </c>
      <c r="H327" s="31">
        <v>24.5</v>
      </c>
      <c r="I327" s="27">
        <f t="shared" si="10"/>
        <v>2450</v>
      </c>
      <c r="J327" s="52" t="s">
        <v>161</v>
      </c>
      <c r="K327" s="25">
        <v>41151</v>
      </c>
      <c r="L327" s="56">
        <v>41152</v>
      </c>
      <c r="M327" s="29" t="s">
        <v>690</v>
      </c>
      <c r="N327" s="28" t="s">
        <v>715</v>
      </c>
    </row>
    <row r="328" spans="1:16" ht="12" customHeight="1">
      <c r="A328" s="25">
        <v>41151</v>
      </c>
      <c r="B328" s="225" t="s">
        <v>1993</v>
      </c>
      <c r="C328" s="219" t="s">
        <v>758</v>
      </c>
      <c r="D328" s="225" t="s">
        <v>348</v>
      </c>
      <c r="E328" s="196">
        <v>3700</v>
      </c>
      <c r="F328" s="119">
        <v>100</v>
      </c>
      <c r="G328" s="51" t="s">
        <v>686</v>
      </c>
      <c r="H328" s="31">
        <v>3.1</v>
      </c>
      <c r="I328" s="27">
        <f t="shared" si="10"/>
        <v>310</v>
      </c>
      <c r="J328" s="52" t="s">
        <v>161</v>
      </c>
      <c r="K328" s="25">
        <v>41151</v>
      </c>
      <c r="L328" s="56">
        <v>41152</v>
      </c>
      <c r="M328" s="29" t="s">
        <v>690</v>
      </c>
      <c r="N328" s="28" t="s">
        <v>715</v>
      </c>
    </row>
    <row r="329" spans="1:16" ht="12" customHeight="1">
      <c r="A329" s="25">
        <v>41151</v>
      </c>
      <c r="B329" s="225" t="s">
        <v>1993</v>
      </c>
      <c r="C329" s="219" t="s">
        <v>758</v>
      </c>
      <c r="D329" s="225" t="s">
        <v>233</v>
      </c>
      <c r="E329" s="51" t="s">
        <v>160</v>
      </c>
      <c r="F329" s="205">
        <v>500</v>
      </c>
      <c r="G329" s="51" t="s">
        <v>691</v>
      </c>
      <c r="H329" s="31">
        <v>1.6</v>
      </c>
      <c r="I329" s="27">
        <f t="shared" ref="I329:I360" si="11">H329*F329</f>
        <v>800</v>
      </c>
      <c r="J329" s="52" t="s">
        <v>161</v>
      </c>
      <c r="K329" s="25">
        <v>41151</v>
      </c>
      <c r="L329" s="56">
        <v>41152</v>
      </c>
      <c r="M329" s="29" t="s">
        <v>690</v>
      </c>
      <c r="N329" s="28" t="s">
        <v>715</v>
      </c>
    </row>
    <row r="330" spans="1:16" ht="12" customHeight="1">
      <c r="A330" s="25">
        <v>41151</v>
      </c>
      <c r="B330" s="225" t="s">
        <v>1994</v>
      </c>
      <c r="C330" s="219" t="s">
        <v>758</v>
      </c>
      <c r="D330" s="342" t="s">
        <v>241</v>
      </c>
      <c r="E330" s="196">
        <v>6200</v>
      </c>
      <c r="F330" s="119">
        <v>10</v>
      </c>
      <c r="G330" s="51" t="s">
        <v>686</v>
      </c>
      <c r="H330" s="31">
        <v>41.85</v>
      </c>
      <c r="I330" s="27">
        <f t="shared" si="11"/>
        <v>418.5</v>
      </c>
      <c r="J330" s="28" t="s">
        <v>1867</v>
      </c>
      <c r="K330" s="25">
        <v>41152</v>
      </c>
      <c r="L330" s="25">
        <v>41152</v>
      </c>
      <c r="M330" s="29" t="s">
        <v>166</v>
      </c>
      <c r="N330" s="28" t="s">
        <v>715</v>
      </c>
    </row>
    <row r="331" spans="1:16" ht="12" customHeight="1">
      <c r="A331" s="25">
        <v>41153</v>
      </c>
      <c r="B331" s="225" t="s">
        <v>1994</v>
      </c>
      <c r="C331" s="219" t="s">
        <v>758</v>
      </c>
      <c r="D331" s="225" t="s">
        <v>1883</v>
      </c>
      <c r="E331" s="196">
        <v>8210</v>
      </c>
      <c r="F331" s="119">
        <v>12800</v>
      </c>
      <c r="G331" s="26" t="s">
        <v>686</v>
      </c>
      <c r="H331" s="31">
        <v>3.63</v>
      </c>
      <c r="I331" s="27">
        <f t="shared" si="11"/>
        <v>46464</v>
      </c>
      <c r="J331" s="28" t="s">
        <v>1867</v>
      </c>
      <c r="K331" s="25">
        <v>41153</v>
      </c>
      <c r="L331" s="25">
        <v>41153</v>
      </c>
      <c r="M331" s="29" t="s">
        <v>167</v>
      </c>
      <c r="N331" s="28" t="s">
        <v>942</v>
      </c>
      <c r="O331" s="32">
        <v>534761</v>
      </c>
      <c r="P331" s="56">
        <v>41179</v>
      </c>
    </row>
    <row r="332" spans="1:16" ht="12" customHeight="1">
      <c r="A332" s="25">
        <v>41156</v>
      </c>
      <c r="B332" s="225" t="s">
        <v>1989</v>
      </c>
      <c r="C332" s="219" t="s">
        <v>758</v>
      </c>
      <c r="D332" s="225" t="s">
        <v>309</v>
      </c>
      <c r="E332" s="196">
        <v>1110</v>
      </c>
      <c r="F332" s="119">
        <v>100</v>
      </c>
      <c r="G332" s="26" t="s">
        <v>692</v>
      </c>
      <c r="H332" s="31">
        <v>0.77</v>
      </c>
      <c r="I332" s="27">
        <f t="shared" si="11"/>
        <v>77</v>
      </c>
      <c r="J332" s="28" t="s">
        <v>212</v>
      </c>
      <c r="K332" s="25">
        <v>41156</v>
      </c>
      <c r="L332" s="56">
        <v>41166</v>
      </c>
      <c r="M332" s="29" t="s">
        <v>879</v>
      </c>
      <c r="N332" s="28" t="s">
        <v>947</v>
      </c>
      <c r="O332" s="32">
        <v>37976.959999999999</v>
      </c>
      <c r="P332" s="56">
        <v>41180</v>
      </c>
    </row>
    <row r="333" spans="1:16" ht="12" customHeight="1">
      <c r="A333" s="25">
        <v>41158</v>
      </c>
      <c r="B333" s="225" t="s">
        <v>1994</v>
      </c>
      <c r="C333" s="219" t="s">
        <v>758</v>
      </c>
      <c r="D333" s="225" t="s">
        <v>1878</v>
      </c>
      <c r="E333" s="68" t="s">
        <v>215</v>
      </c>
      <c r="F333" s="119">
        <v>5000</v>
      </c>
      <c r="G333" s="198" t="s">
        <v>230</v>
      </c>
      <c r="H333" s="31">
        <v>1.46</v>
      </c>
      <c r="I333" s="27">
        <f t="shared" si="11"/>
        <v>7300</v>
      </c>
      <c r="J333" s="28" t="s">
        <v>1867</v>
      </c>
      <c r="K333" s="25">
        <v>41158</v>
      </c>
      <c r="L333" s="56">
        <v>41157</v>
      </c>
      <c r="M333" s="69" t="s">
        <v>699</v>
      </c>
      <c r="N333" s="28" t="s">
        <v>942</v>
      </c>
      <c r="O333" s="32">
        <v>534761</v>
      </c>
      <c r="P333" s="87">
        <v>41179</v>
      </c>
    </row>
    <row r="334" spans="1:16" ht="12" customHeight="1">
      <c r="A334" s="25">
        <v>41159</v>
      </c>
      <c r="B334" s="225" t="s">
        <v>1989</v>
      </c>
      <c r="C334" s="219" t="s">
        <v>163</v>
      </c>
      <c r="D334" s="225" t="s">
        <v>853</v>
      </c>
      <c r="E334" s="196" t="s">
        <v>852</v>
      </c>
      <c r="F334" s="119">
        <v>4</v>
      </c>
      <c r="G334" s="26" t="s">
        <v>173</v>
      </c>
      <c r="H334" s="31">
        <v>46.9</v>
      </c>
      <c r="I334" s="27">
        <f t="shared" si="11"/>
        <v>187.6</v>
      </c>
      <c r="J334" s="28" t="s">
        <v>854</v>
      </c>
      <c r="K334" s="25">
        <v>41159</v>
      </c>
      <c r="L334" s="56">
        <v>41166</v>
      </c>
      <c r="M334" s="29" t="s">
        <v>879</v>
      </c>
      <c r="N334" s="28" t="s">
        <v>947</v>
      </c>
      <c r="O334" s="32">
        <v>37976.959999999999</v>
      </c>
      <c r="P334" s="56">
        <v>41180</v>
      </c>
    </row>
    <row r="335" spans="1:16" ht="12" customHeight="1">
      <c r="A335" s="25">
        <v>41159</v>
      </c>
      <c r="B335" s="225" t="s">
        <v>1989</v>
      </c>
      <c r="C335" s="219" t="s">
        <v>163</v>
      </c>
      <c r="D335" s="225" t="s">
        <v>672</v>
      </c>
      <c r="E335" s="196" t="s">
        <v>1086</v>
      </c>
      <c r="F335" s="119">
        <v>25</v>
      </c>
      <c r="G335" s="328" t="s">
        <v>171</v>
      </c>
      <c r="H335" s="31">
        <v>4.08</v>
      </c>
      <c r="I335" s="27">
        <f t="shared" si="11"/>
        <v>102</v>
      </c>
      <c r="J335" s="28" t="s">
        <v>854</v>
      </c>
      <c r="K335" s="25">
        <v>41159</v>
      </c>
      <c r="L335" s="56">
        <v>41166</v>
      </c>
      <c r="M335" s="29" t="s">
        <v>879</v>
      </c>
      <c r="N335" s="28" t="s">
        <v>947</v>
      </c>
      <c r="O335" s="32">
        <v>37976.959999999999</v>
      </c>
      <c r="P335" s="56">
        <v>41180</v>
      </c>
    </row>
    <row r="336" spans="1:16" ht="12" customHeight="1">
      <c r="A336" s="25">
        <v>41159</v>
      </c>
      <c r="B336" s="225" t="s">
        <v>1989</v>
      </c>
      <c r="C336" s="219" t="s">
        <v>163</v>
      </c>
      <c r="D336" s="1" t="s">
        <v>1219</v>
      </c>
      <c r="E336" s="196" t="s">
        <v>179</v>
      </c>
      <c r="F336" s="119">
        <v>100</v>
      </c>
      <c r="G336" s="26" t="s">
        <v>173</v>
      </c>
      <c r="H336" s="31">
        <v>13</v>
      </c>
      <c r="I336" s="27">
        <f t="shared" si="11"/>
        <v>1300</v>
      </c>
      <c r="J336" s="28" t="s">
        <v>854</v>
      </c>
      <c r="K336" s="25">
        <v>41159</v>
      </c>
      <c r="L336" s="56">
        <v>41166</v>
      </c>
      <c r="M336" s="29" t="s">
        <v>879</v>
      </c>
      <c r="N336" s="28" t="s">
        <v>947</v>
      </c>
      <c r="O336" s="32">
        <v>37976.959999999999</v>
      </c>
      <c r="P336" s="56">
        <v>41180</v>
      </c>
    </row>
    <row r="337" spans="1:32" ht="12" customHeight="1">
      <c r="A337" s="25">
        <v>41159</v>
      </c>
      <c r="B337" s="225" t="s">
        <v>1989</v>
      </c>
      <c r="C337" s="219" t="s">
        <v>163</v>
      </c>
      <c r="D337" s="225" t="s">
        <v>811</v>
      </c>
      <c r="E337" s="196">
        <v>4690</v>
      </c>
      <c r="F337" s="119">
        <v>1</v>
      </c>
      <c r="G337" s="26" t="s">
        <v>175</v>
      </c>
      <c r="H337" s="31">
        <v>204</v>
      </c>
      <c r="I337" s="27">
        <f t="shared" si="11"/>
        <v>204</v>
      </c>
      <c r="J337" s="28" t="s">
        <v>855</v>
      </c>
      <c r="K337" s="25">
        <v>41159</v>
      </c>
      <c r="L337" s="56">
        <v>41166</v>
      </c>
      <c r="M337" s="29" t="s">
        <v>879</v>
      </c>
      <c r="N337" s="28" t="s">
        <v>878</v>
      </c>
    </row>
    <row r="338" spans="1:32" ht="12" customHeight="1">
      <c r="A338" s="25">
        <v>41162</v>
      </c>
      <c r="B338" s="225" t="s">
        <v>254</v>
      </c>
      <c r="C338" s="219" t="s">
        <v>163</v>
      </c>
      <c r="D338" s="225" t="s">
        <v>352</v>
      </c>
      <c r="E338" s="196">
        <v>7502</v>
      </c>
      <c r="F338" s="119">
        <v>15</v>
      </c>
      <c r="G338" s="26" t="s">
        <v>171</v>
      </c>
      <c r="H338" s="31">
        <v>105</v>
      </c>
      <c r="I338" s="27">
        <f t="shared" si="11"/>
        <v>1575</v>
      </c>
      <c r="J338" s="28" t="s">
        <v>859</v>
      </c>
      <c r="K338" s="25">
        <v>41162</v>
      </c>
      <c r="L338" s="56">
        <v>41162</v>
      </c>
      <c r="M338" s="29" t="s">
        <v>167</v>
      </c>
      <c r="N338" s="80" t="s">
        <v>917</v>
      </c>
      <c r="O338" s="81">
        <v>21015</v>
      </c>
      <c r="P338" s="56">
        <v>41167</v>
      </c>
    </row>
    <row r="339" spans="1:32" ht="12" customHeight="1">
      <c r="A339" s="25">
        <v>41163</v>
      </c>
      <c r="B339" s="225" t="s">
        <v>1989</v>
      </c>
      <c r="C339" s="220" t="s">
        <v>7</v>
      </c>
      <c r="D339" s="303" t="s">
        <v>5043</v>
      </c>
      <c r="E339" s="196" t="s">
        <v>860</v>
      </c>
      <c r="F339" s="119">
        <v>12</v>
      </c>
      <c r="G339" s="190" t="s">
        <v>830</v>
      </c>
      <c r="H339" s="31">
        <v>9.8000000000000007</v>
      </c>
      <c r="I339" s="27">
        <f t="shared" si="11"/>
        <v>117.60000000000001</v>
      </c>
      <c r="J339" s="28" t="s">
        <v>861</v>
      </c>
      <c r="K339" s="25">
        <v>41163</v>
      </c>
      <c r="L339" s="56">
        <v>41166</v>
      </c>
      <c r="M339" s="29" t="s">
        <v>879</v>
      </c>
      <c r="N339" s="28" t="s">
        <v>947</v>
      </c>
      <c r="O339" s="32">
        <v>37976.959999999999</v>
      </c>
      <c r="P339" s="56">
        <v>41180</v>
      </c>
    </row>
    <row r="340" spans="1:32" ht="12" customHeight="1">
      <c r="A340" s="25">
        <v>41163</v>
      </c>
      <c r="B340" s="225" t="s">
        <v>1989</v>
      </c>
      <c r="C340" s="219" t="s">
        <v>864</v>
      </c>
      <c r="D340" s="225" t="s">
        <v>1913</v>
      </c>
      <c r="E340" s="65" t="s">
        <v>863</v>
      </c>
      <c r="F340" s="119">
        <v>1</v>
      </c>
      <c r="G340" s="26" t="s">
        <v>193</v>
      </c>
      <c r="H340" s="31">
        <v>97</v>
      </c>
      <c r="I340" s="27">
        <f t="shared" si="11"/>
        <v>97</v>
      </c>
      <c r="J340" s="28" t="s">
        <v>865</v>
      </c>
      <c r="K340" s="25">
        <v>41163</v>
      </c>
      <c r="L340" s="56">
        <v>41166</v>
      </c>
      <c r="M340" s="29" t="s">
        <v>879</v>
      </c>
      <c r="N340" s="28" t="s">
        <v>947</v>
      </c>
      <c r="O340" s="32">
        <v>37976.959999999999</v>
      </c>
      <c r="P340" s="56">
        <v>41180</v>
      </c>
    </row>
    <row r="341" spans="1:32" ht="12" customHeight="1">
      <c r="A341" s="25">
        <v>41163</v>
      </c>
      <c r="B341" s="225" t="s">
        <v>1999</v>
      </c>
      <c r="C341" s="219" t="s">
        <v>163</v>
      </c>
      <c r="D341" s="225" t="s">
        <v>828</v>
      </c>
      <c r="E341" s="65" t="s">
        <v>870</v>
      </c>
      <c r="F341" s="119">
        <v>600</v>
      </c>
      <c r="G341" s="305" t="s">
        <v>172</v>
      </c>
      <c r="H341" s="31">
        <v>5</v>
      </c>
      <c r="I341" s="27">
        <f t="shared" si="11"/>
        <v>3000</v>
      </c>
      <c r="J341" s="28" t="s">
        <v>871</v>
      </c>
      <c r="K341" s="25">
        <v>41163</v>
      </c>
      <c r="L341" s="56">
        <v>41164</v>
      </c>
      <c r="M341" s="29" t="s">
        <v>690</v>
      </c>
      <c r="N341" s="96" t="s">
        <v>1039</v>
      </c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</row>
    <row r="342" spans="1:32" ht="12" customHeight="1">
      <c r="A342" s="25">
        <v>41164</v>
      </c>
      <c r="B342" s="225" t="s">
        <v>1993</v>
      </c>
      <c r="C342" s="219" t="s">
        <v>163</v>
      </c>
      <c r="D342" s="1" t="s">
        <v>1216</v>
      </c>
      <c r="E342" s="196">
        <v>3200</v>
      </c>
      <c r="F342" s="131">
        <v>40</v>
      </c>
      <c r="G342" s="71" t="s">
        <v>866</v>
      </c>
      <c r="H342" s="31">
        <v>26</v>
      </c>
      <c r="I342" s="27">
        <f t="shared" si="11"/>
        <v>1040</v>
      </c>
      <c r="J342" s="28" t="s">
        <v>867</v>
      </c>
      <c r="K342" s="25">
        <v>41164</v>
      </c>
      <c r="L342" s="56">
        <v>41193</v>
      </c>
      <c r="M342" s="29" t="s">
        <v>980</v>
      </c>
      <c r="N342" s="28" t="s">
        <v>1383</v>
      </c>
      <c r="O342" s="32">
        <v>16292.64</v>
      </c>
      <c r="P342" s="56">
        <v>41241</v>
      </c>
    </row>
    <row r="343" spans="1:32" ht="12" customHeight="1">
      <c r="A343" s="25">
        <v>41164</v>
      </c>
      <c r="B343" s="225" t="s">
        <v>1993</v>
      </c>
      <c r="C343" s="219" t="s">
        <v>163</v>
      </c>
      <c r="D343" s="225" t="s">
        <v>355</v>
      </c>
      <c r="E343" s="196" t="s">
        <v>929</v>
      </c>
      <c r="F343" s="131">
        <v>10</v>
      </c>
      <c r="G343" s="71" t="s">
        <v>866</v>
      </c>
      <c r="H343" s="31">
        <v>12.55</v>
      </c>
      <c r="I343" s="27">
        <f t="shared" si="11"/>
        <v>125.5</v>
      </c>
      <c r="J343" s="28" t="s">
        <v>867</v>
      </c>
      <c r="K343" s="25">
        <v>41164</v>
      </c>
      <c r="L343" s="56">
        <v>41193</v>
      </c>
      <c r="M343" s="29" t="s">
        <v>980</v>
      </c>
      <c r="N343" s="28" t="s">
        <v>1383</v>
      </c>
      <c r="O343" s="32">
        <v>16292.64</v>
      </c>
      <c r="P343" s="56">
        <v>41241</v>
      </c>
    </row>
    <row r="344" spans="1:32" ht="12" customHeight="1">
      <c r="A344" s="25">
        <v>41165</v>
      </c>
      <c r="B344" s="225" t="s">
        <v>1994</v>
      </c>
      <c r="C344" s="219" t="s">
        <v>163</v>
      </c>
      <c r="D344" s="225" t="s">
        <v>1883</v>
      </c>
      <c r="E344" s="196">
        <v>8210</v>
      </c>
      <c r="F344" s="119">
        <v>6560</v>
      </c>
      <c r="G344" s="73" t="s">
        <v>872</v>
      </c>
      <c r="H344" s="31">
        <v>3.63</v>
      </c>
      <c r="I344" s="27">
        <f t="shared" si="11"/>
        <v>23812.799999999999</v>
      </c>
      <c r="J344" s="28" t="s">
        <v>873</v>
      </c>
      <c r="K344" s="25">
        <v>41165</v>
      </c>
      <c r="L344" s="56">
        <v>41164</v>
      </c>
      <c r="M344" s="29" t="s">
        <v>167</v>
      </c>
      <c r="N344" s="28" t="s">
        <v>874</v>
      </c>
      <c r="O344" s="32">
        <v>23812.799999999999</v>
      </c>
      <c r="P344" s="56">
        <v>41165</v>
      </c>
    </row>
    <row r="345" spans="1:32" ht="12" customHeight="1">
      <c r="A345" s="25">
        <v>41165</v>
      </c>
      <c r="B345" s="225" t="s">
        <v>1989</v>
      </c>
      <c r="C345" s="220" t="s">
        <v>7</v>
      </c>
      <c r="D345" s="303" t="s">
        <v>5043</v>
      </c>
      <c r="E345" s="196" t="s">
        <v>875</v>
      </c>
      <c r="F345" s="119">
        <v>25</v>
      </c>
      <c r="G345" s="190" t="s">
        <v>830</v>
      </c>
      <c r="H345" s="31">
        <v>9.8000000000000007</v>
      </c>
      <c r="I345" s="27">
        <f t="shared" si="11"/>
        <v>245.00000000000003</v>
      </c>
      <c r="J345" s="28" t="s">
        <v>876</v>
      </c>
      <c r="K345" s="25">
        <v>41165</v>
      </c>
      <c r="L345" s="56">
        <v>41166</v>
      </c>
      <c r="M345" s="29" t="s">
        <v>879</v>
      </c>
      <c r="N345" s="28" t="s">
        <v>947</v>
      </c>
      <c r="O345" s="32">
        <v>37976.959999999999</v>
      </c>
      <c r="P345" s="56">
        <v>41180</v>
      </c>
    </row>
    <row r="346" spans="1:32" ht="12" customHeight="1">
      <c r="A346" s="25">
        <v>41166</v>
      </c>
      <c r="B346" s="225" t="s">
        <v>1989</v>
      </c>
      <c r="C346" s="219" t="s">
        <v>163</v>
      </c>
      <c r="D346" s="1" t="s">
        <v>1219</v>
      </c>
      <c r="E346" s="196" t="s">
        <v>880</v>
      </c>
      <c r="F346" s="119">
        <v>50</v>
      </c>
      <c r="G346" s="74" t="s">
        <v>881</v>
      </c>
      <c r="H346" s="31">
        <v>13</v>
      </c>
      <c r="I346" s="27">
        <f t="shared" si="11"/>
        <v>650</v>
      </c>
      <c r="J346" s="28" t="s">
        <v>882</v>
      </c>
      <c r="K346" s="25">
        <v>41166</v>
      </c>
      <c r="L346" s="56">
        <v>41180</v>
      </c>
      <c r="M346" s="29" t="s">
        <v>946</v>
      </c>
      <c r="N346" s="28" t="s">
        <v>947</v>
      </c>
      <c r="O346" s="32">
        <v>37976.959999999999</v>
      </c>
      <c r="P346" s="56">
        <v>41180</v>
      </c>
    </row>
    <row r="347" spans="1:32" ht="12" customHeight="1">
      <c r="A347" s="25">
        <v>41166</v>
      </c>
      <c r="B347" s="225" t="s">
        <v>254</v>
      </c>
      <c r="C347" s="219" t="s">
        <v>163</v>
      </c>
      <c r="D347" s="225" t="s">
        <v>9</v>
      </c>
      <c r="E347" s="196">
        <v>2096</v>
      </c>
      <c r="F347" s="119">
        <v>34</v>
      </c>
      <c r="G347" s="190" t="s">
        <v>691</v>
      </c>
      <c r="H347" s="31">
        <v>13</v>
      </c>
      <c r="I347" s="27">
        <f t="shared" si="11"/>
        <v>442</v>
      </c>
      <c r="J347" s="28" t="s">
        <v>883</v>
      </c>
      <c r="K347" s="25">
        <v>41166</v>
      </c>
      <c r="L347" s="56">
        <v>41166</v>
      </c>
      <c r="M347" s="29" t="s">
        <v>879</v>
      </c>
      <c r="N347" s="28" t="s">
        <v>1082</v>
      </c>
      <c r="O347" s="32">
        <v>13346</v>
      </c>
      <c r="P347" s="56">
        <v>41211</v>
      </c>
    </row>
    <row r="348" spans="1:32" ht="12" customHeight="1">
      <c r="A348" s="25">
        <v>41166</v>
      </c>
      <c r="B348" s="225" t="s">
        <v>1994</v>
      </c>
      <c r="C348" s="219" t="s">
        <v>165</v>
      </c>
      <c r="D348" s="5" t="s">
        <v>1227</v>
      </c>
      <c r="E348" s="196" t="s">
        <v>147</v>
      </c>
      <c r="F348" s="119">
        <v>30</v>
      </c>
      <c r="G348" s="75" t="s">
        <v>884</v>
      </c>
      <c r="H348" s="31">
        <v>36</v>
      </c>
      <c r="I348" s="27">
        <f t="shared" si="11"/>
        <v>1080</v>
      </c>
      <c r="J348" s="28" t="s">
        <v>885</v>
      </c>
      <c r="K348" s="25">
        <v>41166</v>
      </c>
      <c r="L348" s="56">
        <v>41169</v>
      </c>
      <c r="M348" s="29" t="s">
        <v>167</v>
      </c>
      <c r="N348" s="28" t="s">
        <v>902</v>
      </c>
      <c r="O348" s="32">
        <v>4172</v>
      </c>
      <c r="P348" s="56">
        <v>41169</v>
      </c>
    </row>
    <row r="349" spans="1:32" ht="12" customHeight="1">
      <c r="A349" s="25">
        <v>41166</v>
      </c>
      <c r="B349" s="225" t="s">
        <v>898</v>
      </c>
      <c r="C349" s="219" t="s">
        <v>163</v>
      </c>
      <c r="D349" s="225" t="s">
        <v>1914</v>
      </c>
      <c r="E349" s="196" t="s">
        <v>899</v>
      </c>
      <c r="F349" s="119">
        <v>2</v>
      </c>
      <c r="G349" s="76" t="s">
        <v>897</v>
      </c>
      <c r="H349" s="31">
        <v>938</v>
      </c>
      <c r="I349" s="27">
        <f t="shared" si="11"/>
        <v>1876</v>
      </c>
      <c r="J349" s="28" t="s">
        <v>896</v>
      </c>
      <c r="K349" s="25">
        <v>41169</v>
      </c>
      <c r="L349" s="56">
        <v>41166</v>
      </c>
      <c r="M349" s="29" t="s">
        <v>167</v>
      </c>
      <c r="N349" s="28" t="s">
        <v>900</v>
      </c>
      <c r="O349" s="32">
        <v>1876</v>
      </c>
      <c r="P349" s="56">
        <v>41169</v>
      </c>
    </row>
    <row r="350" spans="1:32" ht="12" customHeight="1">
      <c r="A350" s="25">
        <v>41169</v>
      </c>
      <c r="B350" s="225" t="s">
        <v>1994</v>
      </c>
      <c r="C350" s="219" t="s">
        <v>163</v>
      </c>
      <c r="D350" s="225" t="s">
        <v>264</v>
      </c>
      <c r="E350" s="196" t="s">
        <v>901</v>
      </c>
      <c r="F350" s="119">
        <v>100</v>
      </c>
      <c r="G350" s="76" t="s">
        <v>895</v>
      </c>
      <c r="H350" s="31">
        <v>1.88</v>
      </c>
      <c r="I350" s="27">
        <f t="shared" si="11"/>
        <v>188</v>
      </c>
      <c r="J350" s="28" t="s">
        <v>896</v>
      </c>
      <c r="K350" s="25">
        <v>41169</v>
      </c>
      <c r="L350" s="56">
        <v>41169</v>
      </c>
      <c r="M350" s="29" t="s">
        <v>167</v>
      </c>
      <c r="N350" s="28" t="s">
        <v>902</v>
      </c>
      <c r="O350" s="32">
        <v>4172</v>
      </c>
      <c r="P350" s="56">
        <v>41169</v>
      </c>
    </row>
    <row r="351" spans="1:32" ht="12" customHeight="1">
      <c r="A351" s="25">
        <v>41169</v>
      </c>
      <c r="B351" s="225" t="s">
        <v>1994</v>
      </c>
      <c r="C351" s="219" t="s">
        <v>163</v>
      </c>
      <c r="D351" s="225" t="s">
        <v>1883</v>
      </c>
      <c r="E351" s="196">
        <v>8210</v>
      </c>
      <c r="F351" s="119">
        <v>800</v>
      </c>
      <c r="G351" s="76" t="s">
        <v>895</v>
      </c>
      <c r="H351" s="31">
        <v>3.63</v>
      </c>
      <c r="I351" s="27">
        <f t="shared" si="11"/>
        <v>2904</v>
      </c>
      <c r="J351" s="28" t="s">
        <v>896</v>
      </c>
      <c r="K351" s="25">
        <v>41169</v>
      </c>
      <c r="L351" s="56">
        <v>41169</v>
      </c>
      <c r="M351" s="29" t="s">
        <v>167</v>
      </c>
      <c r="N351" s="28" t="s">
        <v>902</v>
      </c>
      <c r="O351" s="32">
        <v>4172</v>
      </c>
      <c r="P351" s="56">
        <v>41169</v>
      </c>
    </row>
    <row r="352" spans="1:32" ht="12" customHeight="1">
      <c r="A352" s="25">
        <v>41171</v>
      </c>
      <c r="B352" s="225" t="s">
        <v>1989</v>
      </c>
      <c r="C352" s="219" t="s">
        <v>163</v>
      </c>
      <c r="D352" s="225" t="s">
        <v>672</v>
      </c>
      <c r="E352" s="196" t="s">
        <v>913</v>
      </c>
      <c r="F352" s="119">
        <v>12</v>
      </c>
      <c r="G352" s="78" t="s">
        <v>911</v>
      </c>
      <c r="H352" s="31">
        <v>3.86</v>
      </c>
      <c r="I352" s="27">
        <f t="shared" si="11"/>
        <v>46.32</v>
      </c>
      <c r="J352" s="28" t="s">
        <v>915</v>
      </c>
      <c r="K352" s="25">
        <v>41170</v>
      </c>
      <c r="L352" s="56">
        <v>41179</v>
      </c>
      <c r="M352" s="29" t="s">
        <v>166</v>
      </c>
      <c r="N352" s="28" t="s">
        <v>176</v>
      </c>
    </row>
    <row r="353" spans="1:32" ht="12" customHeight="1">
      <c r="A353" s="25">
        <v>41171</v>
      </c>
      <c r="B353" s="225" t="s">
        <v>1989</v>
      </c>
      <c r="C353" s="219" t="s">
        <v>163</v>
      </c>
      <c r="D353" s="1" t="s">
        <v>1219</v>
      </c>
      <c r="E353" s="196" t="s">
        <v>914</v>
      </c>
      <c r="F353" s="119">
        <v>10</v>
      </c>
      <c r="G353" s="78" t="s">
        <v>912</v>
      </c>
      <c r="H353" s="31">
        <v>13</v>
      </c>
      <c r="I353" s="27">
        <f t="shared" si="11"/>
        <v>130</v>
      </c>
      <c r="J353" s="28" t="s">
        <v>915</v>
      </c>
      <c r="K353" s="25">
        <v>41170</v>
      </c>
      <c r="L353" s="56">
        <v>41180</v>
      </c>
      <c r="M353" s="29" t="s">
        <v>946</v>
      </c>
      <c r="N353" s="28" t="s">
        <v>947</v>
      </c>
      <c r="O353" s="32">
        <v>37976.959999999999</v>
      </c>
      <c r="P353" s="56">
        <v>41180</v>
      </c>
    </row>
    <row r="354" spans="1:32" ht="12" customHeight="1">
      <c r="A354" s="25">
        <v>41171</v>
      </c>
      <c r="B354" s="225" t="s">
        <v>1989</v>
      </c>
      <c r="C354" s="219" t="s">
        <v>163</v>
      </c>
      <c r="D354" s="225" t="s">
        <v>672</v>
      </c>
      <c r="E354" s="196" t="s">
        <v>913</v>
      </c>
      <c r="F354" s="119">
        <v>19</v>
      </c>
      <c r="G354" s="78" t="s">
        <v>911</v>
      </c>
      <c r="H354" s="31">
        <v>3.86</v>
      </c>
      <c r="I354" s="27">
        <f t="shared" si="11"/>
        <v>73.34</v>
      </c>
      <c r="J354" s="28" t="s">
        <v>916</v>
      </c>
      <c r="K354" s="25">
        <v>41170</v>
      </c>
      <c r="L354" s="56">
        <v>41179</v>
      </c>
      <c r="M354" s="29" t="s">
        <v>166</v>
      </c>
      <c r="N354" s="28" t="s">
        <v>176</v>
      </c>
    </row>
    <row r="355" spans="1:32" ht="12" customHeight="1">
      <c r="A355" s="25">
        <v>41172</v>
      </c>
      <c r="B355" s="225" t="s">
        <v>1989</v>
      </c>
      <c r="C355" s="219" t="s">
        <v>163</v>
      </c>
      <c r="D355" s="225" t="s">
        <v>1915</v>
      </c>
      <c r="E355" s="196">
        <v>1270</v>
      </c>
      <c r="F355" s="119">
        <v>100</v>
      </c>
      <c r="G355" s="190" t="s">
        <v>240</v>
      </c>
      <c r="H355" s="31">
        <v>4.1399999999999997</v>
      </c>
      <c r="I355" s="27">
        <f t="shared" si="11"/>
        <v>413.99999999999994</v>
      </c>
      <c r="J355" s="28" t="s">
        <v>918</v>
      </c>
      <c r="K355" s="25">
        <v>41172</v>
      </c>
      <c r="L355" s="56">
        <v>41179</v>
      </c>
      <c r="M355" s="29" t="s">
        <v>166</v>
      </c>
      <c r="N355" s="28" t="s">
        <v>176</v>
      </c>
    </row>
    <row r="356" spans="1:32" ht="12" customHeight="1">
      <c r="A356" s="25">
        <v>41172</v>
      </c>
      <c r="B356" s="225" t="s">
        <v>254</v>
      </c>
      <c r="C356" s="219" t="s">
        <v>163</v>
      </c>
      <c r="D356" s="342" t="s">
        <v>241</v>
      </c>
      <c r="E356" s="196">
        <v>6200</v>
      </c>
      <c r="F356" s="119">
        <v>30</v>
      </c>
      <c r="G356" s="79" t="s">
        <v>920</v>
      </c>
      <c r="H356" s="31">
        <v>42.82</v>
      </c>
      <c r="I356" s="27">
        <f t="shared" si="11"/>
        <v>1284.5999999999999</v>
      </c>
      <c r="J356" s="28" t="s">
        <v>921</v>
      </c>
      <c r="K356" s="25">
        <v>41172</v>
      </c>
      <c r="L356" s="56">
        <v>41172</v>
      </c>
      <c r="M356" s="29" t="s">
        <v>170</v>
      </c>
      <c r="N356" s="28" t="s">
        <v>1082</v>
      </c>
      <c r="O356" s="32">
        <v>13346</v>
      </c>
      <c r="P356" s="56">
        <v>41211</v>
      </c>
    </row>
    <row r="357" spans="1:32" ht="12" customHeight="1">
      <c r="A357" s="25">
        <v>41173</v>
      </c>
      <c r="B357" s="225" t="s">
        <v>1989</v>
      </c>
      <c r="C357" s="219" t="s">
        <v>163</v>
      </c>
      <c r="D357" s="1" t="s">
        <v>1216</v>
      </c>
      <c r="E357" s="196">
        <v>3200</v>
      </c>
      <c r="F357" s="121">
        <v>1000</v>
      </c>
      <c r="G357" s="83" t="s">
        <v>922</v>
      </c>
      <c r="H357" s="31">
        <v>23.94</v>
      </c>
      <c r="I357" s="27">
        <f t="shared" si="11"/>
        <v>23940</v>
      </c>
      <c r="J357" s="28" t="s">
        <v>925</v>
      </c>
      <c r="K357" s="25">
        <v>41173</v>
      </c>
      <c r="L357" s="56">
        <v>41173</v>
      </c>
      <c r="M357" s="29" t="s">
        <v>938</v>
      </c>
      <c r="N357" s="28" t="s">
        <v>947</v>
      </c>
      <c r="O357" s="32">
        <v>37976.959999999999</v>
      </c>
      <c r="P357" s="56">
        <v>41180</v>
      </c>
    </row>
    <row r="358" spans="1:32" ht="12" customHeight="1">
      <c r="A358" s="25">
        <v>41173</v>
      </c>
      <c r="B358" s="225" t="s">
        <v>1989</v>
      </c>
      <c r="C358" s="219" t="s">
        <v>163</v>
      </c>
      <c r="D358" s="225" t="s">
        <v>348</v>
      </c>
      <c r="E358" s="196">
        <v>3700</v>
      </c>
      <c r="F358" s="119">
        <v>1000</v>
      </c>
      <c r="G358" s="83" t="s">
        <v>922</v>
      </c>
      <c r="H358" s="31">
        <v>3.09</v>
      </c>
      <c r="I358" s="27">
        <f t="shared" si="11"/>
        <v>3090</v>
      </c>
      <c r="J358" s="28" t="s">
        <v>925</v>
      </c>
      <c r="K358" s="25">
        <v>41173</v>
      </c>
      <c r="L358" s="56">
        <v>41173</v>
      </c>
      <c r="M358" s="29" t="s">
        <v>938</v>
      </c>
      <c r="N358" s="28" t="s">
        <v>947</v>
      </c>
      <c r="O358" s="32">
        <v>37976.959999999999</v>
      </c>
      <c r="P358" s="56">
        <v>41180</v>
      </c>
    </row>
    <row r="359" spans="1:32" ht="12" customHeight="1">
      <c r="A359" s="25">
        <v>41173</v>
      </c>
      <c r="B359" s="225" t="s">
        <v>1989</v>
      </c>
      <c r="C359" s="219" t="s">
        <v>163</v>
      </c>
      <c r="D359" s="225" t="s">
        <v>233</v>
      </c>
      <c r="E359" s="196" t="s">
        <v>924</v>
      </c>
      <c r="F359" s="205">
        <v>1000</v>
      </c>
      <c r="G359" s="83" t="s">
        <v>923</v>
      </c>
      <c r="H359" s="31">
        <v>1.54</v>
      </c>
      <c r="I359" s="27">
        <f t="shared" si="11"/>
        <v>1540</v>
      </c>
      <c r="J359" s="28" t="s">
        <v>925</v>
      </c>
      <c r="K359" s="25">
        <v>41173</v>
      </c>
      <c r="L359" s="56">
        <v>41173</v>
      </c>
      <c r="M359" s="29" t="s">
        <v>938</v>
      </c>
      <c r="N359" s="28" t="s">
        <v>947</v>
      </c>
      <c r="O359" s="32">
        <v>37976.959999999999</v>
      </c>
      <c r="P359" s="56">
        <v>41180</v>
      </c>
    </row>
    <row r="360" spans="1:32" ht="12" customHeight="1">
      <c r="A360" s="25">
        <v>41176</v>
      </c>
      <c r="B360" s="225" t="s">
        <v>1991</v>
      </c>
      <c r="C360" s="219" t="s">
        <v>163</v>
      </c>
      <c r="D360" s="225" t="s">
        <v>355</v>
      </c>
      <c r="E360" s="196" t="s">
        <v>927</v>
      </c>
      <c r="F360" s="119">
        <v>120</v>
      </c>
      <c r="G360" s="84" t="s">
        <v>926</v>
      </c>
      <c r="H360" s="31">
        <v>17.5</v>
      </c>
      <c r="I360" s="27">
        <f t="shared" si="11"/>
        <v>2100</v>
      </c>
      <c r="J360" s="28" t="s">
        <v>928</v>
      </c>
      <c r="K360" s="25">
        <v>41176</v>
      </c>
      <c r="L360" s="56">
        <v>41178</v>
      </c>
      <c r="M360" s="29" t="s">
        <v>995</v>
      </c>
      <c r="N360" s="28" t="s">
        <v>1082</v>
      </c>
      <c r="O360" s="32">
        <v>13346</v>
      </c>
      <c r="P360" s="56">
        <v>41211</v>
      </c>
    </row>
    <row r="361" spans="1:32" ht="12" customHeight="1">
      <c r="A361" s="25">
        <v>41176</v>
      </c>
      <c r="B361" s="225" t="s">
        <v>1989</v>
      </c>
      <c r="C361" s="219" t="s">
        <v>163</v>
      </c>
      <c r="D361" s="1" t="s">
        <v>1216</v>
      </c>
      <c r="E361" s="196">
        <v>3200</v>
      </c>
      <c r="F361" s="119">
        <v>30</v>
      </c>
      <c r="G361" s="86" t="s">
        <v>936</v>
      </c>
      <c r="H361" s="31">
        <v>23.94</v>
      </c>
      <c r="I361" s="27">
        <f t="shared" ref="I361:I392" si="12">H361*F361</f>
        <v>718.2</v>
      </c>
      <c r="J361" s="28" t="s">
        <v>939</v>
      </c>
      <c r="K361" s="25">
        <v>41176</v>
      </c>
      <c r="L361" s="56">
        <v>41180</v>
      </c>
      <c r="M361" s="29" t="s">
        <v>946</v>
      </c>
      <c r="N361" s="28" t="s">
        <v>947</v>
      </c>
      <c r="O361" s="32">
        <v>37976.959999999999</v>
      </c>
      <c r="P361" s="56">
        <v>41180</v>
      </c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</row>
    <row r="362" spans="1:32" ht="12" customHeight="1">
      <c r="A362" s="25">
        <v>41178</v>
      </c>
      <c r="B362" s="225" t="s">
        <v>1989</v>
      </c>
      <c r="C362" s="219" t="s">
        <v>163</v>
      </c>
      <c r="D362" s="225" t="s">
        <v>355</v>
      </c>
      <c r="E362" s="196" t="s">
        <v>931</v>
      </c>
      <c r="F362" s="119">
        <v>60</v>
      </c>
      <c r="G362" s="85" t="s">
        <v>932</v>
      </c>
      <c r="H362" s="31">
        <v>10.94</v>
      </c>
      <c r="I362" s="27">
        <f t="shared" si="12"/>
        <v>656.4</v>
      </c>
      <c r="J362" s="28" t="s">
        <v>933</v>
      </c>
      <c r="K362" s="25">
        <v>41178</v>
      </c>
      <c r="L362" s="56">
        <v>41180</v>
      </c>
      <c r="M362" s="29" t="s">
        <v>946</v>
      </c>
      <c r="N362" s="28" t="s">
        <v>947</v>
      </c>
      <c r="O362" s="32">
        <v>37976.959999999999</v>
      </c>
      <c r="P362" s="56">
        <v>41180</v>
      </c>
    </row>
    <row r="363" spans="1:32" ht="12" customHeight="1">
      <c r="A363" s="25">
        <v>41178</v>
      </c>
      <c r="B363" s="225" t="s">
        <v>1989</v>
      </c>
      <c r="C363" s="219" t="s">
        <v>163</v>
      </c>
      <c r="D363" s="225" t="s">
        <v>269</v>
      </c>
      <c r="E363" s="196" t="s">
        <v>930</v>
      </c>
      <c r="F363" s="119">
        <v>500</v>
      </c>
      <c r="G363" s="118" t="s">
        <v>232</v>
      </c>
      <c r="H363" s="31">
        <v>1.17</v>
      </c>
      <c r="I363" s="27">
        <f t="shared" si="12"/>
        <v>585</v>
      </c>
      <c r="J363" s="28" t="s">
        <v>933</v>
      </c>
      <c r="K363" s="25">
        <v>41178</v>
      </c>
      <c r="L363" s="56">
        <v>41180</v>
      </c>
      <c r="M363" s="29" t="s">
        <v>946</v>
      </c>
      <c r="N363" s="28" t="s">
        <v>947</v>
      </c>
      <c r="O363" s="32">
        <v>37976.959999999999</v>
      </c>
      <c r="P363" s="56">
        <v>41180</v>
      </c>
    </row>
    <row r="364" spans="1:32" ht="12" customHeight="1">
      <c r="A364" s="25">
        <v>41178</v>
      </c>
      <c r="B364" s="225" t="s">
        <v>1989</v>
      </c>
      <c r="C364" s="219" t="s">
        <v>163</v>
      </c>
      <c r="D364" s="225" t="s">
        <v>289</v>
      </c>
      <c r="E364" s="196">
        <v>10434</v>
      </c>
      <c r="F364" s="119">
        <v>150</v>
      </c>
      <c r="G364" s="106" t="s">
        <v>91</v>
      </c>
      <c r="H364" s="31">
        <v>14.88</v>
      </c>
      <c r="I364" s="27">
        <f t="shared" si="12"/>
        <v>2232</v>
      </c>
      <c r="J364" s="28" t="s">
        <v>933</v>
      </c>
      <c r="K364" s="25">
        <v>41178</v>
      </c>
      <c r="L364" s="56">
        <v>41180</v>
      </c>
      <c r="M364" s="29" t="s">
        <v>946</v>
      </c>
      <c r="N364" s="28" t="s">
        <v>947</v>
      </c>
      <c r="O364" s="32">
        <v>37976.959999999999</v>
      </c>
      <c r="P364" s="56">
        <v>41180</v>
      </c>
    </row>
    <row r="365" spans="1:32" s="100" customFormat="1" ht="12" customHeight="1">
      <c r="A365" s="94">
        <v>41178</v>
      </c>
      <c r="B365" s="95" t="s">
        <v>2000</v>
      </c>
      <c r="C365" s="221" t="s">
        <v>934</v>
      </c>
      <c r="D365" s="225" t="s">
        <v>984</v>
      </c>
      <c r="E365" s="95">
        <v>205515</v>
      </c>
      <c r="F365" s="95">
        <v>6</v>
      </c>
      <c r="G365" s="190" t="s">
        <v>830</v>
      </c>
      <c r="H365" s="101">
        <v>14.52</v>
      </c>
      <c r="I365" s="102">
        <f t="shared" si="12"/>
        <v>87.12</v>
      </c>
      <c r="J365" s="96" t="s">
        <v>168</v>
      </c>
      <c r="K365" s="94">
        <v>41178</v>
      </c>
      <c r="L365" s="97">
        <v>41178</v>
      </c>
      <c r="M365" s="98" t="s">
        <v>167</v>
      </c>
      <c r="N365" s="96"/>
      <c r="O365" s="99"/>
      <c r="P365" s="97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</row>
    <row r="366" spans="1:32" ht="12" customHeight="1">
      <c r="A366" s="25">
        <v>41179</v>
      </c>
      <c r="B366" s="225" t="s">
        <v>1989</v>
      </c>
      <c r="C366" s="219" t="s">
        <v>163</v>
      </c>
      <c r="D366" s="225" t="s">
        <v>289</v>
      </c>
      <c r="E366" s="196">
        <v>10434</v>
      </c>
      <c r="F366" s="119">
        <v>10</v>
      </c>
      <c r="G366" s="106" t="s">
        <v>91</v>
      </c>
      <c r="H366" s="31">
        <v>14.88</v>
      </c>
      <c r="I366" s="27">
        <f t="shared" si="12"/>
        <v>148.80000000000001</v>
      </c>
      <c r="J366" s="28" t="s">
        <v>935</v>
      </c>
      <c r="K366" s="25">
        <v>41179</v>
      </c>
      <c r="L366" s="56">
        <v>41180</v>
      </c>
      <c r="M366" s="29" t="s">
        <v>946</v>
      </c>
      <c r="N366" s="28" t="s">
        <v>947</v>
      </c>
      <c r="O366" s="32">
        <v>37976.959999999999</v>
      </c>
      <c r="P366" s="56">
        <v>41180</v>
      </c>
    </row>
    <row r="367" spans="1:32" ht="12" customHeight="1">
      <c r="A367" s="25">
        <v>41179</v>
      </c>
      <c r="B367" s="225" t="s">
        <v>2001</v>
      </c>
      <c r="C367" s="219" t="s">
        <v>163</v>
      </c>
      <c r="D367" s="225" t="s">
        <v>1914</v>
      </c>
      <c r="E367" s="196" t="s">
        <v>985</v>
      </c>
      <c r="F367" s="119">
        <v>10</v>
      </c>
      <c r="G367" s="93" t="s">
        <v>171</v>
      </c>
      <c r="H367" s="31">
        <v>938</v>
      </c>
      <c r="I367" s="27">
        <f t="shared" si="12"/>
        <v>9380</v>
      </c>
      <c r="J367" s="28" t="s">
        <v>937</v>
      </c>
      <c r="K367" s="25">
        <v>41179</v>
      </c>
      <c r="L367" s="56">
        <v>41178</v>
      </c>
      <c r="M367" s="65" t="s">
        <v>167</v>
      </c>
      <c r="N367" s="28" t="s">
        <v>1003</v>
      </c>
      <c r="O367" s="32">
        <v>9380</v>
      </c>
      <c r="P367" s="56">
        <v>41198</v>
      </c>
    </row>
    <row r="368" spans="1:32" ht="12" customHeight="1">
      <c r="A368" s="25">
        <v>41179</v>
      </c>
      <c r="B368" s="225" t="s">
        <v>1994</v>
      </c>
      <c r="C368" s="219" t="s">
        <v>163</v>
      </c>
      <c r="D368" s="225" t="s">
        <v>1878</v>
      </c>
      <c r="E368" s="196" t="s">
        <v>181</v>
      </c>
      <c r="F368" s="119">
        <v>5000</v>
      </c>
      <c r="G368" s="198" t="s">
        <v>230</v>
      </c>
      <c r="H368" s="31">
        <v>1.1623931620000001</v>
      </c>
      <c r="I368" s="27">
        <f t="shared" si="12"/>
        <v>5811.9658100000006</v>
      </c>
      <c r="J368" s="28" t="s">
        <v>940</v>
      </c>
      <c r="K368" s="25">
        <v>41179</v>
      </c>
      <c r="L368" s="56">
        <v>41179</v>
      </c>
      <c r="M368" s="29" t="s">
        <v>938</v>
      </c>
      <c r="N368" s="28" t="s">
        <v>176</v>
      </c>
    </row>
    <row r="369" spans="1:32" ht="12" customHeight="1">
      <c r="A369" s="25">
        <v>41179</v>
      </c>
      <c r="B369" s="225" t="s">
        <v>1994</v>
      </c>
      <c r="C369" s="219" t="s">
        <v>163</v>
      </c>
      <c r="D369" s="225" t="s">
        <v>986</v>
      </c>
      <c r="E369" s="196">
        <v>6800</v>
      </c>
      <c r="F369" s="119">
        <v>10</v>
      </c>
      <c r="G369" s="93" t="s">
        <v>171</v>
      </c>
      <c r="H369" s="31">
        <v>420</v>
      </c>
      <c r="I369" s="27">
        <f t="shared" si="12"/>
        <v>4200</v>
      </c>
      <c r="J369" s="28" t="s">
        <v>940</v>
      </c>
      <c r="K369" s="25">
        <v>41179</v>
      </c>
      <c r="L369" s="56">
        <v>41179</v>
      </c>
      <c r="M369" s="29" t="s">
        <v>943</v>
      </c>
      <c r="N369" s="28" t="s">
        <v>941</v>
      </c>
      <c r="O369" s="32">
        <v>4200</v>
      </c>
      <c r="P369" s="87">
        <v>41179</v>
      </c>
    </row>
    <row r="370" spans="1:32" ht="12" customHeight="1">
      <c r="A370" s="25">
        <v>41180</v>
      </c>
      <c r="B370" s="225" t="s">
        <v>1989</v>
      </c>
      <c r="C370" s="219" t="s">
        <v>163</v>
      </c>
      <c r="D370" s="225" t="s">
        <v>309</v>
      </c>
      <c r="E370" s="196">
        <v>1110</v>
      </c>
      <c r="F370" s="119">
        <v>200</v>
      </c>
      <c r="G370" s="93" t="s">
        <v>173</v>
      </c>
      <c r="H370" s="31">
        <v>0.77</v>
      </c>
      <c r="I370" s="27">
        <f t="shared" si="12"/>
        <v>154</v>
      </c>
      <c r="J370" s="28" t="s">
        <v>944</v>
      </c>
      <c r="K370" s="25">
        <v>41180</v>
      </c>
      <c r="L370" s="56">
        <v>41207</v>
      </c>
      <c r="M370" s="29" t="s">
        <v>1050</v>
      </c>
      <c r="N370" s="28" t="s">
        <v>1060</v>
      </c>
      <c r="O370" s="32">
        <v>17101.12</v>
      </c>
      <c r="P370" s="56">
        <v>41208</v>
      </c>
    </row>
    <row r="371" spans="1:32" ht="12" customHeight="1">
      <c r="A371" s="25">
        <v>41180</v>
      </c>
      <c r="B371" s="225" t="s">
        <v>1989</v>
      </c>
      <c r="C371" s="219" t="s">
        <v>163</v>
      </c>
      <c r="D371" s="1" t="s">
        <v>1219</v>
      </c>
      <c r="E371" s="196" t="s">
        <v>179</v>
      </c>
      <c r="F371" s="119">
        <v>200</v>
      </c>
      <c r="G371" s="114" t="s">
        <v>1100</v>
      </c>
      <c r="H371" s="31">
        <v>13</v>
      </c>
      <c r="I371" s="27">
        <f t="shared" si="12"/>
        <v>2600</v>
      </c>
      <c r="J371" s="28" t="s">
        <v>945</v>
      </c>
      <c r="K371" s="25">
        <v>41180</v>
      </c>
      <c r="L371" s="56">
        <v>41207</v>
      </c>
      <c r="M371" s="29" t="s">
        <v>1050</v>
      </c>
      <c r="N371" s="28" t="s">
        <v>1060</v>
      </c>
      <c r="O371" s="32">
        <v>17101.12</v>
      </c>
      <c r="P371" s="56">
        <v>41208</v>
      </c>
    </row>
    <row r="372" spans="1:32" ht="12" customHeight="1">
      <c r="A372" s="25">
        <v>41190</v>
      </c>
      <c r="B372" s="225" t="s">
        <v>1989</v>
      </c>
      <c r="C372" s="219" t="s">
        <v>163</v>
      </c>
      <c r="D372" s="225" t="s">
        <v>1915</v>
      </c>
      <c r="E372" s="196">
        <v>1270</v>
      </c>
      <c r="F372" s="119">
        <v>300</v>
      </c>
      <c r="G372" s="190" t="s">
        <v>240</v>
      </c>
      <c r="H372" s="31">
        <v>4.3099999999999996</v>
      </c>
      <c r="I372" s="27">
        <f t="shared" si="12"/>
        <v>1292.9999999999998</v>
      </c>
      <c r="J372" s="28" t="s">
        <v>949</v>
      </c>
      <c r="K372" s="25">
        <v>41190</v>
      </c>
      <c r="L372" s="56">
        <v>41207</v>
      </c>
      <c r="M372" s="29" t="s">
        <v>1050</v>
      </c>
      <c r="N372" s="28" t="s">
        <v>1060</v>
      </c>
      <c r="O372" s="32">
        <v>17101.12</v>
      </c>
      <c r="P372" s="56">
        <v>41208</v>
      </c>
    </row>
    <row r="373" spans="1:32" ht="12" customHeight="1">
      <c r="A373" s="25">
        <v>41190</v>
      </c>
      <c r="B373" s="225" t="s">
        <v>1989</v>
      </c>
      <c r="C373" s="219" t="s">
        <v>163</v>
      </c>
      <c r="D373" s="1" t="s">
        <v>1216</v>
      </c>
      <c r="E373" s="196">
        <v>3200</v>
      </c>
      <c r="F373" s="119">
        <v>20</v>
      </c>
      <c r="G373" s="93" t="s">
        <v>171</v>
      </c>
      <c r="H373" s="31">
        <v>23.94</v>
      </c>
      <c r="I373" s="27">
        <f t="shared" si="12"/>
        <v>478.8</v>
      </c>
      <c r="J373" s="28" t="s">
        <v>956</v>
      </c>
      <c r="K373" s="25">
        <v>41190</v>
      </c>
      <c r="L373" s="56">
        <v>41207</v>
      </c>
      <c r="M373" s="29" t="s">
        <v>1050</v>
      </c>
      <c r="N373" s="28" t="s">
        <v>1060</v>
      </c>
      <c r="O373" s="32">
        <v>17101.12</v>
      </c>
      <c r="P373" s="56">
        <v>41208</v>
      </c>
    </row>
    <row r="374" spans="1:32" ht="12" customHeight="1">
      <c r="A374" s="25">
        <v>41190</v>
      </c>
      <c r="B374" s="225" t="s">
        <v>1989</v>
      </c>
      <c r="C374" s="219" t="s">
        <v>163</v>
      </c>
      <c r="D374" s="225" t="s">
        <v>309</v>
      </c>
      <c r="E374" s="196">
        <v>1110</v>
      </c>
      <c r="F374" s="119">
        <v>105</v>
      </c>
      <c r="G374" s="93" t="s">
        <v>173</v>
      </c>
      <c r="H374" s="31">
        <v>0.77</v>
      </c>
      <c r="I374" s="27">
        <f t="shared" si="12"/>
        <v>80.850000000000009</v>
      </c>
      <c r="J374" s="28" t="s">
        <v>956</v>
      </c>
      <c r="K374" s="25">
        <v>41190</v>
      </c>
      <c r="L374" s="56">
        <v>41207</v>
      </c>
      <c r="M374" s="29" t="s">
        <v>1050</v>
      </c>
      <c r="N374" s="28" t="s">
        <v>1060</v>
      </c>
      <c r="O374" s="32">
        <v>17101.12</v>
      </c>
      <c r="P374" s="56">
        <v>41208</v>
      </c>
    </row>
    <row r="375" spans="1:32" ht="12" customHeight="1">
      <c r="A375" s="25">
        <v>41191</v>
      </c>
      <c r="B375" s="225" t="s">
        <v>1994</v>
      </c>
      <c r="C375" s="219" t="s">
        <v>163</v>
      </c>
      <c r="D375" s="5" t="s">
        <v>1227</v>
      </c>
      <c r="E375" s="196" t="s">
        <v>147</v>
      </c>
      <c r="F375" s="119">
        <v>10</v>
      </c>
      <c r="G375" s="93" t="s">
        <v>171</v>
      </c>
      <c r="H375" s="31">
        <v>36</v>
      </c>
      <c r="I375" s="27">
        <f t="shared" si="12"/>
        <v>360</v>
      </c>
      <c r="J375" s="28" t="s">
        <v>962</v>
      </c>
      <c r="K375" s="288">
        <v>41191</v>
      </c>
      <c r="L375" s="288">
        <v>41191</v>
      </c>
      <c r="M375" s="289" t="s">
        <v>959</v>
      </c>
      <c r="N375" s="290" t="s">
        <v>967</v>
      </c>
      <c r="O375" s="291">
        <v>1800</v>
      </c>
      <c r="P375" s="56">
        <v>41191</v>
      </c>
    </row>
    <row r="376" spans="1:32" s="100" customFormat="1" ht="12" customHeight="1">
      <c r="A376" s="94">
        <v>41191</v>
      </c>
      <c r="B376" s="95" t="s">
        <v>1994</v>
      </c>
      <c r="C376" s="220" t="s">
        <v>7</v>
      </c>
      <c r="D376" s="95" t="s">
        <v>5040</v>
      </c>
      <c r="E376" s="95" t="s">
        <v>858</v>
      </c>
      <c r="F376" s="95">
        <v>144</v>
      </c>
      <c r="G376" s="190" t="s">
        <v>830</v>
      </c>
      <c r="H376" s="101">
        <v>10</v>
      </c>
      <c r="I376" s="102">
        <f t="shared" si="12"/>
        <v>1440</v>
      </c>
      <c r="J376" s="96" t="s">
        <v>168</v>
      </c>
      <c r="K376" s="292">
        <v>41191</v>
      </c>
      <c r="L376" s="292">
        <v>41191</v>
      </c>
      <c r="M376" s="293" t="s">
        <v>167</v>
      </c>
      <c r="N376" s="294" t="s">
        <v>967</v>
      </c>
      <c r="O376" s="295">
        <v>1800</v>
      </c>
      <c r="P376" s="97">
        <v>41191</v>
      </c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</row>
    <row r="377" spans="1:32" ht="12" customHeight="1">
      <c r="A377" s="25">
        <v>41191</v>
      </c>
      <c r="B377" s="225" t="s">
        <v>1994</v>
      </c>
      <c r="C377" s="219" t="s">
        <v>163</v>
      </c>
      <c r="D377" s="225" t="s">
        <v>309</v>
      </c>
      <c r="E377" s="196">
        <v>1110</v>
      </c>
      <c r="F377" s="119">
        <v>500</v>
      </c>
      <c r="G377" s="93" t="s">
        <v>173</v>
      </c>
      <c r="H377" s="31">
        <v>0.73</v>
      </c>
      <c r="I377" s="27">
        <f t="shared" si="12"/>
        <v>365</v>
      </c>
      <c r="J377" s="28" t="s">
        <v>962</v>
      </c>
      <c r="K377" s="25">
        <v>41191</v>
      </c>
      <c r="L377" s="25">
        <v>41191</v>
      </c>
      <c r="M377" s="29" t="s">
        <v>970</v>
      </c>
      <c r="N377" s="28" t="s">
        <v>963</v>
      </c>
    </row>
    <row r="378" spans="1:32" ht="12" customHeight="1">
      <c r="A378" s="25">
        <v>41191</v>
      </c>
      <c r="B378" s="225" t="s">
        <v>1989</v>
      </c>
      <c r="C378" s="219" t="s">
        <v>163</v>
      </c>
      <c r="D378" s="1" t="s">
        <v>1219</v>
      </c>
      <c r="E378" s="196" t="s">
        <v>179</v>
      </c>
      <c r="F378" s="119">
        <v>20</v>
      </c>
      <c r="G378" s="114" t="s">
        <v>1100</v>
      </c>
      <c r="H378" s="31">
        <v>13</v>
      </c>
      <c r="I378" s="27">
        <f t="shared" si="12"/>
        <v>260</v>
      </c>
      <c r="J378" s="28" t="s">
        <v>966</v>
      </c>
      <c r="K378" s="25">
        <v>41191</v>
      </c>
      <c r="L378" s="56">
        <v>41207</v>
      </c>
      <c r="M378" s="29" t="s">
        <v>1050</v>
      </c>
      <c r="N378" s="28" t="s">
        <v>1060</v>
      </c>
      <c r="O378" s="32">
        <v>17101.12</v>
      </c>
      <c r="P378" s="56">
        <v>41208</v>
      </c>
    </row>
    <row r="379" spans="1:32" ht="12" customHeight="1">
      <c r="A379" s="25">
        <v>41191</v>
      </c>
      <c r="B379" s="225" t="s">
        <v>1989</v>
      </c>
      <c r="C379" s="219" t="s">
        <v>163</v>
      </c>
      <c r="D379" s="1" t="s">
        <v>1216</v>
      </c>
      <c r="E379" s="196">
        <v>3200</v>
      </c>
      <c r="F379" s="119">
        <v>20</v>
      </c>
      <c r="G379" s="93" t="s">
        <v>171</v>
      </c>
      <c r="H379" s="31">
        <v>23.94</v>
      </c>
      <c r="I379" s="27">
        <f t="shared" si="12"/>
        <v>478.8</v>
      </c>
      <c r="J379" s="28" t="s">
        <v>966</v>
      </c>
      <c r="K379" s="25">
        <v>41191</v>
      </c>
      <c r="L379" s="56">
        <v>41207</v>
      </c>
      <c r="M379" s="29" t="s">
        <v>1050</v>
      </c>
      <c r="N379" s="28" t="s">
        <v>1060</v>
      </c>
      <c r="O379" s="32">
        <v>17101.12</v>
      </c>
      <c r="P379" s="56">
        <v>41208</v>
      </c>
    </row>
    <row r="380" spans="1:32" ht="12" customHeight="1">
      <c r="A380" s="25">
        <v>41191</v>
      </c>
      <c r="B380" s="225" t="s">
        <v>1989</v>
      </c>
      <c r="C380" s="219" t="s">
        <v>163</v>
      </c>
      <c r="D380" s="225" t="s">
        <v>289</v>
      </c>
      <c r="E380" s="196">
        <v>10434</v>
      </c>
      <c r="F380" s="119">
        <v>10</v>
      </c>
      <c r="G380" s="106" t="s">
        <v>91</v>
      </c>
      <c r="H380" s="31">
        <v>14.88</v>
      </c>
      <c r="I380" s="27">
        <f t="shared" si="12"/>
        <v>148.80000000000001</v>
      </c>
      <c r="J380" s="28" t="s">
        <v>966</v>
      </c>
      <c r="K380" s="25">
        <v>41191</v>
      </c>
      <c r="L380" s="56">
        <v>41207</v>
      </c>
      <c r="M380" s="29" t="s">
        <v>1050</v>
      </c>
      <c r="N380" s="28" t="s">
        <v>1060</v>
      </c>
      <c r="O380" s="32">
        <v>17101.12</v>
      </c>
      <c r="P380" s="56">
        <v>41208</v>
      </c>
    </row>
    <row r="381" spans="1:32" ht="12" customHeight="1">
      <c r="A381" s="25">
        <v>41191</v>
      </c>
      <c r="B381" s="225" t="s">
        <v>1989</v>
      </c>
      <c r="C381" s="219" t="s">
        <v>163</v>
      </c>
      <c r="D381" s="1" t="s">
        <v>1219</v>
      </c>
      <c r="E381" s="196" t="s">
        <v>179</v>
      </c>
      <c r="F381" s="119">
        <v>200</v>
      </c>
      <c r="G381" s="114" t="s">
        <v>1100</v>
      </c>
      <c r="H381" s="31">
        <v>13</v>
      </c>
      <c r="I381" s="27">
        <f t="shared" si="12"/>
        <v>2600</v>
      </c>
      <c r="J381" s="28" t="s">
        <v>969</v>
      </c>
      <c r="K381" s="25">
        <v>41191</v>
      </c>
      <c r="L381" s="56">
        <v>41207</v>
      </c>
      <c r="M381" s="29" t="s">
        <v>1050</v>
      </c>
      <c r="N381" s="28" t="s">
        <v>1060</v>
      </c>
      <c r="O381" s="32">
        <v>17101.12</v>
      </c>
      <c r="P381" s="56">
        <v>41208</v>
      </c>
    </row>
    <row r="382" spans="1:32" ht="12" customHeight="1">
      <c r="A382" s="25">
        <v>41191</v>
      </c>
      <c r="B382" s="225" t="s">
        <v>2002</v>
      </c>
      <c r="C382" s="219" t="s">
        <v>971</v>
      </c>
      <c r="D382" s="225" t="s">
        <v>987</v>
      </c>
      <c r="E382" s="196" t="s">
        <v>962</v>
      </c>
      <c r="F382" s="119">
        <v>10</v>
      </c>
      <c r="G382" s="93" t="s">
        <v>171</v>
      </c>
      <c r="H382" s="31">
        <v>13</v>
      </c>
      <c r="I382" s="27">
        <f t="shared" si="12"/>
        <v>130</v>
      </c>
      <c r="J382" s="28" t="s">
        <v>972</v>
      </c>
      <c r="K382" s="25">
        <v>41191</v>
      </c>
      <c r="L382" s="56">
        <v>41191</v>
      </c>
      <c r="M382" s="29" t="s">
        <v>973</v>
      </c>
      <c r="N382" s="28" t="s">
        <v>963</v>
      </c>
    </row>
    <row r="383" spans="1:32" ht="12" customHeight="1">
      <c r="A383" s="25">
        <v>41192</v>
      </c>
      <c r="B383" s="225" t="s">
        <v>1989</v>
      </c>
      <c r="C383" s="219" t="s">
        <v>163</v>
      </c>
      <c r="D383" s="1" t="s">
        <v>1216</v>
      </c>
      <c r="E383" s="196">
        <v>3200</v>
      </c>
      <c r="F383" s="119">
        <v>40</v>
      </c>
      <c r="G383" s="93" t="s">
        <v>171</v>
      </c>
      <c r="H383" s="31">
        <v>23.94</v>
      </c>
      <c r="I383" s="27">
        <f t="shared" si="12"/>
        <v>957.6</v>
      </c>
      <c r="J383" s="28" t="s">
        <v>977</v>
      </c>
      <c r="K383" s="25">
        <v>41192</v>
      </c>
      <c r="L383" s="56">
        <v>41207</v>
      </c>
      <c r="M383" s="29" t="s">
        <v>1050</v>
      </c>
      <c r="N383" s="28" t="s">
        <v>1060</v>
      </c>
      <c r="O383" s="32">
        <v>17101.12</v>
      </c>
      <c r="P383" s="56">
        <v>41208</v>
      </c>
    </row>
    <row r="384" spans="1:32" ht="12" customHeight="1">
      <c r="A384" s="25">
        <v>41192</v>
      </c>
      <c r="B384" s="225" t="s">
        <v>1989</v>
      </c>
      <c r="C384" s="219" t="s">
        <v>163</v>
      </c>
      <c r="D384" s="225" t="s">
        <v>348</v>
      </c>
      <c r="E384" s="196">
        <v>3700</v>
      </c>
      <c r="F384" s="119">
        <v>100</v>
      </c>
      <c r="G384" s="93" t="s">
        <v>171</v>
      </c>
      <c r="H384" s="31">
        <v>3.09</v>
      </c>
      <c r="I384" s="27">
        <f t="shared" si="12"/>
        <v>309</v>
      </c>
      <c r="J384" s="28" t="s">
        <v>977</v>
      </c>
      <c r="K384" s="25">
        <v>41192</v>
      </c>
      <c r="L384" s="56">
        <v>41207</v>
      </c>
      <c r="M384" s="29" t="s">
        <v>1050</v>
      </c>
      <c r="N384" s="28" t="s">
        <v>1060</v>
      </c>
      <c r="O384" s="32">
        <v>17101.12</v>
      </c>
      <c r="P384" s="56">
        <v>41208</v>
      </c>
    </row>
    <row r="385" spans="1:32" s="100" customFormat="1" ht="12" customHeight="1">
      <c r="A385" s="94">
        <v>41192</v>
      </c>
      <c r="B385" s="95" t="s">
        <v>1989</v>
      </c>
      <c r="C385" s="221" t="s">
        <v>163</v>
      </c>
      <c r="D385" s="342" t="s">
        <v>1885</v>
      </c>
      <c r="E385" s="95" t="s">
        <v>174</v>
      </c>
      <c r="F385" s="95">
        <v>113</v>
      </c>
      <c r="G385" s="95" t="s">
        <v>171</v>
      </c>
      <c r="H385" s="101">
        <v>14.49</v>
      </c>
      <c r="I385" s="102">
        <f t="shared" si="12"/>
        <v>1637.3700000000001</v>
      </c>
      <c r="J385" s="96" t="s">
        <v>977</v>
      </c>
      <c r="K385" s="94">
        <v>41192</v>
      </c>
      <c r="L385" s="97">
        <v>41207</v>
      </c>
      <c r="M385" s="98" t="s">
        <v>1050</v>
      </c>
      <c r="N385" s="96" t="s">
        <v>1060</v>
      </c>
      <c r="O385" s="99">
        <v>17101.12</v>
      </c>
      <c r="P385" s="97">
        <v>41208</v>
      </c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</row>
    <row r="386" spans="1:32" s="100" customFormat="1" ht="12" customHeight="1">
      <c r="A386" s="94">
        <v>41192</v>
      </c>
      <c r="B386" s="95" t="s">
        <v>245</v>
      </c>
      <c r="C386" s="221" t="s">
        <v>163</v>
      </c>
      <c r="D386" s="225" t="s">
        <v>732</v>
      </c>
      <c r="E386" s="95">
        <v>8515</v>
      </c>
      <c r="F386" s="95">
        <v>20</v>
      </c>
      <c r="G386" s="377" t="s">
        <v>171</v>
      </c>
      <c r="H386" s="101">
        <v>17.559999999999999</v>
      </c>
      <c r="I386" s="27">
        <f t="shared" si="12"/>
        <v>351.2</v>
      </c>
      <c r="J386" s="96" t="s">
        <v>992</v>
      </c>
      <c r="K386" s="94">
        <v>41197</v>
      </c>
      <c r="L386" s="97">
        <v>41192</v>
      </c>
      <c r="M386" s="98" t="s">
        <v>166</v>
      </c>
      <c r="N386" s="96" t="s">
        <v>1039</v>
      </c>
      <c r="O386" s="99"/>
      <c r="P386" s="97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</row>
    <row r="387" spans="1:32" s="100" customFormat="1" ht="12" customHeight="1">
      <c r="A387" s="94">
        <v>41192</v>
      </c>
      <c r="B387" s="95" t="s">
        <v>245</v>
      </c>
      <c r="C387" s="221" t="s">
        <v>163</v>
      </c>
      <c r="D387" s="225" t="s">
        <v>1916</v>
      </c>
      <c r="E387" s="95">
        <v>82501</v>
      </c>
      <c r="F387" s="95">
        <v>10</v>
      </c>
      <c r="G387" s="95" t="s">
        <v>171</v>
      </c>
      <c r="H387" s="101">
        <v>115.9</v>
      </c>
      <c r="I387" s="102">
        <f t="shared" si="12"/>
        <v>1159</v>
      </c>
      <c r="J387" s="96" t="s">
        <v>978</v>
      </c>
      <c r="K387" s="94">
        <v>41197</v>
      </c>
      <c r="L387" s="97">
        <v>41192</v>
      </c>
      <c r="M387" s="98" t="s">
        <v>167</v>
      </c>
      <c r="N387" s="28" t="s">
        <v>1245</v>
      </c>
      <c r="O387" s="32">
        <v>25994.400000000001</v>
      </c>
      <c r="P387" s="56">
        <v>41222</v>
      </c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</row>
    <row r="388" spans="1:32" s="100" customFormat="1" ht="12" customHeight="1">
      <c r="A388" s="94">
        <v>41192</v>
      </c>
      <c r="B388" s="95" t="s">
        <v>245</v>
      </c>
      <c r="C388" s="221" t="s">
        <v>163</v>
      </c>
      <c r="D388" s="225" t="s">
        <v>1917</v>
      </c>
      <c r="E388" s="95">
        <v>82700</v>
      </c>
      <c r="F388" s="95">
        <v>10</v>
      </c>
      <c r="G388" s="95" t="s">
        <v>171</v>
      </c>
      <c r="H388" s="101">
        <v>52.4</v>
      </c>
      <c r="I388" s="102">
        <f t="shared" si="12"/>
        <v>524</v>
      </c>
      <c r="J388" s="96" t="s">
        <v>978</v>
      </c>
      <c r="K388" s="94">
        <v>41197</v>
      </c>
      <c r="L388" s="97">
        <v>41192</v>
      </c>
      <c r="M388" s="98" t="s">
        <v>167</v>
      </c>
      <c r="N388" s="28" t="s">
        <v>1245</v>
      </c>
      <c r="O388" s="32">
        <v>25994.400000000001</v>
      </c>
      <c r="P388" s="56">
        <v>41222</v>
      </c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</row>
    <row r="389" spans="1:32" s="100" customFormat="1" ht="12" customHeight="1">
      <c r="A389" s="94">
        <v>41193</v>
      </c>
      <c r="B389" s="95" t="s">
        <v>1989</v>
      </c>
      <c r="C389" s="221" t="s">
        <v>163</v>
      </c>
      <c r="D389" s="1" t="s">
        <v>1216</v>
      </c>
      <c r="E389" s="95">
        <v>3200</v>
      </c>
      <c r="F389" s="95">
        <v>60</v>
      </c>
      <c r="G389" s="95" t="s">
        <v>171</v>
      </c>
      <c r="H389" s="101">
        <v>23.94</v>
      </c>
      <c r="I389" s="102">
        <f t="shared" si="12"/>
        <v>1436.4</v>
      </c>
      <c r="J389" s="96" t="s">
        <v>981</v>
      </c>
      <c r="K389" s="94">
        <v>41193</v>
      </c>
      <c r="L389" s="97">
        <v>41207</v>
      </c>
      <c r="M389" s="98" t="s">
        <v>1050</v>
      </c>
      <c r="N389" s="96" t="s">
        <v>1060</v>
      </c>
      <c r="O389" s="99">
        <v>17101.12</v>
      </c>
      <c r="P389" s="97">
        <v>41208</v>
      </c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</row>
    <row r="390" spans="1:32" s="100" customFormat="1" ht="12" customHeight="1">
      <c r="A390" s="94">
        <v>41193</v>
      </c>
      <c r="B390" s="95" t="s">
        <v>1989</v>
      </c>
      <c r="C390" s="221" t="s">
        <v>163</v>
      </c>
      <c r="D390" s="225" t="s">
        <v>355</v>
      </c>
      <c r="E390" s="95" t="s">
        <v>22</v>
      </c>
      <c r="F390" s="95">
        <v>150</v>
      </c>
      <c r="G390" s="95" t="s">
        <v>171</v>
      </c>
      <c r="H390" s="101">
        <v>10.94</v>
      </c>
      <c r="I390" s="102">
        <f t="shared" si="12"/>
        <v>1641</v>
      </c>
      <c r="J390" s="96" t="s">
        <v>981</v>
      </c>
      <c r="K390" s="94">
        <v>41193</v>
      </c>
      <c r="L390" s="97">
        <v>41207</v>
      </c>
      <c r="M390" s="98" t="s">
        <v>1050</v>
      </c>
      <c r="N390" s="96" t="s">
        <v>1060</v>
      </c>
      <c r="O390" s="99">
        <v>17101.12</v>
      </c>
      <c r="P390" s="97">
        <v>41208</v>
      </c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</row>
    <row r="391" spans="1:32" s="100" customFormat="1" ht="12" customHeight="1">
      <c r="A391" s="94">
        <v>41193</v>
      </c>
      <c r="B391" s="95" t="s">
        <v>1989</v>
      </c>
      <c r="C391" s="221" t="s">
        <v>163</v>
      </c>
      <c r="D391" s="225" t="s">
        <v>309</v>
      </c>
      <c r="E391" s="95">
        <v>1110</v>
      </c>
      <c r="F391" s="95">
        <v>100</v>
      </c>
      <c r="G391" s="95" t="s">
        <v>173</v>
      </c>
      <c r="H391" s="101">
        <v>0.77</v>
      </c>
      <c r="I391" s="102">
        <f t="shared" si="12"/>
        <v>77</v>
      </c>
      <c r="J391" s="96" t="s">
        <v>982</v>
      </c>
      <c r="K391" s="94">
        <v>41194</v>
      </c>
      <c r="L391" s="97">
        <v>41207</v>
      </c>
      <c r="M391" s="98" t="s">
        <v>1050</v>
      </c>
      <c r="N391" s="96" t="s">
        <v>1060</v>
      </c>
      <c r="O391" s="99">
        <v>17101.12</v>
      </c>
      <c r="P391" s="97">
        <v>41208</v>
      </c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</row>
    <row r="392" spans="1:32" s="100" customFormat="1" ht="12" customHeight="1">
      <c r="A392" s="94">
        <v>41194</v>
      </c>
      <c r="B392" s="95" t="s">
        <v>1989</v>
      </c>
      <c r="C392" s="221" t="s">
        <v>163</v>
      </c>
      <c r="D392" s="225" t="s">
        <v>355</v>
      </c>
      <c r="E392" s="95" t="s">
        <v>22</v>
      </c>
      <c r="F392" s="95">
        <v>30</v>
      </c>
      <c r="G392" s="95" t="s">
        <v>171</v>
      </c>
      <c r="H392" s="101">
        <v>10.94</v>
      </c>
      <c r="I392" s="102">
        <f t="shared" si="12"/>
        <v>328.2</v>
      </c>
      <c r="J392" s="96" t="s">
        <v>983</v>
      </c>
      <c r="K392" s="94">
        <v>41194</v>
      </c>
      <c r="L392" s="97">
        <v>41207</v>
      </c>
      <c r="M392" s="98" t="s">
        <v>1050</v>
      </c>
      <c r="N392" s="96" t="s">
        <v>1060</v>
      </c>
      <c r="O392" s="99">
        <v>17101.12</v>
      </c>
      <c r="P392" s="97">
        <v>41208</v>
      </c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</row>
    <row r="393" spans="1:32" s="100" customFormat="1" ht="12" customHeight="1">
      <c r="A393" s="94">
        <v>41197</v>
      </c>
      <c r="B393" s="95" t="s">
        <v>1989</v>
      </c>
      <c r="C393" s="221" t="s">
        <v>1007</v>
      </c>
      <c r="D393" s="225" t="s">
        <v>264</v>
      </c>
      <c r="E393" s="95" t="s">
        <v>1011</v>
      </c>
      <c r="F393" s="95">
        <v>100</v>
      </c>
      <c r="G393" s="95" t="s">
        <v>1012</v>
      </c>
      <c r="H393" s="101">
        <v>1.58</v>
      </c>
      <c r="I393" s="102">
        <f t="shared" ref="I393:I424" si="13">H393*F393</f>
        <v>158</v>
      </c>
      <c r="J393" s="96" t="s">
        <v>1013</v>
      </c>
      <c r="K393" s="94">
        <v>41197</v>
      </c>
      <c r="L393" s="97">
        <v>41207</v>
      </c>
      <c r="M393" s="98" t="s">
        <v>1050</v>
      </c>
      <c r="N393" s="96" t="s">
        <v>1060</v>
      </c>
      <c r="O393" s="99">
        <v>17101.12</v>
      </c>
      <c r="P393" s="97">
        <v>41208</v>
      </c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</row>
    <row r="394" spans="1:32" ht="12" customHeight="1">
      <c r="A394" s="25">
        <v>41197</v>
      </c>
      <c r="B394" s="225" t="s">
        <v>2003</v>
      </c>
      <c r="C394" s="221" t="s">
        <v>163</v>
      </c>
      <c r="D394" s="225" t="s">
        <v>1918</v>
      </c>
      <c r="E394" s="196" t="s">
        <v>990</v>
      </c>
      <c r="F394" s="119">
        <v>3</v>
      </c>
      <c r="G394" s="95" t="s">
        <v>171</v>
      </c>
      <c r="H394" s="31">
        <v>290</v>
      </c>
      <c r="I394" s="27">
        <f t="shared" si="13"/>
        <v>870</v>
      </c>
      <c r="J394" s="28" t="s">
        <v>991</v>
      </c>
      <c r="K394" s="25" t="s">
        <v>1062</v>
      </c>
      <c r="L394" s="25">
        <v>41197</v>
      </c>
      <c r="M394" s="29" t="s">
        <v>993</v>
      </c>
      <c r="N394" s="28" t="s">
        <v>1431</v>
      </c>
      <c r="O394" s="32">
        <v>870</v>
      </c>
      <c r="P394" s="56">
        <v>41248</v>
      </c>
    </row>
    <row r="395" spans="1:32" ht="12" customHeight="1">
      <c r="A395" s="25">
        <v>41198</v>
      </c>
      <c r="B395" s="95" t="s">
        <v>245</v>
      </c>
      <c r="C395" s="221" t="s">
        <v>163</v>
      </c>
      <c r="D395" s="227" t="s">
        <v>1930</v>
      </c>
      <c r="E395" s="196" t="s">
        <v>996</v>
      </c>
      <c r="F395" s="119">
        <v>5000</v>
      </c>
      <c r="G395" s="103" t="s">
        <v>994</v>
      </c>
      <c r="H395" s="31">
        <v>0.52</v>
      </c>
      <c r="I395" s="27">
        <f t="shared" si="13"/>
        <v>2600</v>
      </c>
      <c r="J395" s="28" t="s">
        <v>997</v>
      </c>
      <c r="K395" s="25" t="s">
        <v>1062</v>
      </c>
      <c r="L395" s="56">
        <v>41198</v>
      </c>
      <c r="M395" s="29" t="s">
        <v>995</v>
      </c>
      <c r="N395" s="28" t="s">
        <v>1245</v>
      </c>
      <c r="O395" s="32">
        <v>25994.400000000001</v>
      </c>
      <c r="P395" s="56">
        <v>41222</v>
      </c>
      <c r="Q395" s="110" t="s">
        <v>1049</v>
      </c>
    </row>
    <row r="396" spans="1:32" ht="12" customHeight="1">
      <c r="A396" s="25">
        <v>41198</v>
      </c>
      <c r="B396" s="95" t="s">
        <v>1989</v>
      </c>
      <c r="C396" s="221" t="s">
        <v>163</v>
      </c>
      <c r="D396" s="225" t="s">
        <v>1931</v>
      </c>
      <c r="E396" s="95" t="s">
        <v>22</v>
      </c>
      <c r="F396" s="119">
        <v>60</v>
      </c>
      <c r="G396" s="95" t="s">
        <v>171</v>
      </c>
      <c r="H396" s="101">
        <v>10.94</v>
      </c>
      <c r="I396" s="27">
        <f t="shared" si="13"/>
        <v>656.4</v>
      </c>
      <c r="J396" s="28" t="s">
        <v>999</v>
      </c>
      <c r="K396" s="25">
        <v>41198</v>
      </c>
      <c r="L396" s="56">
        <v>41207</v>
      </c>
      <c r="M396" s="29" t="s">
        <v>1050</v>
      </c>
      <c r="N396" s="28" t="s">
        <v>1060</v>
      </c>
      <c r="O396" s="32">
        <v>17101.12</v>
      </c>
      <c r="P396" s="56">
        <v>41208</v>
      </c>
    </row>
    <row r="397" spans="1:32" ht="12" customHeight="1">
      <c r="A397" s="25">
        <v>41198</v>
      </c>
      <c r="B397" s="95" t="s">
        <v>1989</v>
      </c>
      <c r="C397" s="221" t="s">
        <v>163</v>
      </c>
      <c r="D397" s="1" t="s">
        <v>1216</v>
      </c>
      <c r="E397" s="58">
        <v>3200</v>
      </c>
      <c r="F397" s="119">
        <v>60</v>
      </c>
      <c r="G397" s="95" t="s">
        <v>171</v>
      </c>
      <c r="H397" s="31">
        <v>23.94</v>
      </c>
      <c r="I397" s="27">
        <f t="shared" si="13"/>
        <v>1436.4</v>
      </c>
      <c r="J397" s="28" t="s">
        <v>999</v>
      </c>
      <c r="K397" s="25">
        <v>41198</v>
      </c>
      <c r="L397" s="56">
        <v>41207</v>
      </c>
      <c r="M397" s="29" t="s">
        <v>1050</v>
      </c>
      <c r="N397" s="28" t="s">
        <v>1060</v>
      </c>
      <c r="O397" s="32">
        <v>17101.12</v>
      </c>
      <c r="P397" s="56">
        <v>41208</v>
      </c>
    </row>
    <row r="398" spans="1:32" ht="12" customHeight="1">
      <c r="A398" s="25">
        <v>41198</v>
      </c>
      <c r="B398" s="95" t="s">
        <v>1989</v>
      </c>
      <c r="C398" s="221" t="s">
        <v>163</v>
      </c>
      <c r="D398" s="225" t="s">
        <v>307</v>
      </c>
      <c r="E398" s="58">
        <v>1270</v>
      </c>
      <c r="F398" s="119">
        <v>50</v>
      </c>
      <c r="G398" s="190" t="s">
        <v>240</v>
      </c>
      <c r="H398" s="31">
        <v>4.3099999999999996</v>
      </c>
      <c r="I398" s="27">
        <f t="shared" si="13"/>
        <v>215.49999999999997</v>
      </c>
      <c r="J398" s="28" t="s">
        <v>999</v>
      </c>
      <c r="K398" s="25">
        <v>41198</v>
      </c>
      <c r="L398" s="56">
        <v>41207</v>
      </c>
      <c r="M398" s="29" t="s">
        <v>1050</v>
      </c>
      <c r="N398" s="28" t="s">
        <v>1060</v>
      </c>
      <c r="O398" s="32">
        <v>17101.12</v>
      </c>
      <c r="P398" s="56">
        <v>41208</v>
      </c>
    </row>
    <row r="399" spans="1:32" ht="12" customHeight="1">
      <c r="A399" s="25">
        <v>41198</v>
      </c>
      <c r="B399" s="225" t="s">
        <v>1994</v>
      </c>
      <c r="C399" s="221" t="s">
        <v>163</v>
      </c>
      <c r="D399" s="225" t="s">
        <v>1883</v>
      </c>
      <c r="E399" s="196">
        <v>8210</v>
      </c>
      <c r="F399" s="119">
        <v>480</v>
      </c>
      <c r="G399" s="105" t="s">
        <v>998</v>
      </c>
      <c r="H399" s="31">
        <v>3.63</v>
      </c>
      <c r="I399" s="27">
        <f t="shared" si="13"/>
        <v>1742.3999999999999</v>
      </c>
      <c r="J399" s="28" t="s">
        <v>1001</v>
      </c>
      <c r="K399" s="25">
        <v>41198</v>
      </c>
      <c r="L399" s="56">
        <v>41198</v>
      </c>
      <c r="M399" s="29" t="s">
        <v>1050</v>
      </c>
      <c r="N399" s="28" t="s">
        <v>1212</v>
      </c>
      <c r="O399" s="32">
        <v>5876.4</v>
      </c>
      <c r="P399" s="56">
        <v>41218</v>
      </c>
    </row>
    <row r="400" spans="1:32" ht="12" customHeight="1">
      <c r="A400" s="25">
        <v>41198</v>
      </c>
      <c r="B400" s="95" t="s">
        <v>1994</v>
      </c>
      <c r="C400" s="221" t="s">
        <v>163</v>
      </c>
      <c r="D400" s="225" t="s">
        <v>1887</v>
      </c>
      <c r="E400" s="196" t="s">
        <v>1000</v>
      </c>
      <c r="F400" s="119">
        <v>300</v>
      </c>
      <c r="G400" s="194" t="s">
        <v>232</v>
      </c>
      <c r="H400" s="31">
        <v>4.88</v>
      </c>
      <c r="I400" s="27">
        <f t="shared" si="13"/>
        <v>1464</v>
      </c>
      <c r="J400" s="28" t="s">
        <v>1001</v>
      </c>
      <c r="K400" s="25">
        <v>41198</v>
      </c>
      <c r="L400" s="56">
        <v>41198</v>
      </c>
      <c r="M400" s="29" t="s">
        <v>1050</v>
      </c>
      <c r="N400" s="28" t="s">
        <v>1212</v>
      </c>
      <c r="O400" s="32">
        <v>5876.4</v>
      </c>
      <c r="P400" s="56">
        <v>41218</v>
      </c>
    </row>
    <row r="401" spans="1:32" ht="12" customHeight="1">
      <c r="A401" s="25">
        <v>41198</v>
      </c>
      <c r="B401" s="225" t="s">
        <v>1994</v>
      </c>
      <c r="C401" s="221" t="s">
        <v>163</v>
      </c>
      <c r="D401" s="225" t="s">
        <v>264</v>
      </c>
      <c r="E401" s="196">
        <v>501</v>
      </c>
      <c r="F401" s="119">
        <v>200</v>
      </c>
      <c r="G401" s="104" t="s">
        <v>998</v>
      </c>
      <c r="H401" s="31">
        <v>1.39</v>
      </c>
      <c r="I401" s="27">
        <f t="shared" si="13"/>
        <v>278</v>
      </c>
      <c r="J401" s="28" t="s">
        <v>1001</v>
      </c>
      <c r="K401" s="25">
        <v>41198</v>
      </c>
      <c r="L401" s="56">
        <v>41198</v>
      </c>
      <c r="M401" s="29" t="s">
        <v>1050</v>
      </c>
      <c r="N401" s="28" t="s">
        <v>1212</v>
      </c>
      <c r="O401" s="32">
        <v>5876.4</v>
      </c>
      <c r="P401" s="56">
        <v>41218</v>
      </c>
    </row>
    <row r="402" spans="1:32" s="100" customFormat="1" ht="12" customHeight="1">
      <c r="A402" s="94">
        <v>41198</v>
      </c>
      <c r="B402" s="95" t="s">
        <v>254</v>
      </c>
      <c r="C402" s="221" t="s">
        <v>680</v>
      </c>
      <c r="D402" s="342" t="s">
        <v>241</v>
      </c>
      <c r="E402" s="95">
        <v>6200</v>
      </c>
      <c r="F402" s="95">
        <v>100</v>
      </c>
      <c r="G402" s="95" t="s">
        <v>171</v>
      </c>
      <c r="H402" s="101">
        <v>42.7</v>
      </c>
      <c r="I402" s="102">
        <f t="shared" si="13"/>
        <v>4270</v>
      </c>
      <c r="J402" s="96" t="s">
        <v>1002</v>
      </c>
      <c r="K402" s="94">
        <v>41198</v>
      </c>
      <c r="L402" s="97">
        <v>41198</v>
      </c>
      <c r="M402" s="29" t="s">
        <v>167</v>
      </c>
      <c r="N402" s="96" t="s">
        <v>1082</v>
      </c>
      <c r="O402" s="99">
        <v>13346</v>
      </c>
      <c r="P402" s="97">
        <v>41211</v>
      </c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</row>
    <row r="403" spans="1:32" s="100" customFormat="1" ht="15" customHeight="1">
      <c r="A403" s="94">
        <v>41198</v>
      </c>
      <c r="B403" s="95" t="s">
        <v>254</v>
      </c>
      <c r="C403" s="221" t="s">
        <v>680</v>
      </c>
      <c r="D403" s="225" t="s">
        <v>355</v>
      </c>
      <c r="E403" s="95" t="s">
        <v>1004</v>
      </c>
      <c r="F403" s="95">
        <v>240</v>
      </c>
      <c r="G403" s="95" t="s">
        <v>171</v>
      </c>
      <c r="H403" s="101">
        <v>17.5</v>
      </c>
      <c r="I403" s="102">
        <f t="shared" si="13"/>
        <v>4200</v>
      </c>
      <c r="J403" s="96" t="s">
        <v>1002</v>
      </c>
      <c r="K403" s="94">
        <v>41198</v>
      </c>
      <c r="L403" s="97">
        <v>41198</v>
      </c>
      <c r="M403" s="29" t="s">
        <v>167</v>
      </c>
      <c r="N403" s="96" t="s">
        <v>1082</v>
      </c>
      <c r="O403" s="99">
        <v>13346</v>
      </c>
      <c r="P403" s="97">
        <v>41211</v>
      </c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</row>
    <row r="404" spans="1:32" ht="12" customHeight="1">
      <c r="A404" s="25">
        <v>41199</v>
      </c>
      <c r="B404" s="95" t="s">
        <v>1989</v>
      </c>
      <c r="C404" s="221" t="s">
        <v>163</v>
      </c>
      <c r="D404" s="225" t="s">
        <v>289</v>
      </c>
      <c r="E404" s="196">
        <v>10434</v>
      </c>
      <c r="F404" s="119">
        <v>60</v>
      </c>
      <c r="G404" s="106" t="s">
        <v>1008</v>
      </c>
      <c r="H404" s="31">
        <v>14.28</v>
      </c>
      <c r="I404" s="27">
        <f t="shared" si="13"/>
        <v>856.8</v>
      </c>
      <c r="J404" s="28" t="s">
        <v>1009</v>
      </c>
      <c r="K404" s="25">
        <v>41199</v>
      </c>
      <c r="L404" s="56">
        <v>41207</v>
      </c>
      <c r="M404" s="29" t="s">
        <v>166</v>
      </c>
      <c r="N404" s="28" t="s">
        <v>1010</v>
      </c>
    </row>
    <row r="405" spans="1:32" ht="12" customHeight="1">
      <c r="A405" s="25">
        <v>41201</v>
      </c>
      <c r="B405" s="225" t="s">
        <v>2004</v>
      </c>
      <c r="C405" s="219" t="s">
        <v>1016</v>
      </c>
      <c r="D405" s="225" t="s">
        <v>1919</v>
      </c>
      <c r="E405" s="196" t="s">
        <v>1017</v>
      </c>
      <c r="F405" s="119">
        <v>1</v>
      </c>
      <c r="G405" s="107" t="s">
        <v>1018</v>
      </c>
      <c r="H405" s="31">
        <v>790</v>
      </c>
      <c r="I405" s="27">
        <f t="shared" si="13"/>
        <v>790</v>
      </c>
      <c r="J405" s="28" t="s">
        <v>1019</v>
      </c>
      <c r="K405" s="25">
        <v>41205</v>
      </c>
      <c r="L405" s="56">
        <v>41201</v>
      </c>
      <c r="M405" s="29" t="s">
        <v>1020</v>
      </c>
      <c r="N405" s="28" t="s">
        <v>5801</v>
      </c>
      <c r="O405" s="32">
        <v>790</v>
      </c>
      <c r="P405" s="56">
        <v>41358</v>
      </c>
    </row>
    <row r="406" spans="1:32" ht="12" customHeight="1">
      <c r="A406" s="25">
        <v>41201</v>
      </c>
      <c r="B406" s="225" t="s">
        <v>2001</v>
      </c>
      <c r="C406" s="219" t="s">
        <v>1021</v>
      </c>
      <c r="D406" s="225" t="s">
        <v>1914</v>
      </c>
      <c r="E406" s="196">
        <v>52000183617</v>
      </c>
      <c r="F406" s="119">
        <v>1</v>
      </c>
      <c r="G406" s="107" t="s">
        <v>1023</v>
      </c>
      <c r="H406" s="31">
        <v>938</v>
      </c>
      <c r="I406" s="27">
        <f t="shared" si="13"/>
        <v>938</v>
      </c>
      <c r="J406" s="28" t="s">
        <v>1022</v>
      </c>
      <c r="K406" s="25">
        <v>41201</v>
      </c>
      <c r="L406" s="56">
        <v>41201</v>
      </c>
      <c r="M406" s="29" t="s">
        <v>1020</v>
      </c>
      <c r="N406" s="28" t="s">
        <v>1253</v>
      </c>
      <c r="O406" s="32">
        <v>14070</v>
      </c>
      <c r="P406" s="56">
        <v>41225</v>
      </c>
    </row>
    <row r="407" spans="1:32" ht="12" customHeight="1">
      <c r="A407" s="25">
        <v>41201</v>
      </c>
      <c r="B407" s="225" t="s">
        <v>2005</v>
      </c>
      <c r="C407" s="219" t="s">
        <v>1021</v>
      </c>
      <c r="D407" s="225" t="s">
        <v>1914</v>
      </c>
      <c r="E407" s="196">
        <v>52000183617</v>
      </c>
      <c r="F407" s="119">
        <v>3</v>
      </c>
      <c r="G407" s="107" t="s">
        <v>1023</v>
      </c>
      <c r="H407" s="31">
        <v>938</v>
      </c>
      <c r="I407" s="27">
        <f t="shared" si="13"/>
        <v>2814</v>
      </c>
      <c r="J407" s="28" t="s">
        <v>1083</v>
      </c>
      <c r="K407" s="25">
        <v>41205</v>
      </c>
      <c r="L407" s="56">
        <v>41201</v>
      </c>
      <c r="M407" s="29" t="s">
        <v>1020</v>
      </c>
      <c r="N407" s="28" t="s">
        <v>1035</v>
      </c>
      <c r="O407" s="32">
        <v>2814</v>
      </c>
      <c r="P407" s="56">
        <v>41205</v>
      </c>
    </row>
    <row r="408" spans="1:32" ht="12" customHeight="1">
      <c r="A408" s="25">
        <v>41204</v>
      </c>
      <c r="B408" s="225" t="s">
        <v>1991</v>
      </c>
      <c r="C408" s="219" t="s">
        <v>165</v>
      </c>
      <c r="D408" s="225" t="s">
        <v>1899</v>
      </c>
      <c r="E408" s="196" t="s">
        <v>1031</v>
      </c>
      <c r="F408" s="119">
        <v>60</v>
      </c>
      <c r="G408" s="108" t="s">
        <v>1032</v>
      </c>
      <c r="H408" s="31">
        <v>17.5</v>
      </c>
      <c r="I408" s="27">
        <f t="shared" si="13"/>
        <v>1050</v>
      </c>
      <c r="J408" s="28" t="s">
        <v>1033</v>
      </c>
      <c r="K408" s="25">
        <v>41204</v>
      </c>
      <c r="L408" s="56">
        <v>41204</v>
      </c>
      <c r="M408" s="29" t="s">
        <v>1030</v>
      </c>
      <c r="N408" s="28" t="s">
        <v>1082</v>
      </c>
      <c r="O408" s="32">
        <v>13346</v>
      </c>
      <c r="P408" s="56">
        <v>41211</v>
      </c>
    </row>
    <row r="409" spans="1:32" ht="12" customHeight="1">
      <c r="A409" s="25">
        <v>41204</v>
      </c>
      <c r="B409" s="95" t="s">
        <v>1989</v>
      </c>
      <c r="C409" s="219" t="s">
        <v>165</v>
      </c>
      <c r="D409" s="225" t="s">
        <v>309</v>
      </c>
      <c r="E409" s="196">
        <v>1110</v>
      </c>
      <c r="F409" s="119">
        <v>200</v>
      </c>
      <c r="G409" s="108" t="s">
        <v>1029</v>
      </c>
      <c r="H409" s="31">
        <v>0.77</v>
      </c>
      <c r="I409" s="27">
        <f t="shared" si="13"/>
        <v>154</v>
      </c>
      <c r="J409" s="28" t="s">
        <v>1034</v>
      </c>
      <c r="K409" s="25">
        <v>41204</v>
      </c>
      <c r="L409" s="56">
        <v>41207</v>
      </c>
      <c r="M409" s="29" t="s">
        <v>1050</v>
      </c>
      <c r="N409" s="28" t="s">
        <v>1060</v>
      </c>
      <c r="O409" s="32">
        <v>17101.12</v>
      </c>
      <c r="P409" s="56">
        <v>41208</v>
      </c>
    </row>
    <row r="410" spans="1:32" s="100" customFormat="1" ht="12" customHeight="1">
      <c r="A410" s="94">
        <v>41205</v>
      </c>
      <c r="B410" s="95" t="s">
        <v>2006</v>
      </c>
      <c r="C410" s="221" t="s">
        <v>1036</v>
      </c>
      <c r="D410" s="225" t="s">
        <v>1920</v>
      </c>
      <c r="E410" s="95" t="s">
        <v>1037</v>
      </c>
      <c r="F410" s="95">
        <v>4</v>
      </c>
      <c r="G410" s="95" t="s">
        <v>171</v>
      </c>
      <c r="H410" s="101">
        <v>210</v>
      </c>
      <c r="I410" s="102">
        <f t="shared" si="13"/>
        <v>840</v>
      </c>
      <c r="J410" s="96" t="s">
        <v>1038</v>
      </c>
      <c r="K410" s="94">
        <v>41211</v>
      </c>
      <c r="L410" s="97">
        <v>41205</v>
      </c>
      <c r="M410" s="98" t="s">
        <v>167</v>
      </c>
      <c r="N410" s="96" t="s">
        <v>1462</v>
      </c>
      <c r="O410" s="99">
        <v>840</v>
      </c>
      <c r="P410" s="97">
        <v>41253</v>
      </c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</row>
    <row r="411" spans="1:32" ht="12" customHeight="1">
      <c r="A411" s="25">
        <v>41206</v>
      </c>
      <c r="B411" s="225" t="s">
        <v>2001</v>
      </c>
      <c r="C411" s="219" t="s">
        <v>163</v>
      </c>
      <c r="D411" s="225" t="s">
        <v>1914</v>
      </c>
      <c r="E411" s="196">
        <v>52000183617</v>
      </c>
      <c r="F411" s="119">
        <v>2</v>
      </c>
      <c r="G411" s="109" t="s">
        <v>897</v>
      </c>
      <c r="H411" s="31">
        <v>938</v>
      </c>
      <c r="I411" s="27">
        <f t="shared" si="13"/>
        <v>1876</v>
      </c>
      <c r="J411" s="28" t="s">
        <v>1063</v>
      </c>
      <c r="K411" s="25">
        <v>41206</v>
      </c>
      <c r="L411" s="56">
        <v>41206</v>
      </c>
      <c r="M411" s="29" t="s">
        <v>167</v>
      </c>
      <c r="N411" s="28" t="s">
        <v>1253</v>
      </c>
      <c r="O411" s="32">
        <v>14070</v>
      </c>
      <c r="P411" s="56">
        <v>41225</v>
      </c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  <c r="AE411" s="109"/>
      <c r="AF411" s="109"/>
    </row>
    <row r="412" spans="1:32" ht="12" customHeight="1">
      <c r="A412" s="25">
        <v>41206</v>
      </c>
      <c r="B412" s="225" t="s">
        <v>1993</v>
      </c>
      <c r="C412" s="219" t="s">
        <v>1043</v>
      </c>
      <c r="D412" s="342" t="s">
        <v>1885</v>
      </c>
      <c r="E412" s="196" t="s">
        <v>1040</v>
      </c>
      <c r="F412" s="131">
        <v>50</v>
      </c>
      <c r="G412" s="109" t="s">
        <v>1041</v>
      </c>
      <c r="H412" s="31">
        <v>15</v>
      </c>
      <c r="I412" s="27">
        <f t="shared" si="13"/>
        <v>750</v>
      </c>
      <c r="J412" s="28" t="s">
        <v>1044</v>
      </c>
      <c r="K412" s="25">
        <v>41206</v>
      </c>
      <c r="L412" s="56">
        <v>41225</v>
      </c>
      <c r="M412" s="29" t="s">
        <v>167</v>
      </c>
      <c r="N412" s="28" t="s">
        <v>1383</v>
      </c>
      <c r="O412" s="32">
        <v>16292.64</v>
      </c>
      <c r="P412" s="56">
        <v>41241</v>
      </c>
    </row>
    <row r="413" spans="1:32" ht="12" customHeight="1">
      <c r="A413" s="25">
        <v>41206</v>
      </c>
      <c r="B413" s="225" t="s">
        <v>1999</v>
      </c>
      <c r="C413" s="219" t="s">
        <v>1043</v>
      </c>
      <c r="D413" s="225" t="s">
        <v>289</v>
      </c>
      <c r="E413" s="196">
        <v>10434</v>
      </c>
      <c r="F413" s="119">
        <v>50</v>
      </c>
      <c r="G413" s="109" t="s">
        <v>1041</v>
      </c>
      <c r="H413" s="31">
        <v>14.5</v>
      </c>
      <c r="I413" s="27">
        <f t="shared" si="13"/>
        <v>725</v>
      </c>
      <c r="J413" s="28" t="s">
        <v>1061</v>
      </c>
      <c r="K413" s="25">
        <v>41208</v>
      </c>
      <c r="L413" s="56">
        <v>41206</v>
      </c>
      <c r="M413" s="29" t="s">
        <v>1045</v>
      </c>
      <c r="N413" s="28" t="s">
        <v>1039</v>
      </c>
    </row>
    <row r="414" spans="1:32" s="100" customFormat="1" ht="12" customHeight="1">
      <c r="A414" s="94">
        <v>41206</v>
      </c>
      <c r="B414" s="95" t="s">
        <v>1999</v>
      </c>
      <c r="C414" s="219" t="s">
        <v>864</v>
      </c>
      <c r="D414" s="225" t="s">
        <v>1046</v>
      </c>
      <c r="E414" s="95" t="s">
        <v>1070</v>
      </c>
      <c r="F414" s="95">
        <v>4</v>
      </c>
      <c r="G414" s="377" t="s">
        <v>193</v>
      </c>
      <c r="H414" s="101">
        <v>220</v>
      </c>
      <c r="I414" s="102">
        <f t="shared" si="13"/>
        <v>880</v>
      </c>
      <c r="J414" s="96" t="s">
        <v>1071</v>
      </c>
      <c r="K414" s="94">
        <v>41208</v>
      </c>
      <c r="L414" s="97">
        <v>41206</v>
      </c>
      <c r="M414" s="98" t="s">
        <v>167</v>
      </c>
      <c r="N414" s="28" t="s">
        <v>1245</v>
      </c>
      <c r="O414" s="32">
        <v>25994.400000000001</v>
      </c>
      <c r="P414" s="56">
        <v>41222</v>
      </c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</row>
    <row r="415" spans="1:32" s="100" customFormat="1" ht="12" customHeight="1">
      <c r="A415" s="94">
        <v>41206</v>
      </c>
      <c r="B415" s="95" t="s">
        <v>1994</v>
      </c>
      <c r="C415" s="221" t="s">
        <v>163</v>
      </c>
      <c r="D415" s="225" t="s">
        <v>1878</v>
      </c>
      <c r="E415" s="95" t="s">
        <v>181</v>
      </c>
      <c r="F415" s="95">
        <v>2500</v>
      </c>
      <c r="G415" s="198" t="s">
        <v>230</v>
      </c>
      <c r="H415" s="101">
        <v>1.46</v>
      </c>
      <c r="I415" s="102">
        <f t="shared" si="13"/>
        <v>3650</v>
      </c>
      <c r="J415" s="96" t="s">
        <v>825</v>
      </c>
      <c r="K415" s="94">
        <v>41206</v>
      </c>
      <c r="L415" s="97">
        <v>41206</v>
      </c>
      <c r="M415" s="98" t="s">
        <v>167</v>
      </c>
      <c r="N415" s="96" t="s">
        <v>1047</v>
      </c>
      <c r="O415" s="99" t="s">
        <v>1048</v>
      </c>
      <c r="P415" s="97">
        <v>41206</v>
      </c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</row>
    <row r="416" spans="1:32" s="100" customFormat="1" ht="12" customHeight="1">
      <c r="A416" s="94">
        <v>41206</v>
      </c>
      <c r="B416" s="95" t="s">
        <v>1994</v>
      </c>
      <c r="C416" s="221" t="s">
        <v>163</v>
      </c>
      <c r="D416" s="225" t="s">
        <v>1883</v>
      </c>
      <c r="E416" s="95">
        <v>8210</v>
      </c>
      <c r="F416" s="95">
        <v>800</v>
      </c>
      <c r="G416" s="95" t="s">
        <v>172</v>
      </c>
      <c r="H416" s="101">
        <v>3.63</v>
      </c>
      <c r="I416" s="102">
        <f t="shared" si="13"/>
        <v>2904</v>
      </c>
      <c r="J416" s="96" t="s">
        <v>825</v>
      </c>
      <c r="K416" s="94">
        <v>41206</v>
      </c>
      <c r="L416" s="97">
        <v>41206</v>
      </c>
      <c r="M416" s="98" t="s">
        <v>167</v>
      </c>
      <c r="N416" s="96" t="s">
        <v>1047</v>
      </c>
      <c r="O416" s="99" t="s">
        <v>1048</v>
      </c>
      <c r="P416" s="97">
        <v>41206</v>
      </c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</row>
    <row r="417" spans="1:32" s="100" customFormat="1" ht="12" customHeight="1">
      <c r="A417" s="94">
        <v>41206</v>
      </c>
      <c r="B417" s="95" t="s">
        <v>1994</v>
      </c>
      <c r="C417" s="221" t="s">
        <v>163</v>
      </c>
      <c r="D417" s="225" t="s">
        <v>1921</v>
      </c>
      <c r="E417" s="95">
        <v>8246</v>
      </c>
      <c r="F417" s="95">
        <v>20</v>
      </c>
      <c r="G417" s="95" t="s">
        <v>171</v>
      </c>
      <c r="H417" s="101">
        <v>12.8</v>
      </c>
      <c r="I417" s="102">
        <f t="shared" si="13"/>
        <v>256</v>
      </c>
      <c r="J417" s="96" t="s">
        <v>825</v>
      </c>
      <c r="K417" s="94">
        <v>41206</v>
      </c>
      <c r="L417" s="97">
        <v>41206</v>
      </c>
      <c r="M417" s="98" t="s">
        <v>167</v>
      </c>
      <c r="N417" s="96" t="s">
        <v>1047</v>
      </c>
      <c r="O417" s="99" t="s">
        <v>1048</v>
      </c>
      <c r="P417" s="97">
        <v>41206</v>
      </c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</row>
    <row r="418" spans="1:32" s="100" customFormat="1" ht="12" customHeight="1">
      <c r="A418" s="94">
        <v>41206</v>
      </c>
      <c r="B418" s="95" t="s">
        <v>1994</v>
      </c>
      <c r="C418" s="221" t="s">
        <v>163</v>
      </c>
      <c r="D418" s="1" t="s">
        <v>1884</v>
      </c>
      <c r="E418" s="95">
        <v>8247</v>
      </c>
      <c r="F418" s="95">
        <v>20</v>
      </c>
      <c r="G418" s="95" t="s">
        <v>172</v>
      </c>
      <c r="H418" s="101">
        <v>12.35</v>
      </c>
      <c r="I418" s="102">
        <f t="shared" si="13"/>
        <v>247</v>
      </c>
      <c r="J418" s="96" t="s">
        <v>825</v>
      </c>
      <c r="K418" s="94">
        <v>41206</v>
      </c>
      <c r="L418" s="97">
        <v>41206</v>
      </c>
      <c r="M418" s="98" t="s">
        <v>167</v>
      </c>
      <c r="N418" s="96" t="s">
        <v>1047</v>
      </c>
      <c r="O418" s="99" t="s">
        <v>1048</v>
      </c>
      <c r="P418" s="97">
        <v>41206</v>
      </c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</row>
    <row r="419" spans="1:32" ht="12" customHeight="1">
      <c r="A419" s="25">
        <v>41207</v>
      </c>
      <c r="B419" s="225" t="s">
        <v>1993</v>
      </c>
      <c r="C419" s="221" t="s">
        <v>163</v>
      </c>
      <c r="D419" s="225" t="s">
        <v>1922</v>
      </c>
      <c r="E419" s="196" t="s">
        <v>1051</v>
      </c>
      <c r="F419" s="131">
        <v>50</v>
      </c>
      <c r="G419" s="110" t="s">
        <v>1052</v>
      </c>
      <c r="H419" s="31">
        <v>1.5</v>
      </c>
      <c r="I419" s="27">
        <f t="shared" si="13"/>
        <v>75</v>
      </c>
      <c r="J419" s="28" t="s">
        <v>1054</v>
      </c>
      <c r="K419" s="25">
        <v>41207</v>
      </c>
      <c r="L419" s="56">
        <v>41225</v>
      </c>
      <c r="M419" s="29" t="s">
        <v>167</v>
      </c>
      <c r="N419" s="28" t="s">
        <v>1383</v>
      </c>
      <c r="O419" s="32">
        <v>16292.64</v>
      </c>
      <c r="P419" s="56">
        <v>41241</v>
      </c>
    </row>
    <row r="420" spans="1:32" ht="12" customHeight="1">
      <c r="A420" s="25">
        <v>41207</v>
      </c>
      <c r="B420" s="225" t="s">
        <v>1993</v>
      </c>
      <c r="C420" s="221" t="s">
        <v>163</v>
      </c>
      <c r="D420" s="225" t="s">
        <v>264</v>
      </c>
      <c r="E420" s="196" t="s">
        <v>1053</v>
      </c>
      <c r="F420" s="131">
        <v>10</v>
      </c>
      <c r="G420" s="110" t="s">
        <v>1055</v>
      </c>
      <c r="H420" s="31">
        <v>1.82</v>
      </c>
      <c r="I420" s="27">
        <f t="shared" si="13"/>
        <v>18.2</v>
      </c>
      <c r="J420" s="28" t="s">
        <v>1054</v>
      </c>
      <c r="K420" s="25">
        <v>41207</v>
      </c>
      <c r="L420" s="56">
        <v>41225</v>
      </c>
      <c r="M420" s="29" t="s">
        <v>167</v>
      </c>
      <c r="N420" s="28" t="s">
        <v>1383</v>
      </c>
      <c r="O420" s="32">
        <v>16292.64</v>
      </c>
      <c r="P420" s="56">
        <v>41241</v>
      </c>
    </row>
    <row r="421" spans="1:32" ht="12" customHeight="1">
      <c r="A421" s="25">
        <v>41207</v>
      </c>
      <c r="B421" s="95" t="s">
        <v>1989</v>
      </c>
      <c r="C421" s="219" t="s">
        <v>163</v>
      </c>
      <c r="D421" s="225" t="s">
        <v>672</v>
      </c>
      <c r="E421" s="196" t="s">
        <v>1056</v>
      </c>
      <c r="F421" s="119">
        <v>25</v>
      </c>
      <c r="G421" s="110" t="s">
        <v>1052</v>
      </c>
      <c r="H421" s="31">
        <v>3.86</v>
      </c>
      <c r="I421" s="27">
        <f t="shared" si="13"/>
        <v>96.5</v>
      </c>
      <c r="J421" s="28" t="s">
        <v>1057</v>
      </c>
      <c r="K421" s="25">
        <v>41207</v>
      </c>
      <c r="L421" s="56">
        <v>41240</v>
      </c>
      <c r="M421" s="29" t="s">
        <v>166</v>
      </c>
      <c r="N421" s="28" t="s">
        <v>176</v>
      </c>
    </row>
    <row r="422" spans="1:32" ht="12" customHeight="1">
      <c r="A422" s="25">
        <v>41207</v>
      </c>
      <c r="B422" s="95" t="s">
        <v>1989</v>
      </c>
      <c r="C422" s="219" t="s">
        <v>163</v>
      </c>
      <c r="D422" s="225" t="s">
        <v>1923</v>
      </c>
      <c r="E422" s="196" t="s">
        <v>1053</v>
      </c>
      <c r="F422" s="119">
        <v>10</v>
      </c>
      <c r="G422" s="110" t="s">
        <v>1055</v>
      </c>
      <c r="H422" s="31">
        <v>1.88</v>
      </c>
      <c r="I422" s="27">
        <f t="shared" si="13"/>
        <v>18.799999999999997</v>
      </c>
      <c r="J422" s="28" t="s">
        <v>1057</v>
      </c>
      <c r="K422" s="25">
        <v>41207</v>
      </c>
      <c r="L422" s="56">
        <v>41234</v>
      </c>
      <c r="M422" s="29" t="s">
        <v>1324</v>
      </c>
      <c r="N422" s="28" t="s">
        <v>1385</v>
      </c>
      <c r="O422" s="32">
        <v>22113.97</v>
      </c>
      <c r="P422" s="56">
        <v>41241</v>
      </c>
    </row>
    <row r="423" spans="1:32" ht="12" customHeight="1">
      <c r="A423" s="25">
        <v>41207</v>
      </c>
      <c r="B423" s="95" t="s">
        <v>1989</v>
      </c>
      <c r="C423" s="219" t="s">
        <v>163</v>
      </c>
      <c r="D423" s="225" t="s">
        <v>986</v>
      </c>
      <c r="E423" s="196">
        <v>6800</v>
      </c>
      <c r="F423" s="119">
        <v>1</v>
      </c>
      <c r="G423" s="110" t="s">
        <v>1055</v>
      </c>
      <c r="H423" s="31">
        <v>430</v>
      </c>
      <c r="I423" s="27">
        <f t="shared" si="13"/>
        <v>430</v>
      </c>
      <c r="J423" s="28" t="s">
        <v>1058</v>
      </c>
      <c r="K423" s="25">
        <v>41207</v>
      </c>
      <c r="L423" s="56">
        <v>41240</v>
      </c>
      <c r="M423" s="29" t="s">
        <v>166</v>
      </c>
      <c r="N423" s="28" t="s">
        <v>1059</v>
      </c>
    </row>
    <row r="424" spans="1:32" ht="12" customHeight="1">
      <c r="A424" s="25">
        <v>41211</v>
      </c>
      <c r="B424" s="95" t="s">
        <v>1989</v>
      </c>
      <c r="C424" s="219" t="s">
        <v>163</v>
      </c>
      <c r="D424" s="225" t="s">
        <v>309</v>
      </c>
      <c r="E424" s="196">
        <v>1110</v>
      </c>
      <c r="F424" s="119">
        <v>500</v>
      </c>
      <c r="G424" s="111" t="s">
        <v>1065</v>
      </c>
      <c r="H424" s="31">
        <v>0.77</v>
      </c>
      <c r="I424" s="27">
        <f t="shared" si="13"/>
        <v>385</v>
      </c>
      <c r="J424" s="28" t="s">
        <v>1066</v>
      </c>
      <c r="K424" s="25">
        <v>41211</v>
      </c>
      <c r="L424" s="56">
        <v>41234</v>
      </c>
      <c r="M424" s="29" t="s">
        <v>1324</v>
      </c>
      <c r="N424" s="28" t="s">
        <v>1385</v>
      </c>
      <c r="O424" s="32">
        <v>22113.97</v>
      </c>
      <c r="P424" s="56">
        <v>41241</v>
      </c>
    </row>
    <row r="425" spans="1:32" ht="12" customHeight="1">
      <c r="A425" s="25">
        <v>41211</v>
      </c>
      <c r="B425" s="95" t="s">
        <v>1989</v>
      </c>
      <c r="C425" s="219" t="s">
        <v>163</v>
      </c>
      <c r="D425" s="225" t="s">
        <v>672</v>
      </c>
      <c r="E425" s="196" t="s">
        <v>781</v>
      </c>
      <c r="F425" s="119">
        <v>300</v>
      </c>
      <c r="G425" s="111" t="s">
        <v>1067</v>
      </c>
      <c r="H425" s="31">
        <v>3.86</v>
      </c>
      <c r="I425" s="27">
        <f t="shared" ref="I425:I455" si="14">H425*F425</f>
        <v>1158</v>
      </c>
      <c r="J425" s="28" t="s">
        <v>1068</v>
      </c>
      <c r="K425" s="25">
        <v>41211</v>
      </c>
      <c r="L425" s="56">
        <v>41240</v>
      </c>
      <c r="M425" s="29" t="s">
        <v>166</v>
      </c>
      <c r="N425" s="28" t="s">
        <v>1069</v>
      </c>
    </row>
    <row r="426" spans="1:32" ht="12" customHeight="1">
      <c r="A426" s="25">
        <v>41211</v>
      </c>
      <c r="B426" s="95" t="s">
        <v>1989</v>
      </c>
      <c r="C426" s="219" t="s">
        <v>163</v>
      </c>
      <c r="D426" s="225" t="s">
        <v>233</v>
      </c>
      <c r="E426" s="196" t="s">
        <v>1072</v>
      </c>
      <c r="F426" s="205">
        <v>500</v>
      </c>
      <c r="G426" s="111" t="s">
        <v>1064</v>
      </c>
      <c r="H426" s="31">
        <v>1.54</v>
      </c>
      <c r="I426" s="27">
        <f t="shared" si="14"/>
        <v>770</v>
      </c>
      <c r="J426" s="28" t="s">
        <v>1073</v>
      </c>
      <c r="K426" s="25">
        <v>41211</v>
      </c>
      <c r="L426" s="56">
        <v>41234</v>
      </c>
      <c r="M426" s="29" t="s">
        <v>1324</v>
      </c>
      <c r="N426" s="28" t="s">
        <v>1385</v>
      </c>
      <c r="O426" s="32">
        <v>22113.97</v>
      </c>
      <c r="P426" s="56">
        <v>41241</v>
      </c>
    </row>
    <row r="427" spans="1:32" s="100" customFormat="1" ht="12" customHeight="1">
      <c r="A427" s="94">
        <v>41211</v>
      </c>
      <c r="B427" s="95" t="s">
        <v>1993</v>
      </c>
      <c r="C427" s="221" t="s">
        <v>164</v>
      </c>
      <c r="D427" s="225" t="s">
        <v>349</v>
      </c>
      <c r="E427" s="95" t="s">
        <v>180</v>
      </c>
      <c r="F427" s="95">
        <v>5000</v>
      </c>
      <c r="G427" s="95" t="s">
        <v>172</v>
      </c>
      <c r="H427" s="101">
        <v>1.53</v>
      </c>
      <c r="I427" s="102">
        <f t="shared" si="14"/>
        <v>7650</v>
      </c>
      <c r="J427" s="96" t="s">
        <v>1075</v>
      </c>
      <c r="K427" s="94">
        <v>41211</v>
      </c>
      <c r="L427" s="97">
        <v>41225</v>
      </c>
      <c r="M427" s="29" t="s">
        <v>167</v>
      </c>
      <c r="N427" s="96" t="s">
        <v>1383</v>
      </c>
      <c r="O427" s="99">
        <v>16292.64</v>
      </c>
      <c r="P427" s="97">
        <v>41241</v>
      </c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</row>
    <row r="428" spans="1:32" s="100" customFormat="1" ht="12" customHeight="1">
      <c r="A428" s="94">
        <v>41211</v>
      </c>
      <c r="B428" s="95" t="s">
        <v>1993</v>
      </c>
      <c r="C428" s="221" t="s">
        <v>164</v>
      </c>
      <c r="D428" s="225" t="s">
        <v>1924</v>
      </c>
      <c r="E428" s="95">
        <v>3511</v>
      </c>
      <c r="F428" s="95">
        <v>3</v>
      </c>
      <c r="G428" s="95" t="s">
        <v>1074</v>
      </c>
      <c r="H428" s="101">
        <v>92</v>
      </c>
      <c r="I428" s="102">
        <f t="shared" si="14"/>
        <v>276</v>
      </c>
      <c r="J428" s="96" t="s">
        <v>1075</v>
      </c>
      <c r="K428" s="94">
        <v>41211</v>
      </c>
      <c r="L428" s="97">
        <v>41225</v>
      </c>
      <c r="M428" s="29" t="s">
        <v>167</v>
      </c>
      <c r="N428" s="96" t="s">
        <v>1383</v>
      </c>
      <c r="O428" s="99">
        <v>16292.64</v>
      </c>
      <c r="P428" s="97">
        <v>41241</v>
      </c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</row>
    <row r="429" spans="1:32" s="100" customFormat="1" ht="12" customHeight="1">
      <c r="A429" s="94">
        <v>41211</v>
      </c>
      <c r="B429" s="95" t="s">
        <v>1993</v>
      </c>
      <c r="C429" s="221" t="s">
        <v>164</v>
      </c>
      <c r="D429" s="225" t="s">
        <v>1925</v>
      </c>
      <c r="E429" s="95">
        <v>3511</v>
      </c>
      <c r="F429" s="95">
        <v>2</v>
      </c>
      <c r="G429" s="95" t="s">
        <v>1074</v>
      </c>
      <c r="H429" s="101">
        <v>92</v>
      </c>
      <c r="I429" s="102">
        <f t="shared" si="14"/>
        <v>184</v>
      </c>
      <c r="J429" s="96" t="s">
        <v>1075</v>
      </c>
      <c r="K429" s="94">
        <v>41211</v>
      </c>
      <c r="L429" s="97">
        <v>41225</v>
      </c>
      <c r="M429" s="29" t="s">
        <v>167</v>
      </c>
      <c r="N429" s="96" t="s">
        <v>1383</v>
      </c>
      <c r="O429" s="99">
        <v>16292.64</v>
      </c>
      <c r="P429" s="97">
        <v>41241</v>
      </c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</row>
    <row r="430" spans="1:32" s="100" customFormat="1" ht="12" customHeight="1">
      <c r="A430" s="94">
        <v>41211</v>
      </c>
      <c r="B430" s="95" t="s">
        <v>1993</v>
      </c>
      <c r="C430" s="221" t="s">
        <v>164</v>
      </c>
      <c r="D430" s="225" t="s">
        <v>1926</v>
      </c>
      <c r="E430" s="95" t="s">
        <v>168</v>
      </c>
      <c r="F430" s="95">
        <v>5</v>
      </c>
      <c r="G430" s="95" t="s">
        <v>196</v>
      </c>
      <c r="H430" s="101">
        <v>17</v>
      </c>
      <c r="I430" s="102">
        <f t="shared" si="14"/>
        <v>85</v>
      </c>
      <c r="J430" s="96" t="s">
        <v>1075</v>
      </c>
      <c r="K430" s="94">
        <v>41211</v>
      </c>
      <c r="L430" s="97">
        <v>41225</v>
      </c>
      <c r="M430" s="29" t="s">
        <v>167</v>
      </c>
      <c r="N430" s="96" t="s">
        <v>1383</v>
      </c>
      <c r="O430" s="99">
        <v>16292.64</v>
      </c>
      <c r="P430" s="97">
        <v>41241</v>
      </c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</row>
    <row r="431" spans="1:32" ht="12" customHeight="1">
      <c r="A431" s="25">
        <v>41212</v>
      </c>
      <c r="B431" s="95" t="s">
        <v>1989</v>
      </c>
      <c r="C431" s="219" t="s">
        <v>163</v>
      </c>
      <c r="D431" s="1" t="s">
        <v>1216</v>
      </c>
      <c r="E431" s="196">
        <v>3200</v>
      </c>
      <c r="F431" s="119">
        <v>40</v>
      </c>
      <c r="G431" s="112" t="s">
        <v>1076</v>
      </c>
      <c r="H431" s="31">
        <v>23.94</v>
      </c>
      <c r="I431" s="27">
        <f t="shared" si="14"/>
        <v>957.6</v>
      </c>
      <c r="J431" s="28" t="s">
        <v>1077</v>
      </c>
      <c r="K431" s="25">
        <v>41205</v>
      </c>
      <c r="L431" s="56">
        <v>41234</v>
      </c>
      <c r="M431" s="29" t="s">
        <v>1324</v>
      </c>
      <c r="N431" s="28" t="s">
        <v>1385</v>
      </c>
      <c r="O431" s="32">
        <v>22113.97</v>
      </c>
      <c r="P431" s="56">
        <v>41241</v>
      </c>
    </row>
    <row r="432" spans="1:32" ht="12" customHeight="1">
      <c r="A432" s="25">
        <v>41212</v>
      </c>
      <c r="B432" s="95" t="s">
        <v>1989</v>
      </c>
      <c r="C432" s="219" t="s">
        <v>163</v>
      </c>
      <c r="D432" s="225" t="s">
        <v>307</v>
      </c>
      <c r="E432" s="196">
        <v>1270</v>
      </c>
      <c r="F432" s="119">
        <v>100</v>
      </c>
      <c r="G432" s="190" t="s">
        <v>240</v>
      </c>
      <c r="H432" s="31">
        <v>4.3099999999999996</v>
      </c>
      <c r="I432" s="27">
        <f t="shared" si="14"/>
        <v>430.99999999999994</v>
      </c>
      <c r="J432" s="28" t="s">
        <v>1077</v>
      </c>
      <c r="K432" s="25">
        <v>41212</v>
      </c>
      <c r="L432" s="56">
        <v>41234</v>
      </c>
      <c r="M432" s="29" t="s">
        <v>1324</v>
      </c>
      <c r="N432" s="28" t="s">
        <v>1385</v>
      </c>
      <c r="O432" s="32">
        <v>22113.97</v>
      </c>
      <c r="P432" s="56">
        <v>41241</v>
      </c>
    </row>
    <row r="433" spans="1:32" ht="12" customHeight="1">
      <c r="A433" s="25">
        <v>41212</v>
      </c>
      <c r="B433" s="225" t="s">
        <v>2007</v>
      </c>
      <c r="C433" s="219" t="s">
        <v>163</v>
      </c>
      <c r="D433" s="225" t="s">
        <v>1927</v>
      </c>
      <c r="E433" s="196">
        <v>82518</v>
      </c>
      <c r="F433" s="119">
        <v>300</v>
      </c>
      <c r="G433" s="117" t="s">
        <v>1078</v>
      </c>
      <c r="H433" s="31">
        <v>127</v>
      </c>
      <c r="I433" s="27">
        <f t="shared" si="14"/>
        <v>38100</v>
      </c>
      <c r="J433" s="28" t="s">
        <v>1079</v>
      </c>
      <c r="K433" s="25" t="s">
        <v>4965</v>
      </c>
      <c r="L433" s="56">
        <v>41212</v>
      </c>
      <c r="M433" s="29" t="s">
        <v>1098</v>
      </c>
      <c r="N433" s="28" t="s">
        <v>1563</v>
      </c>
      <c r="O433" s="32">
        <v>38862</v>
      </c>
      <c r="P433" s="56">
        <v>41263</v>
      </c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</row>
    <row r="434" spans="1:32" ht="12" customHeight="1">
      <c r="A434" s="25">
        <v>41212</v>
      </c>
      <c r="B434" s="225" t="s">
        <v>1999</v>
      </c>
      <c r="C434" s="219" t="s">
        <v>163</v>
      </c>
      <c r="D434" s="225" t="s">
        <v>1932</v>
      </c>
      <c r="E434" s="196">
        <v>8577</v>
      </c>
      <c r="F434" s="119">
        <v>30</v>
      </c>
      <c r="G434" s="112" t="s">
        <v>1076</v>
      </c>
      <c r="H434" s="31">
        <v>28</v>
      </c>
      <c r="I434" s="27">
        <f t="shared" si="14"/>
        <v>840</v>
      </c>
      <c r="J434" s="28" t="s">
        <v>1079</v>
      </c>
      <c r="K434" s="25">
        <v>41218</v>
      </c>
      <c r="L434" s="56">
        <v>41212</v>
      </c>
      <c r="M434" s="29" t="s">
        <v>1098</v>
      </c>
      <c r="N434" s="28" t="s">
        <v>1245</v>
      </c>
      <c r="O434" s="32">
        <v>25994.400000000001</v>
      </c>
      <c r="P434" s="56">
        <v>41222</v>
      </c>
    </row>
    <row r="435" spans="1:32" ht="12" customHeight="1">
      <c r="A435" s="25">
        <v>41212</v>
      </c>
      <c r="B435" s="225" t="s">
        <v>1999</v>
      </c>
      <c r="C435" s="219" t="s">
        <v>163</v>
      </c>
      <c r="D435" s="225" t="s">
        <v>1933</v>
      </c>
      <c r="E435" s="196" t="s">
        <v>1080</v>
      </c>
      <c r="F435" s="119">
        <v>3</v>
      </c>
      <c r="G435" s="112" t="s">
        <v>1081</v>
      </c>
      <c r="H435" s="31">
        <v>361.3</v>
      </c>
      <c r="I435" s="27">
        <f t="shared" si="14"/>
        <v>1083.9000000000001</v>
      </c>
      <c r="J435" s="28" t="s">
        <v>1079</v>
      </c>
      <c r="K435" s="25">
        <v>41218</v>
      </c>
      <c r="L435" s="56">
        <v>41212</v>
      </c>
      <c r="M435" s="29" t="s">
        <v>1098</v>
      </c>
      <c r="N435" s="28" t="s">
        <v>1245</v>
      </c>
      <c r="O435" s="32">
        <v>25994.400000000001</v>
      </c>
      <c r="P435" s="56">
        <v>41222</v>
      </c>
    </row>
    <row r="436" spans="1:32" ht="12" customHeight="1">
      <c r="A436" s="25">
        <v>41212</v>
      </c>
      <c r="B436" s="225" t="s">
        <v>1992</v>
      </c>
      <c r="C436" s="219" t="s">
        <v>163</v>
      </c>
      <c r="D436" s="225" t="s">
        <v>1932</v>
      </c>
      <c r="E436" s="196">
        <v>8577</v>
      </c>
      <c r="F436" s="129">
        <v>38</v>
      </c>
      <c r="G436" s="129" t="s">
        <v>171</v>
      </c>
      <c r="H436" s="31">
        <v>25.86</v>
      </c>
      <c r="I436" s="27">
        <f t="shared" si="14"/>
        <v>982.68</v>
      </c>
      <c r="J436" s="28" t="s">
        <v>168</v>
      </c>
      <c r="K436" s="25">
        <v>41215</v>
      </c>
      <c r="L436" s="25">
        <v>41212</v>
      </c>
      <c r="M436" s="29" t="s">
        <v>167</v>
      </c>
      <c r="N436" s="28" t="s">
        <v>1336</v>
      </c>
      <c r="O436" s="32">
        <v>59177.48</v>
      </c>
      <c r="P436" s="56">
        <v>41236</v>
      </c>
      <c r="Q436" s="49"/>
      <c r="R436" s="49"/>
      <c r="S436" s="49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</row>
    <row r="437" spans="1:32" ht="12" customHeight="1">
      <c r="A437" s="25">
        <v>41212</v>
      </c>
      <c r="B437" s="225" t="s">
        <v>1991</v>
      </c>
      <c r="C437" s="219" t="s">
        <v>163</v>
      </c>
      <c r="D437" s="225" t="s">
        <v>1899</v>
      </c>
      <c r="E437" s="196" t="s">
        <v>146</v>
      </c>
      <c r="F437" s="129">
        <v>20</v>
      </c>
      <c r="G437" s="129" t="s">
        <v>171</v>
      </c>
      <c r="H437" s="31">
        <v>17.5</v>
      </c>
      <c r="I437" s="27">
        <f t="shared" si="14"/>
        <v>350</v>
      </c>
      <c r="J437" s="28" t="s">
        <v>168</v>
      </c>
      <c r="K437" s="25">
        <v>41212</v>
      </c>
      <c r="L437" s="25">
        <v>41214</v>
      </c>
      <c r="M437" s="29" t="s">
        <v>167</v>
      </c>
      <c r="N437" s="28" t="s">
        <v>1595</v>
      </c>
      <c r="O437" s="32">
        <v>3090.5</v>
      </c>
      <c r="P437" s="56">
        <v>41268</v>
      </c>
      <c r="Q437" s="49"/>
      <c r="R437" s="49"/>
      <c r="S437" s="49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</row>
    <row r="438" spans="1:32" ht="12" customHeight="1">
      <c r="A438" s="25">
        <v>41213</v>
      </c>
      <c r="B438" s="225" t="s">
        <v>1989</v>
      </c>
      <c r="C438" s="219" t="s">
        <v>163</v>
      </c>
      <c r="D438" s="225" t="s">
        <v>1934</v>
      </c>
      <c r="E438" s="196" t="s">
        <v>781</v>
      </c>
      <c r="F438" s="129">
        <v>100</v>
      </c>
      <c r="G438" s="129" t="s">
        <v>172</v>
      </c>
      <c r="H438" s="31">
        <v>4</v>
      </c>
      <c r="I438" s="27">
        <f t="shared" si="14"/>
        <v>400</v>
      </c>
      <c r="J438" s="28" t="s">
        <v>1084</v>
      </c>
      <c r="K438" s="25">
        <v>41213</v>
      </c>
      <c r="L438" s="25">
        <v>41234</v>
      </c>
      <c r="M438" s="29" t="s">
        <v>167</v>
      </c>
      <c r="N438" s="28" t="s">
        <v>1385</v>
      </c>
      <c r="O438" s="32">
        <v>22113.97</v>
      </c>
      <c r="P438" s="56">
        <v>41241</v>
      </c>
      <c r="Q438" s="49"/>
      <c r="R438" s="49"/>
      <c r="S438" s="49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</row>
    <row r="439" spans="1:32" ht="12" customHeight="1">
      <c r="A439" s="25">
        <v>41214</v>
      </c>
      <c r="B439" s="225" t="s">
        <v>1991</v>
      </c>
      <c r="C439" s="219" t="s">
        <v>163</v>
      </c>
      <c r="D439" s="225" t="s">
        <v>1725</v>
      </c>
      <c r="E439" s="196">
        <v>8576</v>
      </c>
      <c r="F439" s="129">
        <v>30</v>
      </c>
      <c r="G439" s="129" t="s">
        <v>172</v>
      </c>
      <c r="H439" s="31">
        <v>24</v>
      </c>
      <c r="I439" s="27">
        <f t="shared" si="14"/>
        <v>720</v>
      </c>
      <c r="J439" s="28" t="s">
        <v>1085</v>
      </c>
      <c r="K439" s="25">
        <v>41214</v>
      </c>
      <c r="L439" s="25">
        <v>41214</v>
      </c>
      <c r="M439" s="29" t="s">
        <v>167</v>
      </c>
      <c r="N439" s="28" t="s">
        <v>1595</v>
      </c>
      <c r="O439" s="32">
        <v>3090.5</v>
      </c>
      <c r="P439" s="56">
        <v>41268</v>
      </c>
      <c r="Q439" s="49"/>
      <c r="R439" s="49"/>
      <c r="S439" s="49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</row>
    <row r="440" spans="1:32" ht="12" customHeight="1">
      <c r="A440" s="25">
        <v>41214</v>
      </c>
      <c r="B440" s="225" t="s">
        <v>1991</v>
      </c>
      <c r="C440" s="219" t="s">
        <v>1283</v>
      </c>
      <c r="D440" s="225" t="s">
        <v>1935</v>
      </c>
      <c r="E440" s="196" t="s">
        <v>1088</v>
      </c>
      <c r="F440" s="129">
        <v>7</v>
      </c>
      <c r="G440" s="129" t="s">
        <v>830</v>
      </c>
      <c r="H440" s="31">
        <v>91.5</v>
      </c>
      <c r="I440" s="27">
        <f t="shared" si="14"/>
        <v>640.5</v>
      </c>
      <c r="J440" s="28" t="s">
        <v>1085</v>
      </c>
      <c r="K440" s="25">
        <v>41214</v>
      </c>
      <c r="L440" s="25">
        <v>41214</v>
      </c>
      <c r="M440" s="29" t="s">
        <v>167</v>
      </c>
      <c r="N440" s="28" t="s">
        <v>1595</v>
      </c>
      <c r="O440" s="32">
        <v>3090.5</v>
      </c>
      <c r="P440" s="56">
        <v>41268</v>
      </c>
      <c r="Q440" s="49"/>
      <c r="R440" s="49"/>
      <c r="S440" s="49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</row>
    <row r="441" spans="1:32" ht="12" customHeight="1">
      <c r="A441" s="25">
        <v>41214</v>
      </c>
      <c r="B441" s="225" t="s">
        <v>1993</v>
      </c>
      <c r="C441" s="219" t="s">
        <v>163</v>
      </c>
      <c r="D441" s="225" t="s">
        <v>1936</v>
      </c>
      <c r="E441" s="196">
        <v>10434</v>
      </c>
      <c r="F441" s="131">
        <v>150</v>
      </c>
      <c r="G441" s="129" t="s">
        <v>173</v>
      </c>
      <c r="H441" s="31">
        <v>14.2</v>
      </c>
      <c r="I441" s="27">
        <f t="shared" si="14"/>
        <v>2130</v>
      </c>
      <c r="J441" s="28" t="s">
        <v>1087</v>
      </c>
      <c r="K441" s="25">
        <v>41214</v>
      </c>
      <c r="L441" s="25">
        <v>41241</v>
      </c>
      <c r="M441" s="29" t="s">
        <v>167</v>
      </c>
      <c r="N441" s="28" t="s">
        <v>1383</v>
      </c>
      <c r="O441" s="32">
        <v>16292.64</v>
      </c>
      <c r="P441" s="56">
        <v>41241</v>
      </c>
      <c r="Q441" s="49"/>
      <c r="R441" s="49"/>
      <c r="S441" s="49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</row>
    <row r="442" spans="1:32" ht="12" customHeight="1">
      <c r="A442" s="25">
        <v>41214</v>
      </c>
      <c r="B442" s="225" t="s">
        <v>1993</v>
      </c>
      <c r="C442" s="219" t="s">
        <v>163</v>
      </c>
      <c r="D442" s="225" t="s">
        <v>1934</v>
      </c>
      <c r="E442" s="196" t="s">
        <v>1086</v>
      </c>
      <c r="F442" s="131">
        <v>100</v>
      </c>
      <c r="G442" s="328" t="s">
        <v>171</v>
      </c>
      <c r="H442" s="31">
        <v>3.59</v>
      </c>
      <c r="I442" s="27">
        <f t="shared" si="14"/>
        <v>359</v>
      </c>
      <c r="J442" s="28" t="s">
        <v>1087</v>
      </c>
      <c r="K442" s="25">
        <v>41214</v>
      </c>
      <c r="L442" s="25">
        <v>41241</v>
      </c>
      <c r="M442" s="29" t="s">
        <v>167</v>
      </c>
      <c r="N442" s="28" t="s">
        <v>1383</v>
      </c>
      <c r="O442" s="32">
        <v>16292.64</v>
      </c>
      <c r="P442" s="56">
        <v>41241</v>
      </c>
      <c r="Q442" s="49"/>
      <c r="R442" s="49"/>
      <c r="S442" s="49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</row>
    <row r="443" spans="1:32" ht="12" customHeight="1">
      <c r="A443" s="25">
        <v>41214</v>
      </c>
      <c r="B443" s="225" t="s">
        <v>2000</v>
      </c>
      <c r="C443" s="219" t="s">
        <v>1283</v>
      </c>
      <c r="D443" s="225" t="s">
        <v>1935</v>
      </c>
      <c r="E443" s="196" t="s">
        <v>1089</v>
      </c>
      <c r="F443" s="129">
        <v>8</v>
      </c>
      <c r="G443" s="129" t="s">
        <v>830</v>
      </c>
      <c r="H443" s="31">
        <v>88.66</v>
      </c>
      <c r="I443" s="27">
        <f t="shared" si="14"/>
        <v>709.28</v>
      </c>
      <c r="J443" s="28" t="s">
        <v>1095</v>
      </c>
      <c r="K443" s="25">
        <v>41226</v>
      </c>
      <c r="L443" s="25">
        <v>41214</v>
      </c>
      <c r="M443" s="29" t="s">
        <v>167</v>
      </c>
      <c r="N443" s="28" t="s">
        <v>1393</v>
      </c>
      <c r="O443" s="32" t="s">
        <v>1394</v>
      </c>
      <c r="P443" s="56">
        <v>41242</v>
      </c>
      <c r="Q443" s="49"/>
      <c r="R443" s="49"/>
      <c r="S443" s="49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</row>
    <row r="444" spans="1:32" ht="12" customHeight="1">
      <c r="A444" s="25">
        <v>41214</v>
      </c>
      <c r="B444" s="225" t="s">
        <v>2000</v>
      </c>
      <c r="C444" s="219" t="s">
        <v>1283</v>
      </c>
      <c r="D444" s="225" t="s">
        <v>1935</v>
      </c>
      <c r="E444" s="196" t="s">
        <v>1090</v>
      </c>
      <c r="F444" s="129">
        <v>2</v>
      </c>
      <c r="G444" s="129" t="s">
        <v>830</v>
      </c>
      <c r="H444" s="31">
        <v>88.66</v>
      </c>
      <c r="I444" s="27">
        <f t="shared" si="14"/>
        <v>177.32</v>
      </c>
      <c r="J444" s="28" t="s">
        <v>1095</v>
      </c>
      <c r="K444" s="25">
        <v>41226</v>
      </c>
      <c r="L444" s="25">
        <v>41214</v>
      </c>
      <c r="M444" s="29" t="s">
        <v>167</v>
      </c>
      <c r="N444" s="28" t="s">
        <v>1393</v>
      </c>
      <c r="O444" s="32" t="s">
        <v>1394</v>
      </c>
      <c r="P444" s="56">
        <v>41242</v>
      </c>
      <c r="Q444" s="49"/>
      <c r="R444" s="49"/>
      <c r="S444" s="49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</row>
    <row r="445" spans="1:32" ht="12" customHeight="1">
      <c r="A445" s="25">
        <v>41214</v>
      </c>
      <c r="B445" s="225" t="s">
        <v>2000</v>
      </c>
      <c r="C445" s="219" t="s">
        <v>1283</v>
      </c>
      <c r="D445" s="225" t="s">
        <v>1935</v>
      </c>
      <c r="E445" s="196" t="s">
        <v>1091</v>
      </c>
      <c r="F445" s="129">
        <v>4</v>
      </c>
      <c r="G445" s="129" t="s">
        <v>830</v>
      </c>
      <c r="H445" s="31">
        <v>88.66</v>
      </c>
      <c r="I445" s="27">
        <f t="shared" si="14"/>
        <v>354.64</v>
      </c>
      <c r="J445" s="28" t="s">
        <v>1095</v>
      </c>
      <c r="K445" s="25">
        <v>41226</v>
      </c>
      <c r="L445" s="25">
        <v>41214</v>
      </c>
      <c r="M445" s="29" t="s">
        <v>167</v>
      </c>
      <c r="N445" s="28" t="s">
        <v>1393</v>
      </c>
      <c r="O445" s="32" t="s">
        <v>1394</v>
      </c>
      <c r="P445" s="56">
        <v>41242</v>
      </c>
      <c r="Q445" s="49"/>
      <c r="R445" s="49"/>
      <c r="S445" s="49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</row>
    <row r="446" spans="1:32" ht="12" customHeight="1">
      <c r="A446" s="25">
        <v>41214</v>
      </c>
      <c r="B446" s="225" t="s">
        <v>2000</v>
      </c>
      <c r="C446" s="219" t="s">
        <v>1283</v>
      </c>
      <c r="D446" s="225" t="s">
        <v>1935</v>
      </c>
      <c r="E446" s="196" t="s">
        <v>1092</v>
      </c>
      <c r="F446" s="129">
        <v>54</v>
      </c>
      <c r="G446" s="129" t="s">
        <v>830</v>
      </c>
      <c r="H446" s="31">
        <v>88.66</v>
      </c>
      <c r="I446" s="27">
        <f t="shared" si="14"/>
        <v>4787.6399999999994</v>
      </c>
      <c r="J446" s="28" t="s">
        <v>1095</v>
      </c>
      <c r="K446" s="25">
        <v>41226</v>
      </c>
      <c r="L446" s="25">
        <v>41214</v>
      </c>
      <c r="M446" s="29" t="s">
        <v>167</v>
      </c>
      <c r="N446" s="28" t="s">
        <v>1393</v>
      </c>
      <c r="O446" s="32" t="s">
        <v>1394</v>
      </c>
      <c r="P446" s="56">
        <v>41242</v>
      </c>
      <c r="Q446" s="49"/>
      <c r="R446" s="49"/>
      <c r="S446" s="49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</row>
    <row r="447" spans="1:32" ht="12" customHeight="1">
      <c r="A447" s="25">
        <v>41214</v>
      </c>
      <c r="B447" s="225" t="s">
        <v>2000</v>
      </c>
      <c r="C447" s="219" t="s">
        <v>1283</v>
      </c>
      <c r="D447" s="225" t="s">
        <v>1935</v>
      </c>
      <c r="E447" s="196" t="s">
        <v>1093</v>
      </c>
      <c r="F447" s="129">
        <v>86</v>
      </c>
      <c r="G447" s="129" t="s">
        <v>830</v>
      </c>
      <c r="H447" s="31">
        <v>88.66</v>
      </c>
      <c r="I447" s="27">
        <f t="shared" si="14"/>
        <v>7624.7599999999993</v>
      </c>
      <c r="J447" s="28" t="s">
        <v>1095</v>
      </c>
      <c r="K447" s="25">
        <v>41226</v>
      </c>
      <c r="L447" s="25">
        <v>41214</v>
      </c>
      <c r="M447" s="29" t="s">
        <v>167</v>
      </c>
      <c r="N447" s="28" t="s">
        <v>1393</v>
      </c>
      <c r="O447" s="32" t="s">
        <v>1394</v>
      </c>
      <c r="P447" s="56">
        <v>41242</v>
      </c>
      <c r="Q447" s="49"/>
      <c r="R447" s="49"/>
      <c r="S447" s="49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</row>
    <row r="448" spans="1:32" ht="12" customHeight="1">
      <c r="A448" s="25">
        <v>41214</v>
      </c>
      <c r="B448" s="225" t="s">
        <v>2000</v>
      </c>
      <c r="C448" s="219" t="s">
        <v>1283</v>
      </c>
      <c r="D448" s="225" t="s">
        <v>1935</v>
      </c>
      <c r="E448" s="196" t="s">
        <v>1094</v>
      </c>
      <c r="F448" s="129">
        <v>65</v>
      </c>
      <c r="G448" s="129" t="s">
        <v>830</v>
      </c>
      <c r="H448" s="31">
        <v>88.66</v>
      </c>
      <c r="I448" s="27">
        <f t="shared" si="14"/>
        <v>5762.9</v>
      </c>
      <c r="J448" s="28" t="s">
        <v>1095</v>
      </c>
      <c r="K448" s="25">
        <v>41226</v>
      </c>
      <c r="L448" s="25">
        <v>41214</v>
      </c>
      <c r="M448" s="29" t="s">
        <v>167</v>
      </c>
      <c r="N448" s="28" t="s">
        <v>1393</v>
      </c>
      <c r="O448" s="32" t="s">
        <v>1394</v>
      </c>
      <c r="P448" s="56">
        <v>41242</v>
      </c>
      <c r="Q448" s="49"/>
      <c r="R448" s="49"/>
      <c r="S448" s="49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</row>
    <row r="449" spans="1:32" ht="12" customHeight="1">
      <c r="A449" s="25">
        <v>41214</v>
      </c>
      <c r="B449" s="225" t="s">
        <v>2000</v>
      </c>
      <c r="C449" s="219" t="s">
        <v>1283</v>
      </c>
      <c r="D449" s="225" t="s">
        <v>1935</v>
      </c>
      <c r="E449" s="196" t="s">
        <v>1338</v>
      </c>
      <c r="F449" s="129">
        <v>27</v>
      </c>
      <c r="G449" s="129" t="s">
        <v>830</v>
      </c>
      <c r="H449" s="31">
        <v>88.66</v>
      </c>
      <c r="I449" s="27">
        <f t="shared" si="14"/>
        <v>2393.8199999999997</v>
      </c>
      <c r="J449" s="28" t="s">
        <v>1095</v>
      </c>
      <c r="K449" s="25">
        <v>41226</v>
      </c>
      <c r="L449" s="25">
        <v>41214</v>
      </c>
      <c r="M449" s="29" t="s">
        <v>167</v>
      </c>
      <c r="N449" s="28" t="s">
        <v>1393</v>
      </c>
      <c r="O449" s="32" t="s">
        <v>1394</v>
      </c>
      <c r="P449" s="56">
        <v>41242</v>
      </c>
      <c r="Q449" s="49"/>
      <c r="R449" s="49"/>
      <c r="S449" s="49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</row>
    <row r="450" spans="1:32" ht="12" customHeight="1">
      <c r="A450" s="25">
        <v>41214</v>
      </c>
      <c r="B450" s="225" t="s">
        <v>1999</v>
      </c>
      <c r="C450" s="219" t="s">
        <v>1283</v>
      </c>
      <c r="D450" s="225" t="s">
        <v>1935</v>
      </c>
      <c r="E450" s="196" t="s">
        <v>1096</v>
      </c>
      <c r="F450" s="129">
        <v>46</v>
      </c>
      <c r="G450" s="129" t="s">
        <v>830</v>
      </c>
      <c r="H450" s="31">
        <v>88.7</v>
      </c>
      <c r="I450" s="27">
        <f t="shared" si="14"/>
        <v>4080.2000000000003</v>
      </c>
      <c r="J450" s="28" t="s">
        <v>1339</v>
      </c>
      <c r="K450" s="25">
        <v>41226</v>
      </c>
      <c r="L450" s="25" t="s">
        <v>1255</v>
      </c>
      <c r="M450" s="29" t="s">
        <v>167</v>
      </c>
      <c r="N450" s="28" t="s">
        <v>1480</v>
      </c>
      <c r="O450" s="32">
        <v>31007.119999999999</v>
      </c>
      <c r="P450" s="56">
        <v>41254</v>
      </c>
      <c r="Q450" s="49"/>
      <c r="R450" s="49"/>
      <c r="S450" s="49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</row>
    <row r="451" spans="1:32" ht="12" customHeight="1">
      <c r="A451" s="25">
        <v>41214</v>
      </c>
      <c r="B451" s="225" t="s">
        <v>1999</v>
      </c>
      <c r="C451" s="219" t="s">
        <v>1283</v>
      </c>
      <c r="D451" s="225" t="s">
        <v>1935</v>
      </c>
      <c r="E451" s="196" t="s">
        <v>1089</v>
      </c>
      <c r="F451" s="129">
        <v>20</v>
      </c>
      <c r="G451" s="129" t="s">
        <v>830</v>
      </c>
      <c r="H451" s="31">
        <v>88.7</v>
      </c>
      <c r="I451" s="27">
        <f t="shared" si="14"/>
        <v>1774</v>
      </c>
      <c r="J451" s="28" t="s">
        <v>1339</v>
      </c>
      <c r="K451" s="25">
        <v>41226</v>
      </c>
      <c r="L451" s="25" t="s">
        <v>1255</v>
      </c>
      <c r="M451" s="29" t="s">
        <v>167</v>
      </c>
      <c r="N451" s="28" t="s">
        <v>1480</v>
      </c>
      <c r="O451" s="32">
        <v>31007.119999999999</v>
      </c>
      <c r="P451" s="56">
        <v>41254</v>
      </c>
      <c r="Q451" s="49"/>
      <c r="R451" s="49"/>
      <c r="S451" s="49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</row>
    <row r="452" spans="1:32" ht="12" customHeight="1">
      <c r="A452" s="25">
        <v>41214</v>
      </c>
      <c r="B452" s="225" t="s">
        <v>1999</v>
      </c>
      <c r="C452" s="219" t="s">
        <v>1283</v>
      </c>
      <c r="D452" s="225" t="s">
        <v>1935</v>
      </c>
      <c r="E452" s="196" t="s">
        <v>1090</v>
      </c>
      <c r="F452" s="129">
        <v>40</v>
      </c>
      <c r="G452" s="129" t="s">
        <v>830</v>
      </c>
      <c r="H452" s="31">
        <v>88.7</v>
      </c>
      <c r="I452" s="27">
        <f t="shared" si="14"/>
        <v>3548</v>
      </c>
      <c r="J452" s="28" t="s">
        <v>1339</v>
      </c>
      <c r="K452" s="25">
        <v>41226</v>
      </c>
      <c r="L452" s="25" t="s">
        <v>1255</v>
      </c>
      <c r="M452" s="29" t="s">
        <v>167</v>
      </c>
      <c r="N452" s="28" t="s">
        <v>1480</v>
      </c>
      <c r="O452" s="32">
        <v>31007.119999999999</v>
      </c>
      <c r="P452" s="56">
        <v>41254</v>
      </c>
      <c r="Q452" s="49"/>
      <c r="R452" s="49"/>
      <c r="S452" s="49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</row>
    <row r="453" spans="1:32" ht="12" customHeight="1">
      <c r="A453" s="25">
        <v>41214</v>
      </c>
      <c r="B453" s="225" t="s">
        <v>1999</v>
      </c>
      <c r="C453" s="219" t="s">
        <v>1283</v>
      </c>
      <c r="D453" s="225" t="s">
        <v>1935</v>
      </c>
      <c r="E453" s="196" t="s">
        <v>1091</v>
      </c>
      <c r="F453" s="129">
        <v>60</v>
      </c>
      <c r="G453" s="129" t="s">
        <v>830</v>
      </c>
      <c r="H453" s="31">
        <v>88.7</v>
      </c>
      <c r="I453" s="27">
        <f t="shared" si="14"/>
        <v>5322</v>
      </c>
      <c r="J453" s="28" t="s">
        <v>1339</v>
      </c>
      <c r="K453" s="25">
        <v>41226</v>
      </c>
      <c r="L453" s="25" t="s">
        <v>1255</v>
      </c>
      <c r="M453" s="29" t="s">
        <v>167</v>
      </c>
      <c r="N453" s="28" t="s">
        <v>1480</v>
      </c>
      <c r="O453" s="32">
        <v>31007.119999999999</v>
      </c>
      <c r="P453" s="56">
        <v>41254</v>
      </c>
      <c r="Q453" s="49"/>
      <c r="R453" s="49"/>
      <c r="S453" s="49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</row>
    <row r="454" spans="1:32" ht="12" customHeight="1">
      <c r="A454" s="25">
        <v>41214</v>
      </c>
      <c r="B454" s="225" t="s">
        <v>1999</v>
      </c>
      <c r="C454" s="219" t="s">
        <v>1283</v>
      </c>
      <c r="D454" s="225" t="s">
        <v>1935</v>
      </c>
      <c r="E454" s="196" t="s">
        <v>1092</v>
      </c>
      <c r="F454" s="129">
        <v>30</v>
      </c>
      <c r="G454" s="129" t="s">
        <v>830</v>
      </c>
      <c r="H454" s="31">
        <v>88.7</v>
      </c>
      <c r="I454" s="27">
        <f t="shared" si="14"/>
        <v>2661</v>
      </c>
      <c r="J454" s="28" t="s">
        <v>1339</v>
      </c>
      <c r="K454" s="25">
        <v>41226</v>
      </c>
      <c r="L454" s="25" t="s">
        <v>1255</v>
      </c>
      <c r="M454" s="29" t="s">
        <v>167</v>
      </c>
      <c r="N454" s="28" t="s">
        <v>1480</v>
      </c>
      <c r="O454" s="32">
        <v>31007.119999999999</v>
      </c>
      <c r="P454" s="56">
        <v>41254</v>
      </c>
      <c r="Q454" s="49"/>
      <c r="R454" s="49"/>
      <c r="S454" s="49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</row>
    <row r="455" spans="1:32" ht="12" customHeight="1">
      <c r="A455" s="25">
        <v>41214</v>
      </c>
      <c r="B455" s="225" t="s">
        <v>1999</v>
      </c>
      <c r="C455" s="219" t="s">
        <v>163</v>
      </c>
      <c r="D455" s="225" t="s">
        <v>1918</v>
      </c>
      <c r="E455" s="196" t="s">
        <v>990</v>
      </c>
      <c r="F455" s="129">
        <v>2</v>
      </c>
      <c r="G455" s="129" t="s">
        <v>171</v>
      </c>
      <c r="H455" s="31">
        <v>295</v>
      </c>
      <c r="I455" s="27">
        <f t="shared" si="14"/>
        <v>590</v>
      </c>
      <c r="J455" s="28" t="s">
        <v>1097</v>
      </c>
      <c r="K455" s="25" t="s">
        <v>4965</v>
      </c>
      <c r="L455" s="25">
        <v>41222</v>
      </c>
      <c r="M455" s="29" t="s">
        <v>167</v>
      </c>
      <c r="N455" s="28" t="s">
        <v>1480</v>
      </c>
      <c r="O455" s="32">
        <v>31007.119999999999</v>
      </c>
      <c r="P455" s="56">
        <v>41254</v>
      </c>
      <c r="Q455" s="49"/>
      <c r="R455" s="49"/>
      <c r="S455" s="49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</row>
    <row r="456" spans="1:32" ht="12" customHeight="1">
      <c r="A456" s="25">
        <v>41214</v>
      </c>
      <c r="B456" s="225" t="s">
        <v>2001</v>
      </c>
      <c r="C456" s="219" t="s">
        <v>163</v>
      </c>
      <c r="D456" s="225" t="s">
        <v>1914</v>
      </c>
      <c r="E456" s="196">
        <v>52000183617</v>
      </c>
      <c r="F456" s="129">
        <v>1</v>
      </c>
      <c r="G456" s="129" t="s">
        <v>897</v>
      </c>
      <c r="H456" s="31">
        <v>0</v>
      </c>
      <c r="I456" s="27">
        <v>0</v>
      </c>
      <c r="J456" s="28" t="s">
        <v>1113</v>
      </c>
      <c r="K456" s="25">
        <v>41214</v>
      </c>
      <c r="L456" s="25" t="s">
        <v>1213</v>
      </c>
      <c r="M456" s="29" t="s">
        <v>4965</v>
      </c>
      <c r="N456" s="28" t="s">
        <v>1253</v>
      </c>
      <c r="O456" s="32">
        <v>14070</v>
      </c>
      <c r="P456" s="56">
        <v>41225</v>
      </c>
      <c r="Q456" s="49"/>
      <c r="R456" s="49"/>
      <c r="S456" s="49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</row>
    <row r="457" spans="1:32" ht="12" customHeight="1">
      <c r="A457" s="25">
        <v>41215</v>
      </c>
      <c r="B457" s="225" t="s">
        <v>1989</v>
      </c>
      <c r="C457" s="219" t="s">
        <v>163</v>
      </c>
      <c r="D457" s="225" t="s">
        <v>1937</v>
      </c>
      <c r="E457" s="196">
        <v>4620</v>
      </c>
      <c r="F457" s="129">
        <v>2</v>
      </c>
      <c r="G457" s="129" t="s">
        <v>175</v>
      </c>
      <c r="H457" s="31">
        <v>17.79</v>
      </c>
      <c r="I457" s="27">
        <f t="shared" ref="I457:I488" si="15">H457*F457</f>
        <v>35.58</v>
      </c>
      <c r="J457" s="28" t="s">
        <v>1101</v>
      </c>
      <c r="K457" s="25">
        <v>41215</v>
      </c>
      <c r="L457" s="25">
        <v>41234</v>
      </c>
      <c r="M457" s="29" t="s">
        <v>167</v>
      </c>
      <c r="N457" s="28" t="s">
        <v>1385</v>
      </c>
      <c r="O457" s="32">
        <v>22113.97</v>
      </c>
      <c r="P457" s="56">
        <v>41241</v>
      </c>
      <c r="Q457" s="49"/>
      <c r="R457" s="49"/>
      <c r="S457" s="49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</row>
    <row r="458" spans="1:32" ht="12" customHeight="1">
      <c r="A458" s="25">
        <v>41215</v>
      </c>
      <c r="B458" s="225" t="s">
        <v>1989</v>
      </c>
      <c r="C458" s="219" t="s">
        <v>163</v>
      </c>
      <c r="D458" s="225" t="s">
        <v>1938</v>
      </c>
      <c r="E458" s="196" t="s">
        <v>182</v>
      </c>
      <c r="F458" s="129">
        <v>500</v>
      </c>
      <c r="G458" s="129" t="s">
        <v>172</v>
      </c>
      <c r="H458" s="31">
        <v>1.65</v>
      </c>
      <c r="I458" s="27">
        <f t="shared" si="15"/>
        <v>825</v>
      </c>
      <c r="J458" s="28" t="s">
        <v>1101</v>
      </c>
      <c r="K458" s="25">
        <v>41215</v>
      </c>
      <c r="L458" s="25">
        <v>41234</v>
      </c>
      <c r="M458" s="29" t="s">
        <v>167</v>
      </c>
      <c r="N458" s="28" t="s">
        <v>1385</v>
      </c>
      <c r="O458" s="32">
        <v>22113.97</v>
      </c>
      <c r="P458" s="56">
        <v>41241</v>
      </c>
      <c r="Q458" s="49"/>
      <c r="R458" s="49"/>
      <c r="S458" s="49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</row>
    <row r="459" spans="1:32" ht="12" customHeight="1">
      <c r="A459" s="25">
        <v>41215</v>
      </c>
      <c r="B459" s="225" t="s">
        <v>1989</v>
      </c>
      <c r="C459" s="219" t="s">
        <v>163</v>
      </c>
      <c r="D459" s="1" t="s">
        <v>1219</v>
      </c>
      <c r="E459" s="196" t="s">
        <v>179</v>
      </c>
      <c r="F459" s="129">
        <v>12</v>
      </c>
      <c r="G459" s="129" t="s">
        <v>173</v>
      </c>
      <c r="H459" s="31">
        <v>13</v>
      </c>
      <c r="I459" s="27">
        <f t="shared" si="15"/>
        <v>156</v>
      </c>
      <c r="J459" s="28" t="s">
        <v>1101</v>
      </c>
      <c r="K459" s="25">
        <v>41215</v>
      </c>
      <c r="L459" s="25">
        <v>41234</v>
      </c>
      <c r="M459" s="29" t="s">
        <v>167</v>
      </c>
      <c r="N459" s="28" t="s">
        <v>1385</v>
      </c>
      <c r="O459" s="32">
        <v>22113.97</v>
      </c>
      <c r="P459" s="56">
        <v>41241</v>
      </c>
      <c r="Q459" s="49"/>
      <c r="R459" s="49"/>
      <c r="S459" s="49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</row>
    <row r="460" spans="1:32" ht="12" customHeight="1">
      <c r="A460" s="25">
        <v>41215</v>
      </c>
      <c r="B460" s="225" t="s">
        <v>1999</v>
      </c>
      <c r="C460" s="219" t="s">
        <v>163</v>
      </c>
      <c r="D460" s="225" t="s">
        <v>1939</v>
      </c>
      <c r="E460" s="196" t="s">
        <v>1102</v>
      </c>
      <c r="F460" s="129">
        <v>4</v>
      </c>
      <c r="G460" s="129" t="s">
        <v>171</v>
      </c>
      <c r="H460" s="31">
        <v>58.3</v>
      </c>
      <c r="I460" s="27">
        <f t="shared" si="15"/>
        <v>233.2</v>
      </c>
      <c r="J460" s="28" t="s">
        <v>1104</v>
      </c>
      <c r="K460" s="25">
        <v>41220</v>
      </c>
      <c r="L460" s="25">
        <v>41215</v>
      </c>
      <c r="M460" s="29" t="s">
        <v>167</v>
      </c>
      <c r="N460" s="28" t="s">
        <v>1480</v>
      </c>
      <c r="O460" s="32">
        <v>31007.119999999999</v>
      </c>
      <c r="P460" s="56">
        <v>41254</v>
      </c>
      <c r="Q460" s="49"/>
      <c r="R460" s="49"/>
      <c r="S460" s="49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</row>
    <row r="461" spans="1:32" ht="12" customHeight="1">
      <c r="A461" s="25">
        <v>41215</v>
      </c>
      <c r="B461" s="225" t="s">
        <v>1999</v>
      </c>
      <c r="C461" s="219" t="s">
        <v>163</v>
      </c>
      <c r="D461" s="225" t="s">
        <v>1940</v>
      </c>
      <c r="E461" s="196" t="s">
        <v>1103</v>
      </c>
      <c r="F461" s="129">
        <v>8</v>
      </c>
      <c r="G461" s="129" t="s">
        <v>171</v>
      </c>
      <c r="H461" s="31">
        <v>13.6</v>
      </c>
      <c r="I461" s="27">
        <f t="shared" si="15"/>
        <v>108.8</v>
      </c>
      <c r="J461" s="28" t="s">
        <v>1104</v>
      </c>
      <c r="K461" s="25">
        <v>41220</v>
      </c>
      <c r="L461" s="25">
        <v>41215</v>
      </c>
      <c r="M461" s="29" t="s">
        <v>167</v>
      </c>
      <c r="N461" s="28" t="s">
        <v>1480</v>
      </c>
      <c r="O461" s="32">
        <v>31007.119999999999</v>
      </c>
      <c r="P461" s="56">
        <v>41254</v>
      </c>
      <c r="Q461" s="49"/>
      <c r="R461" s="49"/>
      <c r="S461" s="49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</row>
    <row r="462" spans="1:32" ht="12" customHeight="1">
      <c r="A462" s="25">
        <v>41215</v>
      </c>
      <c r="B462" s="225" t="s">
        <v>1999</v>
      </c>
      <c r="C462" s="219" t="s">
        <v>163</v>
      </c>
      <c r="D462" s="225" t="s">
        <v>1887</v>
      </c>
      <c r="E462" s="196" t="s">
        <v>195</v>
      </c>
      <c r="F462" s="129">
        <v>500</v>
      </c>
      <c r="G462" s="194" t="s">
        <v>232</v>
      </c>
      <c r="H462" s="31">
        <v>4.78</v>
      </c>
      <c r="I462" s="27">
        <f t="shared" si="15"/>
        <v>2390</v>
      </c>
      <c r="J462" s="28" t="s">
        <v>1104</v>
      </c>
      <c r="K462" s="25">
        <v>41220</v>
      </c>
      <c r="L462" s="25">
        <v>41215</v>
      </c>
      <c r="M462" s="29" t="s">
        <v>167</v>
      </c>
      <c r="N462" s="28" t="s">
        <v>1480</v>
      </c>
      <c r="O462" s="32">
        <v>31007.119999999999</v>
      </c>
      <c r="P462" s="56">
        <v>41254</v>
      </c>
      <c r="Q462" s="49"/>
      <c r="R462" s="49"/>
      <c r="S462" s="49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</row>
    <row r="463" spans="1:32" ht="12" customHeight="1">
      <c r="A463" s="25">
        <v>41215</v>
      </c>
      <c r="B463" s="225" t="s">
        <v>1999</v>
      </c>
      <c r="C463" s="219" t="s">
        <v>163</v>
      </c>
      <c r="D463" s="225" t="s">
        <v>1725</v>
      </c>
      <c r="E463" s="196">
        <v>8576</v>
      </c>
      <c r="F463" s="129">
        <v>10</v>
      </c>
      <c r="G463" s="129" t="s">
        <v>172</v>
      </c>
      <c r="H463" s="31">
        <v>28.7</v>
      </c>
      <c r="I463" s="27">
        <f t="shared" si="15"/>
        <v>287</v>
      </c>
      <c r="J463" s="28" t="s">
        <v>1104</v>
      </c>
      <c r="K463" s="25">
        <v>41220</v>
      </c>
      <c r="L463" s="25">
        <v>41215</v>
      </c>
      <c r="M463" s="29" t="s">
        <v>167</v>
      </c>
      <c r="N463" s="28" t="s">
        <v>1480</v>
      </c>
      <c r="O463" s="32">
        <v>31007.119999999999</v>
      </c>
      <c r="P463" s="56">
        <v>41254</v>
      </c>
      <c r="Q463" s="49"/>
      <c r="R463" s="49"/>
      <c r="S463" s="49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</row>
    <row r="464" spans="1:32" ht="12" customHeight="1">
      <c r="A464" s="25">
        <v>41215</v>
      </c>
      <c r="B464" s="225" t="s">
        <v>1999</v>
      </c>
      <c r="C464" s="219" t="s">
        <v>163</v>
      </c>
      <c r="D464" s="225" t="s">
        <v>1887</v>
      </c>
      <c r="E464" s="196">
        <v>6885</v>
      </c>
      <c r="F464" s="129">
        <v>80</v>
      </c>
      <c r="G464" s="129" t="s">
        <v>171</v>
      </c>
      <c r="H464" s="31">
        <v>4.2</v>
      </c>
      <c r="I464" s="27">
        <f t="shared" si="15"/>
        <v>336</v>
      </c>
      <c r="J464" s="28" t="s">
        <v>1104</v>
      </c>
      <c r="K464" s="25">
        <v>41220</v>
      </c>
      <c r="L464" s="25">
        <v>41215</v>
      </c>
      <c r="M464" s="29" t="s">
        <v>167</v>
      </c>
      <c r="N464" s="28" t="s">
        <v>1480</v>
      </c>
      <c r="O464" s="32">
        <v>31007.119999999999</v>
      </c>
      <c r="P464" s="56">
        <v>41254</v>
      </c>
      <c r="Q464" s="49"/>
      <c r="R464" s="49"/>
      <c r="S464" s="49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</row>
    <row r="465" spans="1:32" ht="12" customHeight="1">
      <c r="A465" s="25">
        <v>41215</v>
      </c>
      <c r="B465" s="225" t="s">
        <v>1999</v>
      </c>
      <c r="C465" s="219" t="s">
        <v>163</v>
      </c>
      <c r="D465" s="225" t="s">
        <v>1941</v>
      </c>
      <c r="E465" s="196">
        <v>6885</v>
      </c>
      <c r="F465" s="129">
        <v>120</v>
      </c>
      <c r="G465" s="129" t="s">
        <v>171</v>
      </c>
      <c r="H465" s="31">
        <v>4.4000000000000004</v>
      </c>
      <c r="I465" s="27">
        <f t="shared" si="15"/>
        <v>528</v>
      </c>
      <c r="J465" s="28" t="s">
        <v>1104</v>
      </c>
      <c r="K465" s="25">
        <v>41220</v>
      </c>
      <c r="L465" s="25">
        <v>41215</v>
      </c>
      <c r="M465" s="29" t="s">
        <v>167</v>
      </c>
      <c r="N465" s="28" t="s">
        <v>1480</v>
      </c>
      <c r="O465" s="32">
        <v>31007.119999999999</v>
      </c>
      <c r="P465" s="56">
        <v>41254</v>
      </c>
      <c r="Q465" s="49"/>
      <c r="R465" s="49"/>
      <c r="S465" s="49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</row>
    <row r="466" spans="1:32" ht="12" customHeight="1">
      <c r="A466" s="25">
        <v>41215</v>
      </c>
      <c r="B466" s="225" t="s">
        <v>1992</v>
      </c>
      <c r="C466" s="219" t="s">
        <v>163</v>
      </c>
      <c r="D466" s="225" t="s">
        <v>1878</v>
      </c>
      <c r="E466" s="196" t="s">
        <v>782</v>
      </c>
      <c r="F466" s="129">
        <v>10000</v>
      </c>
      <c r="G466" s="198" t="s">
        <v>230</v>
      </c>
      <c r="H466" s="31">
        <v>1.4</v>
      </c>
      <c r="I466" s="27">
        <f t="shared" si="15"/>
        <v>14000</v>
      </c>
      <c r="J466" s="28" t="s">
        <v>1105</v>
      </c>
      <c r="K466" s="25">
        <v>41215</v>
      </c>
      <c r="L466" s="25">
        <v>41215</v>
      </c>
      <c r="M466" s="29" t="s">
        <v>167</v>
      </c>
      <c r="N466" s="28" t="s">
        <v>1336</v>
      </c>
      <c r="O466" s="32">
        <v>59177.48</v>
      </c>
      <c r="P466" s="56">
        <v>41236</v>
      </c>
      <c r="Q466" s="49"/>
      <c r="R466" s="49"/>
      <c r="S466" s="49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</row>
    <row r="467" spans="1:32" ht="12" customHeight="1">
      <c r="A467" s="25">
        <v>41215</v>
      </c>
      <c r="B467" s="225" t="s">
        <v>1992</v>
      </c>
      <c r="C467" s="219" t="s">
        <v>163</v>
      </c>
      <c r="D467" s="225" t="s">
        <v>1895</v>
      </c>
      <c r="E467" s="196" t="s">
        <v>146</v>
      </c>
      <c r="F467" s="129">
        <v>300</v>
      </c>
      <c r="G467" s="129" t="s">
        <v>171</v>
      </c>
      <c r="H467" s="31">
        <v>16.5</v>
      </c>
      <c r="I467" s="27">
        <f t="shared" si="15"/>
        <v>4950</v>
      </c>
      <c r="J467" s="28" t="s">
        <v>1105</v>
      </c>
      <c r="K467" s="25">
        <v>41215</v>
      </c>
      <c r="L467" s="25">
        <v>41215</v>
      </c>
      <c r="M467" s="29" t="s">
        <v>167</v>
      </c>
      <c r="N467" s="28" t="s">
        <v>1336</v>
      </c>
      <c r="O467" s="32">
        <v>59177.48</v>
      </c>
      <c r="P467" s="56">
        <v>41236</v>
      </c>
      <c r="Q467" s="49"/>
      <c r="R467" s="49"/>
      <c r="S467" s="49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</row>
    <row r="468" spans="1:32" ht="12" customHeight="1">
      <c r="A468" s="25">
        <v>41215</v>
      </c>
      <c r="B468" s="225" t="s">
        <v>1992</v>
      </c>
      <c r="C468" s="219" t="s">
        <v>163</v>
      </c>
      <c r="D468" s="225" t="s">
        <v>1921</v>
      </c>
      <c r="E468" s="196">
        <v>8246</v>
      </c>
      <c r="F468" s="129">
        <v>20</v>
      </c>
      <c r="G468" s="329" t="s">
        <v>171</v>
      </c>
      <c r="H468" s="31">
        <v>11.7</v>
      </c>
      <c r="I468" s="27">
        <f t="shared" si="15"/>
        <v>234</v>
      </c>
      <c r="J468" s="28" t="s">
        <v>1105</v>
      </c>
      <c r="K468" s="25">
        <v>41219</v>
      </c>
      <c r="L468" s="25">
        <v>41215</v>
      </c>
      <c r="M468" s="29" t="s">
        <v>167</v>
      </c>
      <c r="N468" s="28" t="s">
        <v>1336</v>
      </c>
      <c r="O468" s="32">
        <v>59177.48</v>
      </c>
      <c r="P468" s="56">
        <v>41236</v>
      </c>
      <c r="Q468" s="49"/>
      <c r="R468" s="49"/>
      <c r="S468" s="49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</row>
    <row r="469" spans="1:32" ht="12" customHeight="1">
      <c r="A469" s="25">
        <v>41215</v>
      </c>
      <c r="B469" s="225" t="s">
        <v>2006</v>
      </c>
      <c r="C469" s="219" t="s">
        <v>1036</v>
      </c>
      <c r="D469" s="225" t="s">
        <v>1942</v>
      </c>
      <c r="E469" s="196" t="s">
        <v>1106</v>
      </c>
      <c r="F469" s="129">
        <v>2</v>
      </c>
      <c r="G469" s="129" t="s">
        <v>171</v>
      </c>
      <c r="H469" s="31">
        <v>210</v>
      </c>
      <c r="I469" s="27">
        <f t="shared" si="15"/>
        <v>420</v>
      </c>
      <c r="J469" s="28" t="s">
        <v>1107</v>
      </c>
      <c r="K469" s="25">
        <v>41218</v>
      </c>
      <c r="L469" s="25">
        <v>41214</v>
      </c>
      <c r="M469" s="29" t="s">
        <v>167</v>
      </c>
      <c r="N469" s="28" t="s">
        <v>1463</v>
      </c>
      <c r="O469" s="32">
        <v>420</v>
      </c>
      <c r="P469" s="56">
        <v>41253</v>
      </c>
      <c r="Q469" s="49"/>
      <c r="R469" s="49"/>
      <c r="S469" s="49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</row>
    <row r="470" spans="1:32" ht="12" customHeight="1">
      <c r="A470" s="25">
        <v>41215</v>
      </c>
      <c r="B470" s="225" t="s">
        <v>1994</v>
      </c>
      <c r="C470" s="219" t="s">
        <v>163</v>
      </c>
      <c r="D470" s="225" t="s">
        <v>1725</v>
      </c>
      <c r="E470" s="196">
        <v>8576</v>
      </c>
      <c r="F470" s="129">
        <v>40</v>
      </c>
      <c r="G470" s="129" t="s">
        <v>171</v>
      </c>
      <c r="H470" s="31">
        <v>27.8</v>
      </c>
      <c r="I470" s="27">
        <f t="shared" si="15"/>
        <v>1112</v>
      </c>
      <c r="J470" s="28" t="s">
        <v>168</v>
      </c>
      <c r="K470" s="25">
        <v>41218</v>
      </c>
      <c r="L470" s="25">
        <v>41215</v>
      </c>
      <c r="M470" s="29" t="s">
        <v>167</v>
      </c>
      <c r="N470" s="28" t="s">
        <v>1212</v>
      </c>
      <c r="O470" s="32">
        <v>5876.4</v>
      </c>
      <c r="P470" s="56">
        <v>41218</v>
      </c>
      <c r="Q470" s="49"/>
      <c r="R470" s="49"/>
      <c r="S470" s="49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</row>
    <row r="471" spans="1:32" ht="12" customHeight="1">
      <c r="A471" s="25">
        <v>41215</v>
      </c>
      <c r="B471" s="225" t="s">
        <v>1994</v>
      </c>
      <c r="C471" s="219" t="s">
        <v>163</v>
      </c>
      <c r="D471" s="225" t="s">
        <v>1921</v>
      </c>
      <c r="E471" s="196">
        <v>8246</v>
      </c>
      <c r="F471" s="129">
        <v>100</v>
      </c>
      <c r="G471" s="329" t="s">
        <v>171</v>
      </c>
      <c r="H471" s="31">
        <v>12.8</v>
      </c>
      <c r="I471" s="27">
        <f t="shared" si="15"/>
        <v>1280</v>
      </c>
      <c r="J471" s="28" t="s">
        <v>168</v>
      </c>
      <c r="K471" s="25">
        <v>41218</v>
      </c>
      <c r="L471" s="25">
        <v>41215</v>
      </c>
      <c r="M471" s="29" t="s">
        <v>167</v>
      </c>
      <c r="N471" s="28" t="s">
        <v>1212</v>
      </c>
      <c r="O471" s="32">
        <v>5876.4</v>
      </c>
      <c r="P471" s="56">
        <v>41218</v>
      </c>
      <c r="Q471" s="49"/>
      <c r="R471" s="49"/>
      <c r="S471" s="49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</row>
    <row r="472" spans="1:32" ht="12" customHeight="1">
      <c r="A472" s="25">
        <v>41215</v>
      </c>
      <c r="B472" s="225" t="s">
        <v>1992</v>
      </c>
      <c r="C472" s="219" t="s">
        <v>163</v>
      </c>
      <c r="D472" s="225" t="s">
        <v>1878</v>
      </c>
      <c r="E472" s="196" t="s">
        <v>782</v>
      </c>
      <c r="F472" s="129">
        <v>10000</v>
      </c>
      <c r="G472" s="198" t="s">
        <v>230</v>
      </c>
      <c r="H472" s="31">
        <v>1.4</v>
      </c>
      <c r="I472" s="27">
        <f t="shared" si="15"/>
        <v>14000</v>
      </c>
      <c r="J472" s="28" t="s">
        <v>1108</v>
      </c>
      <c r="K472" s="25">
        <v>41215</v>
      </c>
      <c r="L472" s="25">
        <v>41218</v>
      </c>
      <c r="M472" s="29" t="s">
        <v>167</v>
      </c>
      <c r="N472" s="28" t="s">
        <v>1336</v>
      </c>
      <c r="O472" s="32">
        <v>59177.48</v>
      </c>
      <c r="P472" s="56">
        <v>41236</v>
      </c>
      <c r="Q472" s="49"/>
      <c r="R472" s="49"/>
      <c r="S472" s="49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</row>
    <row r="473" spans="1:32" ht="12" customHeight="1">
      <c r="A473" s="25">
        <v>41215</v>
      </c>
      <c r="B473" s="225" t="s">
        <v>1992</v>
      </c>
      <c r="C473" s="219" t="s">
        <v>163</v>
      </c>
      <c r="D473" s="5" t="s">
        <v>1227</v>
      </c>
      <c r="E473" s="196" t="s">
        <v>147</v>
      </c>
      <c r="F473" s="129">
        <v>60</v>
      </c>
      <c r="G473" s="129" t="s">
        <v>171</v>
      </c>
      <c r="H473" s="31">
        <v>34.799999999999997</v>
      </c>
      <c r="I473" s="27">
        <f t="shared" si="15"/>
        <v>2088</v>
      </c>
      <c r="J473" s="28" t="s">
        <v>1108</v>
      </c>
      <c r="K473" s="25">
        <v>41215</v>
      </c>
      <c r="L473" s="25">
        <v>41218</v>
      </c>
      <c r="M473" s="29" t="s">
        <v>167</v>
      </c>
      <c r="N473" s="28" t="s">
        <v>1336</v>
      </c>
      <c r="O473" s="32">
        <v>59177.48</v>
      </c>
      <c r="P473" s="56">
        <v>41236</v>
      </c>
      <c r="Q473" s="49"/>
      <c r="R473" s="49"/>
      <c r="S473" s="49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</row>
    <row r="474" spans="1:32" ht="12" customHeight="1">
      <c r="A474" s="25">
        <v>41215</v>
      </c>
      <c r="B474" s="225" t="s">
        <v>1999</v>
      </c>
      <c r="C474" s="219" t="s">
        <v>163</v>
      </c>
      <c r="D474" s="225" t="s">
        <v>1943</v>
      </c>
      <c r="E474" s="196" t="s">
        <v>188</v>
      </c>
      <c r="F474" s="129">
        <v>164</v>
      </c>
      <c r="G474" s="129" t="s">
        <v>172</v>
      </c>
      <c r="H474" s="31">
        <v>4.9000000000000004</v>
      </c>
      <c r="I474" s="27">
        <f t="shared" si="15"/>
        <v>803.6</v>
      </c>
      <c r="J474" s="28" t="s">
        <v>1109</v>
      </c>
      <c r="K474" s="25">
        <v>41220</v>
      </c>
      <c r="L474" s="25">
        <v>41215</v>
      </c>
      <c r="M474" s="29" t="s">
        <v>167</v>
      </c>
      <c r="N474" s="28" t="s">
        <v>1480</v>
      </c>
      <c r="O474" s="32">
        <v>31007.119999999999</v>
      </c>
      <c r="P474" s="56">
        <v>41254</v>
      </c>
      <c r="Q474" s="49"/>
      <c r="R474" s="49"/>
      <c r="S474" s="49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</row>
    <row r="475" spans="1:32" ht="12" customHeight="1">
      <c r="A475" s="25">
        <v>41215</v>
      </c>
      <c r="B475" s="225" t="s">
        <v>1999</v>
      </c>
      <c r="C475" s="219" t="s">
        <v>163</v>
      </c>
      <c r="D475" s="225" t="s">
        <v>1943</v>
      </c>
      <c r="E475" s="196" t="s">
        <v>188</v>
      </c>
      <c r="F475" s="129">
        <v>36</v>
      </c>
      <c r="G475" s="129" t="s">
        <v>172</v>
      </c>
      <c r="H475" s="31">
        <v>5.77</v>
      </c>
      <c r="I475" s="27">
        <f t="shared" si="15"/>
        <v>207.71999999999997</v>
      </c>
      <c r="J475" s="28" t="s">
        <v>1109</v>
      </c>
      <c r="K475" s="25">
        <v>41222</v>
      </c>
      <c r="L475" s="25">
        <v>41215</v>
      </c>
      <c r="M475" s="29" t="s">
        <v>167</v>
      </c>
      <c r="N475" s="28" t="s">
        <v>1480</v>
      </c>
      <c r="O475" s="32">
        <v>31007.119999999999</v>
      </c>
      <c r="P475" s="56">
        <v>41254</v>
      </c>
      <c r="Q475" s="49"/>
      <c r="R475" s="49"/>
      <c r="S475" s="49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</row>
    <row r="476" spans="1:32" ht="12" customHeight="1">
      <c r="A476" s="25">
        <v>41215</v>
      </c>
      <c r="B476" s="225" t="s">
        <v>1999</v>
      </c>
      <c r="C476" s="219" t="s">
        <v>163</v>
      </c>
      <c r="D476" s="225" t="s">
        <v>1887</v>
      </c>
      <c r="E476" s="196" t="s">
        <v>195</v>
      </c>
      <c r="F476" s="129">
        <v>500</v>
      </c>
      <c r="G476" s="194" t="s">
        <v>232</v>
      </c>
      <c r="H476" s="31">
        <v>4.78</v>
      </c>
      <c r="I476" s="27">
        <f t="shared" si="15"/>
        <v>2390</v>
      </c>
      <c r="J476" s="28" t="s">
        <v>1109</v>
      </c>
      <c r="K476" s="25">
        <v>41220</v>
      </c>
      <c r="L476" s="25">
        <v>41215</v>
      </c>
      <c r="M476" s="29" t="s">
        <v>167</v>
      </c>
      <c r="N476" s="28" t="s">
        <v>1480</v>
      </c>
      <c r="O476" s="32">
        <v>31007.119999999999</v>
      </c>
      <c r="P476" s="56">
        <v>41254</v>
      </c>
      <c r="Q476" s="49"/>
      <c r="R476" s="49"/>
      <c r="S476" s="49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</row>
    <row r="477" spans="1:32" ht="12" customHeight="1">
      <c r="A477" s="25">
        <v>41215</v>
      </c>
      <c r="B477" s="225" t="s">
        <v>1999</v>
      </c>
      <c r="C477" s="219" t="s">
        <v>163</v>
      </c>
      <c r="D477" s="225" t="s">
        <v>1887</v>
      </c>
      <c r="E477" s="196">
        <v>3100</v>
      </c>
      <c r="F477" s="129">
        <v>20</v>
      </c>
      <c r="G477" s="129" t="s">
        <v>172</v>
      </c>
      <c r="H477" s="31">
        <v>30.2</v>
      </c>
      <c r="I477" s="27">
        <f t="shared" si="15"/>
        <v>604</v>
      </c>
      <c r="J477" s="28" t="s">
        <v>1109</v>
      </c>
      <c r="K477" s="25">
        <v>41220</v>
      </c>
      <c r="L477" s="25">
        <v>41215</v>
      </c>
      <c r="M477" s="29" t="s">
        <v>167</v>
      </c>
      <c r="N477" s="28" t="s">
        <v>1480</v>
      </c>
      <c r="O477" s="32">
        <v>31007.119999999999</v>
      </c>
      <c r="P477" s="56">
        <v>41254</v>
      </c>
      <c r="Q477" s="49"/>
      <c r="R477" s="49"/>
      <c r="S477" s="49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</row>
    <row r="478" spans="1:32" ht="12" customHeight="1">
      <c r="A478" s="25">
        <v>41216</v>
      </c>
      <c r="B478" s="225" t="s">
        <v>1989</v>
      </c>
      <c r="C478" s="219" t="s">
        <v>163</v>
      </c>
      <c r="D478" s="225" t="s">
        <v>1932</v>
      </c>
      <c r="E478" s="196">
        <v>8577</v>
      </c>
      <c r="F478" s="129">
        <v>12</v>
      </c>
      <c r="G478" s="129" t="s">
        <v>171</v>
      </c>
      <c r="H478" s="31">
        <v>28.65</v>
      </c>
      <c r="I478" s="27">
        <f t="shared" si="15"/>
        <v>343.79999999999995</v>
      </c>
      <c r="J478" s="28" t="s">
        <v>1110</v>
      </c>
      <c r="K478" s="25">
        <v>41216</v>
      </c>
      <c r="L478" s="25">
        <v>41234</v>
      </c>
      <c r="M478" s="29" t="s">
        <v>167</v>
      </c>
      <c r="N478" s="28" t="s">
        <v>1385</v>
      </c>
      <c r="O478" s="32">
        <v>22113.97</v>
      </c>
      <c r="P478" s="56">
        <v>41241</v>
      </c>
      <c r="Q478" s="49"/>
      <c r="R478" s="49"/>
      <c r="S478" s="49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</row>
    <row r="479" spans="1:32" ht="12" customHeight="1">
      <c r="A479" s="25">
        <v>41216</v>
      </c>
      <c r="B479" s="225" t="s">
        <v>1989</v>
      </c>
      <c r="C479" s="219" t="s">
        <v>163</v>
      </c>
      <c r="D479" s="225" t="s">
        <v>233</v>
      </c>
      <c r="E479" s="196" t="s">
        <v>187</v>
      </c>
      <c r="F479" s="205">
        <v>3000</v>
      </c>
      <c r="G479" s="129" t="s">
        <v>172</v>
      </c>
      <c r="H479" s="31">
        <v>1.54</v>
      </c>
      <c r="I479" s="27">
        <f t="shared" si="15"/>
        <v>4620</v>
      </c>
      <c r="J479" s="28" t="s">
        <v>1110</v>
      </c>
      <c r="K479" s="25">
        <v>41216</v>
      </c>
      <c r="L479" s="25">
        <v>41234</v>
      </c>
      <c r="M479" s="29" t="s">
        <v>167</v>
      </c>
      <c r="N479" s="28" t="s">
        <v>1385</v>
      </c>
      <c r="O479" s="32">
        <v>22113.97</v>
      </c>
      <c r="P479" s="56">
        <v>41241</v>
      </c>
      <c r="Q479" s="49"/>
      <c r="R479" s="49"/>
      <c r="S479" s="49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</row>
    <row r="480" spans="1:32" ht="12" customHeight="1">
      <c r="A480" s="25">
        <v>41218</v>
      </c>
      <c r="B480" s="225" t="s">
        <v>1989</v>
      </c>
      <c r="C480" s="219" t="s">
        <v>163</v>
      </c>
      <c r="D480" s="225" t="s">
        <v>1944</v>
      </c>
      <c r="E480" s="196">
        <v>3700</v>
      </c>
      <c r="F480" s="129">
        <v>100</v>
      </c>
      <c r="G480" s="129" t="s">
        <v>171</v>
      </c>
      <c r="H480" s="31">
        <v>3.09</v>
      </c>
      <c r="I480" s="27">
        <f t="shared" si="15"/>
        <v>309</v>
      </c>
      <c r="J480" s="28" t="s">
        <v>1112</v>
      </c>
      <c r="K480" s="25">
        <v>41218</v>
      </c>
      <c r="L480" s="25">
        <v>41234</v>
      </c>
      <c r="M480" s="29" t="s">
        <v>167</v>
      </c>
      <c r="N480" s="28" t="s">
        <v>1385</v>
      </c>
      <c r="O480" s="32">
        <v>22113.97</v>
      </c>
      <c r="P480" s="56">
        <v>41241</v>
      </c>
      <c r="Q480" s="49"/>
      <c r="R480" s="49"/>
      <c r="S480" s="49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</row>
    <row r="481" spans="1:32" ht="12" customHeight="1">
      <c r="A481" s="25">
        <v>41218</v>
      </c>
      <c r="B481" s="225" t="s">
        <v>1992</v>
      </c>
      <c r="C481" s="219" t="s">
        <v>163</v>
      </c>
      <c r="D481" s="225" t="s">
        <v>1895</v>
      </c>
      <c r="E481" s="196" t="s">
        <v>146</v>
      </c>
      <c r="F481" s="129">
        <v>60</v>
      </c>
      <c r="G481" s="129" t="s">
        <v>171</v>
      </c>
      <c r="H481" s="31">
        <v>16.5</v>
      </c>
      <c r="I481" s="27">
        <f t="shared" si="15"/>
        <v>990</v>
      </c>
      <c r="J481" s="28" t="s">
        <v>1211</v>
      </c>
      <c r="K481" s="25">
        <v>41219</v>
      </c>
      <c r="L481" s="25">
        <v>41218</v>
      </c>
      <c r="M481" s="29" t="s">
        <v>167</v>
      </c>
      <c r="N481" s="28" t="s">
        <v>1336</v>
      </c>
      <c r="O481" s="32">
        <v>59177.48</v>
      </c>
      <c r="P481" s="56">
        <v>41236</v>
      </c>
      <c r="Q481" s="49"/>
      <c r="R481" s="49"/>
      <c r="S481" s="49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</row>
    <row r="482" spans="1:32" ht="12" customHeight="1">
      <c r="A482" s="25">
        <v>41219</v>
      </c>
      <c r="B482" s="225" t="s">
        <v>1993</v>
      </c>
      <c r="C482" s="219" t="s">
        <v>163</v>
      </c>
      <c r="D482" s="225" t="s">
        <v>1887</v>
      </c>
      <c r="E482" s="196" t="s">
        <v>195</v>
      </c>
      <c r="F482" s="131">
        <v>120</v>
      </c>
      <c r="G482" s="194" t="s">
        <v>232</v>
      </c>
      <c r="H482" s="31">
        <v>5.3</v>
      </c>
      <c r="I482" s="27">
        <f t="shared" si="15"/>
        <v>636</v>
      </c>
      <c r="J482" s="28" t="s">
        <v>1214</v>
      </c>
      <c r="K482" s="25">
        <v>41219</v>
      </c>
      <c r="L482" s="25">
        <v>41241</v>
      </c>
      <c r="M482" s="29" t="s">
        <v>167</v>
      </c>
      <c r="N482" s="28" t="s">
        <v>1383</v>
      </c>
      <c r="O482" s="32">
        <v>16292.64</v>
      </c>
      <c r="P482" s="56">
        <v>41241</v>
      </c>
      <c r="Q482" s="49"/>
      <c r="R482" s="49"/>
      <c r="S482" s="49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</row>
    <row r="483" spans="1:32" ht="12" customHeight="1">
      <c r="A483" s="25">
        <v>41219</v>
      </c>
      <c r="B483" s="225" t="s">
        <v>1989</v>
      </c>
      <c r="C483" s="219" t="s">
        <v>163</v>
      </c>
      <c r="D483" s="225" t="s">
        <v>1923</v>
      </c>
      <c r="E483" s="196" t="s">
        <v>198</v>
      </c>
      <c r="F483" s="129">
        <v>100</v>
      </c>
      <c r="G483" s="129" t="s">
        <v>171</v>
      </c>
      <c r="H483" s="31">
        <v>1.6</v>
      </c>
      <c r="I483" s="27">
        <f t="shared" si="15"/>
        <v>160</v>
      </c>
      <c r="J483" s="28" t="s">
        <v>1215</v>
      </c>
      <c r="K483" s="25">
        <v>41219</v>
      </c>
      <c r="L483" s="25">
        <v>41234</v>
      </c>
      <c r="M483" s="29" t="s">
        <v>167</v>
      </c>
      <c r="N483" s="28" t="s">
        <v>1385</v>
      </c>
      <c r="O483" s="32">
        <v>22113.97</v>
      </c>
      <c r="P483" s="56">
        <v>41241</v>
      </c>
      <c r="Q483" s="49"/>
      <c r="R483" s="49"/>
      <c r="S483" s="49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</row>
    <row r="484" spans="1:32" ht="12" customHeight="1">
      <c r="A484" s="25">
        <v>41219</v>
      </c>
      <c r="B484" s="225" t="s">
        <v>1989</v>
      </c>
      <c r="C484" s="219" t="s">
        <v>163</v>
      </c>
      <c r="D484" s="1" t="s">
        <v>1219</v>
      </c>
      <c r="E484" s="196" t="s">
        <v>179</v>
      </c>
      <c r="F484" s="129">
        <v>10</v>
      </c>
      <c r="G484" s="129" t="s">
        <v>173</v>
      </c>
      <c r="H484" s="31">
        <v>13</v>
      </c>
      <c r="I484" s="27">
        <f t="shared" si="15"/>
        <v>130</v>
      </c>
      <c r="J484" s="28" t="s">
        <v>1215</v>
      </c>
      <c r="K484" s="25">
        <v>41219</v>
      </c>
      <c r="L484" s="25">
        <v>41234</v>
      </c>
      <c r="M484" s="29" t="s">
        <v>167</v>
      </c>
      <c r="N484" s="28" t="s">
        <v>1385</v>
      </c>
      <c r="O484" s="32">
        <v>22113.97</v>
      </c>
      <c r="P484" s="56">
        <v>41241</v>
      </c>
      <c r="Q484" s="49"/>
      <c r="R484" s="49"/>
      <c r="S484" s="49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</row>
    <row r="485" spans="1:32" ht="12" customHeight="1">
      <c r="A485" s="25">
        <v>41219</v>
      </c>
      <c r="B485" s="225" t="s">
        <v>1992</v>
      </c>
      <c r="C485" s="219" t="s">
        <v>163</v>
      </c>
      <c r="D485" s="225" t="s">
        <v>1929</v>
      </c>
      <c r="E485" s="196">
        <v>6800</v>
      </c>
      <c r="F485" s="129">
        <v>2</v>
      </c>
      <c r="G485" s="129" t="s">
        <v>171</v>
      </c>
      <c r="H485" s="31">
        <v>418</v>
      </c>
      <c r="I485" s="27">
        <f t="shared" si="15"/>
        <v>836</v>
      </c>
      <c r="J485" s="28" t="s">
        <v>1230</v>
      </c>
      <c r="K485" s="25">
        <v>41220</v>
      </c>
      <c r="L485" s="25">
        <v>41292</v>
      </c>
      <c r="M485" s="29" t="s">
        <v>167</v>
      </c>
      <c r="N485" s="28" t="s">
        <v>1336</v>
      </c>
      <c r="O485" s="32">
        <v>59177.48</v>
      </c>
      <c r="P485" s="56">
        <v>41236</v>
      </c>
      <c r="Q485" s="49"/>
      <c r="R485" s="49"/>
      <c r="S485" s="49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</row>
    <row r="486" spans="1:32" ht="12" customHeight="1">
      <c r="A486" s="25">
        <v>41219</v>
      </c>
      <c r="B486" s="225" t="s">
        <v>1992</v>
      </c>
      <c r="C486" s="219" t="s">
        <v>163</v>
      </c>
      <c r="D486" s="225" t="s">
        <v>1895</v>
      </c>
      <c r="E486" s="196" t="s">
        <v>146</v>
      </c>
      <c r="F486" s="129">
        <v>300</v>
      </c>
      <c r="G486" s="129" t="s">
        <v>171</v>
      </c>
      <c r="H486" s="31">
        <v>16.5</v>
      </c>
      <c r="I486" s="27">
        <f t="shared" si="15"/>
        <v>4950</v>
      </c>
      <c r="J486" s="28" t="s">
        <v>1230</v>
      </c>
      <c r="K486" s="25">
        <v>41220</v>
      </c>
      <c r="L486" s="25">
        <v>41292</v>
      </c>
      <c r="M486" s="29" t="s">
        <v>167</v>
      </c>
      <c r="N486" s="28" t="s">
        <v>1336</v>
      </c>
      <c r="O486" s="32">
        <v>59177.48</v>
      </c>
      <c r="P486" s="56">
        <v>41236</v>
      </c>
      <c r="Q486" s="49"/>
      <c r="R486" s="49"/>
      <c r="S486" s="49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</row>
    <row r="487" spans="1:32" ht="12" customHeight="1">
      <c r="A487" s="25">
        <v>41220</v>
      </c>
      <c r="B487" s="225" t="s">
        <v>1989</v>
      </c>
      <c r="C487" s="219" t="s">
        <v>163</v>
      </c>
      <c r="D487" s="225" t="s">
        <v>1915</v>
      </c>
      <c r="E487" s="196">
        <v>1270</v>
      </c>
      <c r="F487" s="129">
        <v>50</v>
      </c>
      <c r="G487" s="190" t="s">
        <v>240</v>
      </c>
      <c r="H487" s="31">
        <v>4.3099999999999996</v>
      </c>
      <c r="I487" s="27">
        <f t="shared" si="15"/>
        <v>215.49999999999997</v>
      </c>
      <c r="J487" s="28" t="s">
        <v>1231</v>
      </c>
      <c r="K487" s="25">
        <v>41220</v>
      </c>
      <c r="L487" s="25">
        <v>41234</v>
      </c>
      <c r="M487" s="29" t="s">
        <v>167</v>
      </c>
      <c r="N487" s="28" t="s">
        <v>1385</v>
      </c>
      <c r="O487" s="32">
        <v>22113.97</v>
      </c>
      <c r="P487" s="56">
        <v>41241</v>
      </c>
      <c r="Q487" s="49"/>
      <c r="R487" s="49"/>
      <c r="S487" s="49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</row>
    <row r="488" spans="1:32" ht="12" customHeight="1">
      <c r="A488" s="25">
        <v>41221</v>
      </c>
      <c r="B488" s="225" t="s">
        <v>1993</v>
      </c>
      <c r="C488" s="219" t="s">
        <v>163</v>
      </c>
      <c r="D488" s="225" t="s">
        <v>1936</v>
      </c>
      <c r="E488" s="196">
        <v>10434</v>
      </c>
      <c r="F488" s="131">
        <v>60</v>
      </c>
      <c r="G488" s="129" t="s">
        <v>173</v>
      </c>
      <c r="H488" s="31">
        <v>14.2</v>
      </c>
      <c r="I488" s="27">
        <f t="shared" si="15"/>
        <v>852</v>
      </c>
      <c r="J488" s="28" t="s">
        <v>1232</v>
      </c>
      <c r="K488" s="25">
        <v>41221</v>
      </c>
      <c r="L488" s="25">
        <v>41241</v>
      </c>
      <c r="M488" s="29" t="s">
        <v>167</v>
      </c>
      <c r="N488" s="28" t="s">
        <v>1383</v>
      </c>
      <c r="O488" s="32">
        <v>16292.64</v>
      </c>
      <c r="P488" s="56">
        <v>41241</v>
      </c>
      <c r="Q488" s="49"/>
      <c r="R488" s="49"/>
      <c r="S488" s="49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</row>
    <row r="489" spans="1:32" ht="12" customHeight="1">
      <c r="A489" s="25">
        <v>41221</v>
      </c>
      <c r="B489" s="225" t="s">
        <v>1989</v>
      </c>
      <c r="C489" s="219" t="s">
        <v>163</v>
      </c>
      <c r="D489" s="225" t="s">
        <v>1944</v>
      </c>
      <c r="E489" s="196">
        <v>3700</v>
      </c>
      <c r="F489" s="129">
        <v>100</v>
      </c>
      <c r="G489" s="129" t="s">
        <v>171</v>
      </c>
      <c r="H489" s="31">
        <v>3.09</v>
      </c>
      <c r="I489" s="27">
        <f t="shared" ref="I489:I520" si="16">H489*F489</f>
        <v>309</v>
      </c>
      <c r="J489" s="28" t="s">
        <v>1233</v>
      </c>
      <c r="K489" s="25">
        <v>41221</v>
      </c>
      <c r="L489" s="25">
        <v>41234</v>
      </c>
      <c r="M489" s="29" t="s">
        <v>167</v>
      </c>
      <c r="N489" s="28" t="s">
        <v>1385</v>
      </c>
      <c r="O489" s="32">
        <v>22113.97</v>
      </c>
      <c r="P489" s="56">
        <v>41241</v>
      </c>
      <c r="Q489" s="49"/>
      <c r="R489" s="49"/>
      <c r="S489" s="49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</row>
    <row r="490" spans="1:32" ht="12" customHeight="1">
      <c r="A490" s="25">
        <v>41221</v>
      </c>
      <c r="B490" s="225" t="s">
        <v>1989</v>
      </c>
      <c r="C490" s="219" t="s">
        <v>163</v>
      </c>
      <c r="D490" s="1" t="s">
        <v>1216</v>
      </c>
      <c r="E490" s="196">
        <v>3200</v>
      </c>
      <c r="F490" s="129">
        <v>100</v>
      </c>
      <c r="G490" s="129" t="s">
        <v>171</v>
      </c>
      <c r="H490" s="31">
        <v>23.94</v>
      </c>
      <c r="I490" s="27">
        <f t="shared" si="16"/>
        <v>2394</v>
      </c>
      <c r="J490" s="28" t="s">
        <v>1233</v>
      </c>
      <c r="K490" s="25">
        <v>41221</v>
      </c>
      <c r="L490" s="25">
        <v>41234</v>
      </c>
      <c r="M490" s="29" t="s">
        <v>167</v>
      </c>
      <c r="N490" s="28" t="s">
        <v>1385</v>
      </c>
      <c r="O490" s="32">
        <v>22113.97</v>
      </c>
      <c r="P490" s="56">
        <v>41241</v>
      </c>
      <c r="Q490" s="49"/>
      <c r="R490" s="49"/>
      <c r="S490" s="49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</row>
    <row r="491" spans="1:32" ht="12" customHeight="1">
      <c r="A491" s="25">
        <v>41221</v>
      </c>
      <c r="B491" s="225" t="s">
        <v>2001</v>
      </c>
      <c r="C491" s="219" t="s">
        <v>163</v>
      </c>
      <c r="D491" s="225" t="s">
        <v>1914</v>
      </c>
      <c r="E491" s="196">
        <v>52000183617</v>
      </c>
      <c r="F491" s="129">
        <v>12</v>
      </c>
      <c r="G491" s="129" t="s">
        <v>897</v>
      </c>
      <c r="H491" s="31">
        <v>938</v>
      </c>
      <c r="I491" s="27">
        <f t="shared" si="16"/>
        <v>11256</v>
      </c>
      <c r="J491" s="28" t="s">
        <v>168</v>
      </c>
      <c r="K491" s="25">
        <v>41221</v>
      </c>
      <c r="L491" s="25">
        <v>41221</v>
      </c>
      <c r="M491" s="29" t="s">
        <v>167</v>
      </c>
      <c r="N491" s="28" t="s">
        <v>1253</v>
      </c>
      <c r="O491" s="32">
        <v>14070</v>
      </c>
      <c r="P491" s="56">
        <v>41225</v>
      </c>
      <c r="Q491" s="49"/>
      <c r="R491" s="49"/>
      <c r="S491" s="49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</row>
    <row r="492" spans="1:32" ht="12" customHeight="1">
      <c r="A492" s="25">
        <v>41221</v>
      </c>
      <c r="B492" s="225" t="s">
        <v>2008</v>
      </c>
      <c r="C492" s="219" t="s">
        <v>163</v>
      </c>
      <c r="D492" s="225" t="s">
        <v>1921</v>
      </c>
      <c r="E492" s="196">
        <v>8246</v>
      </c>
      <c r="F492" s="129">
        <v>240</v>
      </c>
      <c r="G492" s="329" t="s">
        <v>171</v>
      </c>
      <c r="H492" s="31">
        <v>12.15</v>
      </c>
      <c r="I492" s="27">
        <f t="shared" si="16"/>
        <v>2916</v>
      </c>
      <c r="J492" s="28" t="s">
        <v>168</v>
      </c>
      <c r="K492" s="25">
        <v>41226</v>
      </c>
      <c r="L492" s="25">
        <v>41221</v>
      </c>
      <c r="M492" s="29" t="s">
        <v>167</v>
      </c>
      <c r="N492" s="28" t="s">
        <v>1288</v>
      </c>
      <c r="O492" s="32">
        <v>5195.2</v>
      </c>
      <c r="P492" s="56">
        <v>41234</v>
      </c>
      <c r="Q492" s="49"/>
      <c r="R492" s="49"/>
      <c r="S492" s="49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</row>
    <row r="493" spans="1:32" ht="12" customHeight="1">
      <c r="A493" s="25">
        <v>41221</v>
      </c>
      <c r="B493" s="225" t="s">
        <v>2008</v>
      </c>
      <c r="C493" s="219" t="s">
        <v>1235</v>
      </c>
      <c r="D493" s="225" t="s">
        <v>1945</v>
      </c>
      <c r="E493" s="196" t="s">
        <v>1236</v>
      </c>
      <c r="F493" s="129">
        <v>22</v>
      </c>
      <c r="G493" s="129" t="s">
        <v>830</v>
      </c>
      <c r="H493" s="31">
        <v>103.6</v>
      </c>
      <c r="I493" s="27">
        <f t="shared" si="16"/>
        <v>2279.1999999999998</v>
      </c>
      <c r="J493" s="28" t="s">
        <v>168</v>
      </c>
      <c r="K493" s="25">
        <v>41226</v>
      </c>
      <c r="L493" s="25">
        <v>41221</v>
      </c>
      <c r="M493" s="29" t="s">
        <v>167</v>
      </c>
      <c r="N493" s="28" t="s">
        <v>1288</v>
      </c>
      <c r="O493" s="32">
        <v>5195.2</v>
      </c>
      <c r="P493" s="56">
        <v>41234</v>
      </c>
      <c r="Q493" s="49" t="s">
        <v>1238</v>
      </c>
      <c r="R493" s="49"/>
      <c r="S493" s="49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</row>
    <row r="494" spans="1:32" ht="12" customHeight="1">
      <c r="A494" s="25">
        <v>41221</v>
      </c>
      <c r="B494" s="225" t="s">
        <v>2009</v>
      </c>
      <c r="C494" s="219" t="s">
        <v>163</v>
      </c>
      <c r="D494" s="225" t="s">
        <v>1946</v>
      </c>
      <c r="E494" s="196" t="s">
        <v>1239</v>
      </c>
      <c r="F494" s="129">
        <v>10</v>
      </c>
      <c r="G494" s="129" t="s">
        <v>1240</v>
      </c>
      <c r="H494" s="31">
        <v>26</v>
      </c>
      <c r="I494" s="27">
        <f t="shared" si="16"/>
        <v>260</v>
      </c>
      <c r="J494" s="28" t="s">
        <v>1241</v>
      </c>
      <c r="K494" s="25">
        <v>41221</v>
      </c>
      <c r="L494" s="25">
        <v>41221</v>
      </c>
      <c r="M494" s="29" t="s">
        <v>167</v>
      </c>
      <c r="N494" s="28" t="s">
        <v>1495</v>
      </c>
      <c r="O494" s="32">
        <v>260</v>
      </c>
      <c r="P494" s="56">
        <v>41257</v>
      </c>
      <c r="Q494" s="49"/>
      <c r="R494" s="49"/>
      <c r="S494" s="49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</row>
    <row r="495" spans="1:32" ht="12" customHeight="1">
      <c r="A495" s="25">
        <v>41221</v>
      </c>
      <c r="B495" s="225" t="s">
        <v>1989</v>
      </c>
      <c r="C495" s="219" t="s">
        <v>163</v>
      </c>
      <c r="D495" s="225" t="s">
        <v>1947</v>
      </c>
      <c r="E495" s="196">
        <v>1110</v>
      </c>
      <c r="F495" s="129">
        <v>100</v>
      </c>
      <c r="G495" s="129" t="s">
        <v>173</v>
      </c>
      <c r="H495" s="31">
        <v>0.77</v>
      </c>
      <c r="I495" s="27">
        <f t="shared" si="16"/>
        <v>77</v>
      </c>
      <c r="J495" s="28" t="s">
        <v>1242</v>
      </c>
      <c r="K495" s="25">
        <v>41221</v>
      </c>
      <c r="L495" s="25">
        <v>41234</v>
      </c>
      <c r="M495" s="29" t="s">
        <v>167</v>
      </c>
      <c r="N495" s="28" t="s">
        <v>1385</v>
      </c>
      <c r="O495" s="32">
        <v>22113.97</v>
      </c>
      <c r="P495" s="56">
        <v>41241</v>
      </c>
      <c r="Q495" s="49"/>
      <c r="R495" s="49"/>
      <c r="S495" s="49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</row>
    <row r="496" spans="1:32" ht="12" customHeight="1">
      <c r="A496" s="25">
        <v>41221</v>
      </c>
      <c r="B496" s="225" t="s">
        <v>1994</v>
      </c>
      <c r="C496" s="219" t="s">
        <v>163</v>
      </c>
      <c r="D496" s="225" t="s">
        <v>1883</v>
      </c>
      <c r="E496" s="196">
        <v>8210</v>
      </c>
      <c r="F496" s="129">
        <v>800</v>
      </c>
      <c r="G496" s="129" t="s">
        <v>172</v>
      </c>
      <c r="H496" s="31">
        <v>3.63</v>
      </c>
      <c r="I496" s="27">
        <f t="shared" si="16"/>
        <v>2904</v>
      </c>
      <c r="J496" s="28" t="s">
        <v>168</v>
      </c>
      <c r="K496" s="25">
        <v>41221</v>
      </c>
      <c r="L496" s="25">
        <v>41221</v>
      </c>
      <c r="M496" s="29" t="s">
        <v>167</v>
      </c>
      <c r="N496" s="28" t="s">
        <v>1509</v>
      </c>
      <c r="O496" s="32">
        <v>2904</v>
      </c>
      <c r="P496" s="56">
        <v>41261</v>
      </c>
      <c r="Q496" s="49"/>
      <c r="R496" s="49"/>
      <c r="S496" s="49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</row>
    <row r="497" spans="1:32" ht="12" customHeight="1">
      <c r="A497" s="25">
        <v>41221</v>
      </c>
      <c r="B497" s="225" t="s">
        <v>1999</v>
      </c>
      <c r="C497" s="219" t="s">
        <v>163</v>
      </c>
      <c r="D497" s="225" t="s">
        <v>1947</v>
      </c>
      <c r="E497" s="196">
        <v>1110</v>
      </c>
      <c r="F497" s="129">
        <v>500</v>
      </c>
      <c r="G497" s="129" t="s">
        <v>173</v>
      </c>
      <c r="H497" s="31">
        <v>0.74</v>
      </c>
      <c r="I497" s="27">
        <f t="shared" si="16"/>
        <v>370</v>
      </c>
      <c r="J497" s="28" t="s">
        <v>1243</v>
      </c>
      <c r="K497" s="25">
        <v>41226</v>
      </c>
      <c r="L497" s="25">
        <v>41222</v>
      </c>
      <c r="M497" s="29" t="s">
        <v>167</v>
      </c>
      <c r="N497" s="28" t="s">
        <v>1480</v>
      </c>
      <c r="O497" s="32">
        <v>31007.119999999999</v>
      </c>
      <c r="P497" s="56">
        <v>41254</v>
      </c>
      <c r="Q497" s="49"/>
      <c r="R497" s="49"/>
      <c r="S497" s="49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</row>
    <row r="498" spans="1:32" ht="12" customHeight="1">
      <c r="A498" s="25">
        <v>41221</v>
      </c>
      <c r="B498" s="225" t="s">
        <v>1999</v>
      </c>
      <c r="C498" s="219" t="s">
        <v>163</v>
      </c>
      <c r="D498" s="225" t="s">
        <v>694</v>
      </c>
      <c r="E498" s="196" t="s">
        <v>771</v>
      </c>
      <c r="F498" s="129">
        <v>100</v>
      </c>
      <c r="G498" s="129" t="s">
        <v>173</v>
      </c>
      <c r="H498" s="31">
        <v>1.54</v>
      </c>
      <c r="I498" s="27">
        <f t="shared" si="16"/>
        <v>154</v>
      </c>
      <c r="J498" s="28" t="s">
        <v>1243</v>
      </c>
      <c r="K498" s="25">
        <v>41226</v>
      </c>
      <c r="L498" s="25">
        <v>41222</v>
      </c>
      <c r="M498" s="29" t="s">
        <v>167</v>
      </c>
      <c r="N498" s="28" t="s">
        <v>1480</v>
      </c>
      <c r="O498" s="32">
        <v>31007.119999999999</v>
      </c>
      <c r="P498" s="56">
        <v>41254</v>
      </c>
      <c r="Q498" s="49"/>
      <c r="R498" s="49"/>
      <c r="S498" s="49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</row>
    <row r="499" spans="1:32" ht="12" customHeight="1">
      <c r="A499" s="25">
        <v>41222</v>
      </c>
      <c r="B499" s="225" t="s">
        <v>1989</v>
      </c>
      <c r="C499" s="219" t="s">
        <v>163</v>
      </c>
      <c r="D499" s="1" t="s">
        <v>1216</v>
      </c>
      <c r="E499" s="196">
        <v>3200</v>
      </c>
      <c r="F499" s="129">
        <v>100</v>
      </c>
      <c r="G499" s="129" t="s">
        <v>171</v>
      </c>
      <c r="H499" s="31">
        <v>23.94</v>
      </c>
      <c r="I499" s="27">
        <f t="shared" si="16"/>
        <v>2394</v>
      </c>
      <c r="J499" s="28" t="s">
        <v>1244</v>
      </c>
      <c r="K499" s="25">
        <v>41222</v>
      </c>
      <c r="L499" s="25">
        <v>41234</v>
      </c>
      <c r="M499" s="29" t="s">
        <v>167</v>
      </c>
      <c r="N499" s="28" t="s">
        <v>1385</v>
      </c>
      <c r="O499" s="32">
        <v>22113.97</v>
      </c>
      <c r="P499" s="56">
        <v>41241</v>
      </c>
      <c r="Q499" s="49"/>
      <c r="R499" s="49"/>
      <c r="S499" s="49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</row>
    <row r="500" spans="1:32" ht="12" customHeight="1">
      <c r="A500" s="25">
        <v>41222</v>
      </c>
      <c r="B500" s="225" t="s">
        <v>1989</v>
      </c>
      <c r="C500" s="219" t="s">
        <v>163</v>
      </c>
      <c r="D500" s="225" t="s">
        <v>1879</v>
      </c>
      <c r="E500" s="196" t="s">
        <v>1340</v>
      </c>
      <c r="F500" s="129">
        <v>500</v>
      </c>
      <c r="G500" s="129" t="s">
        <v>1341</v>
      </c>
      <c r="H500" s="31">
        <v>1.17</v>
      </c>
      <c r="I500" s="27">
        <f t="shared" si="16"/>
        <v>585</v>
      </c>
      <c r="J500" s="28" t="s">
        <v>1342</v>
      </c>
      <c r="K500" s="25">
        <v>41222</v>
      </c>
      <c r="L500" s="25">
        <v>41234</v>
      </c>
      <c r="M500" s="29" t="s">
        <v>1343</v>
      </c>
      <c r="N500" s="28" t="s">
        <v>1385</v>
      </c>
      <c r="O500" s="32">
        <v>22113.97</v>
      </c>
      <c r="P500" s="56">
        <v>41241</v>
      </c>
      <c r="Q500" s="49"/>
      <c r="R500" s="49"/>
      <c r="S500" s="49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</row>
    <row r="501" spans="1:32" ht="12" customHeight="1">
      <c r="A501" s="25">
        <v>41222</v>
      </c>
      <c r="B501" s="225" t="s">
        <v>1989</v>
      </c>
      <c r="C501" s="219" t="s">
        <v>1344</v>
      </c>
      <c r="D501" s="225" t="s">
        <v>1944</v>
      </c>
      <c r="E501" s="196">
        <v>3700</v>
      </c>
      <c r="F501" s="129">
        <v>100</v>
      </c>
      <c r="G501" s="129" t="s">
        <v>1345</v>
      </c>
      <c r="H501" s="31">
        <v>3.09</v>
      </c>
      <c r="I501" s="27">
        <f t="shared" si="16"/>
        <v>309</v>
      </c>
      <c r="J501" s="28" t="s">
        <v>1342</v>
      </c>
      <c r="K501" s="25">
        <v>41222</v>
      </c>
      <c r="L501" s="25">
        <v>41234</v>
      </c>
      <c r="M501" s="29" t="s">
        <v>1343</v>
      </c>
      <c r="N501" s="28" t="s">
        <v>1385</v>
      </c>
      <c r="O501" s="32">
        <v>22113.97</v>
      </c>
      <c r="P501" s="56">
        <v>41241</v>
      </c>
      <c r="Q501" s="49"/>
      <c r="R501" s="49"/>
      <c r="S501" s="49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</row>
    <row r="502" spans="1:32" ht="12" customHeight="1">
      <c r="A502" s="25">
        <v>41222</v>
      </c>
      <c r="B502" s="225" t="s">
        <v>1989</v>
      </c>
      <c r="C502" s="219" t="s">
        <v>1344</v>
      </c>
      <c r="D502" s="225" t="s">
        <v>233</v>
      </c>
      <c r="E502" s="196" t="s">
        <v>1346</v>
      </c>
      <c r="F502" s="205">
        <v>500</v>
      </c>
      <c r="G502" s="129" t="s">
        <v>1341</v>
      </c>
      <c r="H502" s="31">
        <v>1.54</v>
      </c>
      <c r="I502" s="27">
        <f t="shared" si="16"/>
        <v>770</v>
      </c>
      <c r="J502" s="28" t="s">
        <v>1342</v>
      </c>
      <c r="K502" s="25">
        <v>41222</v>
      </c>
      <c r="L502" s="25">
        <v>41234</v>
      </c>
      <c r="M502" s="29" t="s">
        <v>1343</v>
      </c>
      <c r="N502" s="28" t="s">
        <v>1385</v>
      </c>
      <c r="O502" s="32">
        <v>22113.97</v>
      </c>
      <c r="P502" s="56">
        <v>41241</v>
      </c>
      <c r="Q502" s="49"/>
      <c r="R502" s="49"/>
      <c r="S502" s="49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</row>
    <row r="503" spans="1:32" ht="12" customHeight="1">
      <c r="A503" s="25">
        <v>41222</v>
      </c>
      <c r="B503" s="225" t="s">
        <v>1989</v>
      </c>
      <c r="C503" s="219" t="s">
        <v>1344</v>
      </c>
      <c r="D503" s="225" t="s">
        <v>1947</v>
      </c>
      <c r="E503" s="196">
        <v>1110</v>
      </c>
      <c r="F503" s="129">
        <v>13</v>
      </c>
      <c r="G503" s="129" t="s">
        <v>1347</v>
      </c>
      <c r="H503" s="31">
        <v>0.77</v>
      </c>
      <c r="I503" s="27">
        <f t="shared" si="16"/>
        <v>10.01</v>
      </c>
      <c r="J503" s="28" t="s">
        <v>1348</v>
      </c>
      <c r="K503" s="25">
        <v>41222</v>
      </c>
      <c r="L503" s="25">
        <v>41234</v>
      </c>
      <c r="M503" s="29" t="s">
        <v>1343</v>
      </c>
      <c r="N503" s="28" t="s">
        <v>1385</v>
      </c>
      <c r="O503" s="32">
        <v>22113.97</v>
      </c>
      <c r="P503" s="56">
        <v>41241</v>
      </c>
      <c r="Q503" s="49"/>
      <c r="R503" s="49"/>
      <c r="S503" s="49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</row>
    <row r="504" spans="1:32" ht="12" customHeight="1">
      <c r="A504" s="25">
        <v>41225</v>
      </c>
      <c r="B504" s="225" t="s">
        <v>1992</v>
      </c>
      <c r="C504" s="219" t="s">
        <v>1344</v>
      </c>
      <c r="D504" s="225" t="s">
        <v>1878</v>
      </c>
      <c r="E504" s="196" t="s">
        <v>1349</v>
      </c>
      <c r="F504" s="129">
        <v>2500</v>
      </c>
      <c r="G504" s="198" t="s">
        <v>230</v>
      </c>
      <c r="H504" s="31">
        <v>1.4</v>
      </c>
      <c r="I504" s="27">
        <f t="shared" si="16"/>
        <v>3500</v>
      </c>
      <c r="J504" s="28" t="s">
        <v>1350</v>
      </c>
      <c r="K504" s="25">
        <v>41226</v>
      </c>
      <c r="L504" s="25">
        <v>41225</v>
      </c>
      <c r="M504" s="29" t="s">
        <v>1343</v>
      </c>
      <c r="N504" s="28" t="s">
        <v>1351</v>
      </c>
      <c r="O504" s="32">
        <v>59177.48</v>
      </c>
      <c r="P504" s="56">
        <v>41236</v>
      </c>
      <c r="Q504" s="49"/>
      <c r="R504" s="49"/>
      <c r="S504" s="49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</row>
    <row r="505" spans="1:32" ht="12" customHeight="1">
      <c r="A505" s="25">
        <v>41225</v>
      </c>
      <c r="B505" s="225" t="s">
        <v>1992</v>
      </c>
      <c r="C505" s="219" t="s">
        <v>1344</v>
      </c>
      <c r="D505" s="225" t="s">
        <v>1929</v>
      </c>
      <c r="E505" s="196">
        <v>6800</v>
      </c>
      <c r="F505" s="129">
        <v>6</v>
      </c>
      <c r="G505" s="129" t="s">
        <v>1345</v>
      </c>
      <c r="H505" s="31">
        <v>418</v>
      </c>
      <c r="I505" s="27">
        <f t="shared" si="16"/>
        <v>2508</v>
      </c>
      <c r="J505" s="28" t="s">
        <v>1350</v>
      </c>
      <c r="K505" s="25">
        <v>41226</v>
      </c>
      <c r="L505" s="25">
        <v>41225</v>
      </c>
      <c r="M505" s="29" t="s">
        <v>1343</v>
      </c>
      <c r="N505" s="28" t="s">
        <v>1351</v>
      </c>
      <c r="O505" s="32">
        <v>59177.48</v>
      </c>
      <c r="P505" s="56">
        <v>41236</v>
      </c>
      <c r="Q505" s="49"/>
      <c r="R505" s="49"/>
      <c r="S505" s="49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</row>
    <row r="506" spans="1:32" ht="12" customHeight="1">
      <c r="A506" s="25">
        <v>41226</v>
      </c>
      <c r="B506" s="225" t="s">
        <v>1992</v>
      </c>
      <c r="C506" s="219" t="s">
        <v>1344</v>
      </c>
      <c r="D506" s="1" t="s">
        <v>1880</v>
      </c>
      <c r="E506" s="196">
        <v>6006</v>
      </c>
      <c r="F506" s="129">
        <v>204</v>
      </c>
      <c r="G506" s="129" t="s">
        <v>1345</v>
      </c>
      <c r="H506" s="31">
        <v>49.78</v>
      </c>
      <c r="I506" s="27">
        <f t="shared" si="16"/>
        <v>10155.120000000001</v>
      </c>
      <c r="J506" s="28" t="s">
        <v>1352</v>
      </c>
      <c r="K506" s="25">
        <v>41227</v>
      </c>
      <c r="L506" s="25">
        <v>41229</v>
      </c>
      <c r="M506" s="29" t="s">
        <v>1343</v>
      </c>
      <c r="N506" s="28" t="s">
        <v>1351</v>
      </c>
      <c r="O506" s="32">
        <v>59177.48</v>
      </c>
      <c r="P506" s="56">
        <v>41236</v>
      </c>
      <c r="Q506" s="49"/>
      <c r="R506" s="49"/>
      <c r="S506" s="49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</row>
    <row r="507" spans="1:32" ht="12" customHeight="1">
      <c r="A507" s="25">
        <v>41226</v>
      </c>
      <c r="B507" s="225" t="s">
        <v>1991</v>
      </c>
      <c r="C507" s="219" t="s">
        <v>1344</v>
      </c>
      <c r="D507" s="1" t="s">
        <v>1880</v>
      </c>
      <c r="E507" s="196">
        <v>6006</v>
      </c>
      <c r="F507" s="129">
        <v>296</v>
      </c>
      <c r="G507" s="129" t="s">
        <v>1345</v>
      </c>
      <c r="H507" s="31">
        <v>48</v>
      </c>
      <c r="I507" s="27">
        <f t="shared" si="16"/>
        <v>14208</v>
      </c>
      <c r="J507" s="28" t="s">
        <v>1353</v>
      </c>
      <c r="K507" s="25">
        <v>41226</v>
      </c>
      <c r="L507" s="25">
        <v>41234</v>
      </c>
      <c r="M507" s="29" t="s">
        <v>1382</v>
      </c>
      <c r="N507" s="28" t="s">
        <v>1354</v>
      </c>
      <c r="O507" s="32">
        <v>21721.8</v>
      </c>
      <c r="P507" s="56">
        <v>41239</v>
      </c>
      <c r="Q507" s="49"/>
      <c r="R507" s="49"/>
      <c r="S507" s="49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</row>
    <row r="508" spans="1:32" ht="12" customHeight="1">
      <c r="A508" s="25">
        <v>41227</v>
      </c>
      <c r="B508" s="225" t="s">
        <v>1989</v>
      </c>
      <c r="C508" s="219" t="s">
        <v>1344</v>
      </c>
      <c r="D508" s="225" t="s">
        <v>1938</v>
      </c>
      <c r="E508" s="196" t="s">
        <v>1355</v>
      </c>
      <c r="F508" s="129">
        <v>500</v>
      </c>
      <c r="G508" s="129" t="s">
        <v>1341</v>
      </c>
      <c r="H508" s="31">
        <v>1.65</v>
      </c>
      <c r="I508" s="27">
        <f t="shared" si="16"/>
        <v>825</v>
      </c>
      <c r="J508" s="28" t="s">
        <v>1356</v>
      </c>
      <c r="K508" s="25">
        <v>41227</v>
      </c>
      <c r="L508" s="25">
        <v>41234</v>
      </c>
      <c r="M508" s="29" t="s">
        <v>1343</v>
      </c>
      <c r="N508" s="28" t="s">
        <v>1385</v>
      </c>
      <c r="O508" s="32">
        <v>22113.97</v>
      </c>
      <c r="P508" s="56">
        <v>41241</v>
      </c>
      <c r="Q508" s="49"/>
      <c r="R508" s="49"/>
      <c r="S508" s="49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</row>
    <row r="509" spans="1:32" ht="12" customHeight="1">
      <c r="A509" s="25">
        <v>41227</v>
      </c>
      <c r="B509" s="225" t="s">
        <v>1991</v>
      </c>
      <c r="C509" s="219" t="s">
        <v>1344</v>
      </c>
      <c r="D509" s="342" t="s">
        <v>241</v>
      </c>
      <c r="E509" s="196">
        <v>6200</v>
      </c>
      <c r="F509" s="129">
        <v>72</v>
      </c>
      <c r="G509" s="129" t="s">
        <v>1345</v>
      </c>
      <c r="H509" s="31">
        <v>42.7</v>
      </c>
      <c r="I509" s="27">
        <f t="shared" si="16"/>
        <v>3074.4</v>
      </c>
      <c r="J509" s="28" t="s">
        <v>1357</v>
      </c>
      <c r="K509" s="25">
        <v>41227</v>
      </c>
      <c r="L509" s="25">
        <v>41234</v>
      </c>
      <c r="M509" s="29" t="s">
        <v>1382</v>
      </c>
      <c r="N509" s="28" t="s">
        <v>1354</v>
      </c>
      <c r="O509" s="32">
        <v>21721.8</v>
      </c>
      <c r="P509" s="56">
        <v>41239</v>
      </c>
      <c r="Q509" s="49"/>
      <c r="R509" s="49"/>
      <c r="S509" s="49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</row>
    <row r="510" spans="1:32" ht="12" customHeight="1">
      <c r="A510" s="25">
        <v>41229</v>
      </c>
      <c r="B510" s="225" t="s">
        <v>1989</v>
      </c>
      <c r="C510" s="219" t="s">
        <v>1344</v>
      </c>
      <c r="D510" s="1" t="s">
        <v>1216</v>
      </c>
      <c r="E510" s="196">
        <v>3200</v>
      </c>
      <c r="F510" s="129">
        <v>40</v>
      </c>
      <c r="G510" s="129" t="s">
        <v>1345</v>
      </c>
      <c r="H510" s="31">
        <v>23.94</v>
      </c>
      <c r="I510" s="27">
        <f t="shared" si="16"/>
        <v>957.6</v>
      </c>
      <c r="J510" s="28" t="s">
        <v>1358</v>
      </c>
      <c r="K510" s="25">
        <v>41229</v>
      </c>
      <c r="L510" s="25">
        <v>41240</v>
      </c>
      <c r="M510" s="29" t="s">
        <v>1371</v>
      </c>
      <c r="N510" s="28" t="s">
        <v>1385</v>
      </c>
      <c r="O510" s="32">
        <v>22113.97</v>
      </c>
      <c r="P510" s="56">
        <v>41241</v>
      </c>
      <c r="Q510" s="49"/>
      <c r="R510" s="49"/>
      <c r="S510" s="49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</row>
    <row r="511" spans="1:32" ht="12" customHeight="1">
      <c r="A511" s="25">
        <v>41229</v>
      </c>
      <c r="B511" s="225" t="s">
        <v>1989</v>
      </c>
      <c r="C511" s="219" t="s">
        <v>1344</v>
      </c>
      <c r="D511" s="5" t="s">
        <v>1910</v>
      </c>
      <c r="E511" s="196" t="s">
        <v>1359</v>
      </c>
      <c r="F511" s="129">
        <v>100</v>
      </c>
      <c r="G511" s="129" t="s">
        <v>1347</v>
      </c>
      <c r="H511" s="31">
        <v>3.97</v>
      </c>
      <c r="I511" s="27">
        <f t="shared" si="16"/>
        <v>397</v>
      </c>
      <c r="J511" s="28" t="s">
        <v>1358</v>
      </c>
      <c r="K511" s="25">
        <v>41229</v>
      </c>
      <c r="L511" s="25">
        <v>41240</v>
      </c>
      <c r="M511" s="29" t="s">
        <v>1371</v>
      </c>
      <c r="N511" s="28" t="s">
        <v>1385</v>
      </c>
      <c r="O511" s="32">
        <v>22113.97</v>
      </c>
      <c r="P511" s="56">
        <v>41241</v>
      </c>
      <c r="Q511" s="49"/>
      <c r="R511" s="49"/>
      <c r="S511" s="49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</row>
    <row r="512" spans="1:32" ht="12" customHeight="1">
      <c r="A512" s="25">
        <v>41229</v>
      </c>
      <c r="B512" s="225" t="s">
        <v>1989</v>
      </c>
      <c r="C512" s="219" t="s">
        <v>1344</v>
      </c>
      <c r="D512" s="225" t="s">
        <v>1944</v>
      </c>
      <c r="E512" s="196">
        <v>3700</v>
      </c>
      <c r="F512" s="129">
        <v>100</v>
      </c>
      <c r="G512" s="129" t="s">
        <v>1345</v>
      </c>
      <c r="H512" s="31">
        <v>3.09</v>
      </c>
      <c r="I512" s="27">
        <f t="shared" si="16"/>
        <v>309</v>
      </c>
      <c r="J512" s="28" t="s">
        <v>1358</v>
      </c>
      <c r="K512" s="25">
        <v>41229</v>
      </c>
      <c r="L512" s="25">
        <v>41240</v>
      </c>
      <c r="M512" s="29" t="s">
        <v>1371</v>
      </c>
      <c r="N512" s="28" t="s">
        <v>1385</v>
      </c>
      <c r="O512" s="32">
        <v>22113.97</v>
      </c>
      <c r="P512" s="56">
        <v>41241</v>
      </c>
      <c r="Q512" s="49"/>
      <c r="R512" s="49"/>
      <c r="S512" s="49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</row>
    <row r="513" spans="1:32" ht="12" customHeight="1">
      <c r="A513" s="25">
        <v>41232</v>
      </c>
      <c r="B513" s="225" t="s">
        <v>2008</v>
      </c>
      <c r="C513" s="219" t="s">
        <v>1344</v>
      </c>
      <c r="D513" s="225" t="s">
        <v>1948</v>
      </c>
      <c r="E513" s="196" t="s">
        <v>1360</v>
      </c>
      <c r="F513" s="129">
        <v>1</v>
      </c>
      <c r="G513" s="129" t="s">
        <v>1347</v>
      </c>
      <c r="H513" s="31">
        <v>52</v>
      </c>
      <c r="I513" s="27">
        <f t="shared" si="16"/>
        <v>52</v>
      </c>
      <c r="J513" s="28" t="s">
        <v>1361</v>
      </c>
      <c r="K513" s="25">
        <v>41232</v>
      </c>
      <c r="L513" s="25">
        <v>41366</v>
      </c>
      <c r="M513" s="29" t="s">
        <v>167</v>
      </c>
      <c r="Q513" s="49"/>
      <c r="R513" s="49"/>
      <c r="S513" s="49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</row>
    <row r="514" spans="1:32" ht="12" customHeight="1">
      <c r="A514" s="25">
        <v>41232</v>
      </c>
      <c r="B514" s="225" t="s">
        <v>1989</v>
      </c>
      <c r="C514" s="219" t="s">
        <v>1344</v>
      </c>
      <c r="D514" s="1" t="s">
        <v>1219</v>
      </c>
      <c r="E514" s="196" t="s">
        <v>1362</v>
      </c>
      <c r="F514" s="129">
        <v>15</v>
      </c>
      <c r="G514" s="129" t="s">
        <v>1347</v>
      </c>
      <c r="H514" s="31">
        <v>13</v>
      </c>
      <c r="I514" s="27">
        <f t="shared" si="16"/>
        <v>195</v>
      </c>
      <c r="J514" s="28" t="s">
        <v>1363</v>
      </c>
      <c r="K514" s="25">
        <v>41232</v>
      </c>
      <c r="L514" s="25">
        <v>41240</v>
      </c>
      <c r="M514" s="29" t="s">
        <v>1371</v>
      </c>
      <c r="N514" s="28" t="s">
        <v>1385</v>
      </c>
      <c r="O514" s="32">
        <v>22113.97</v>
      </c>
      <c r="P514" s="56">
        <v>41241</v>
      </c>
      <c r="Q514" s="49"/>
      <c r="R514" s="49"/>
      <c r="S514" s="49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</row>
    <row r="515" spans="1:32" ht="12" customHeight="1">
      <c r="A515" s="25">
        <v>41232</v>
      </c>
      <c r="B515" s="225" t="s">
        <v>1989</v>
      </c>
      <c r="C515" s="219" t="s">
        <v>1344</v>
      </c>
      <c r="D515" s="225" t="s">
        <v>1944</v>
      </c>
      <c r="E515" s="196">
        <v>3700</v>
      </c>
      <c r="F515" s="129">
        <v>100</v>
      </c>
      <c r="G515" s="129" t="s">
        <v>1345</v>
      </c>
      <c r="H515" s="31">
        <v>3.09</v>
      </c>
      <c r="I515" s="27">
        <f t="shared" si="16"/>
        <v>309</v>
      </c>
      <c r="J515" s="28" t="s">
        <v>1364</v>
      </c>
      <c r="K515" s="25">
        <v>41232</v>
      </c>
      <c r="L515" s="25">
        <v>41240</v>
      </c>
      <c r="M515" s="29" t="s">
        <v>1371</v>
      </c>
      <c r="N515" s="28" t="s">
        <v>1385</v>
      </c>
      <c r="O515" s="32">
        <v>22113.97</v>
      </c>
      <c r="P515" s="56">
        <v>41241</v>
      </c>
      <c r="Q515" s="49"/>
      <c r="R515" s="49"/>
      <c r="S515" s="49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</row>
    <row r="516" spans="1:32" ht="12" customHeight="1">
      <c r="A516" s="25">
        <v>41232</v>
      </c>
      <c r="B516" s="225" t="s">
        <v>1989</v>
      </c>
      <c r="C516" s="219" t="s">
        <v>1344</v>
      </c>
      <c r="D516" s="225" t="s">
        <v>1882</v>
      </c>
      <c r="E516" s="196">
        <v>501</v>
      </c>
      <c r="F516" s="129">
        <v>100</v>
      </c>
      <c r="G516" s="129" t="s">
        <v>1345</v>
      </c>
      <c r="H516" s="31">
        <v>1.4</v>
      </c>
      <c r="I516" s="27">
        <f t="shared" si="16"/>
        <v>140</v>
      </c>
      <c r="J516" s="28" t="s">
        <v>1364</v>
      </c>
      <c r="K516" s="25">
        <v>41232</v>
      </c>
      <c r="L516" s="25">
        <v>41240</v>
      </c>
      <c r="M516" s="29" t="s">
        <v>1371</v>
      </c>
      <c r="N516" s="28" t="s">
        <v>1385</v>
      </c>
      <c r="O516" s="32">
        <v>22113.97</v>
      </c>
      <c r="P516" s="56">
        <v>41241</v>
      </c>
      <c r="Q516" s="49"/>
      <c r="R516" s="49"/>
      <c r="S516" s="49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</row>
    <row r="517" spans="1:32" ht="12" customHeight="1">
      <c r="A517" s="25">
        <v>41232</v>
      </c>
      <c r="B517" s="225" t="s">
        <v>1999</v>
      </c>
      <c r="C517" s="219" t="s">
        <v>1344</v>
      </c>
      <c r="D517" s="225" t="s">
        <v>1949</v>
      </c>
      <c r="E517" s="196">
        <v>6009</v>
      </c>
      <c r="F517" s="129">
        <v>60</v>
      </c>
      <c r="G517" s="129" t="s">
        <v>1345</v>
      </c>
      <c r="H517" s="31">
        <v>39</v>
      </c>
      <c r="I517" s="27">
        <f t="shared" si="16"/>
        <v>2340</v>
      </c>
      <c r="J517" s="28" t="s">
        <v>1365</v>
      </c>
      <c r="K517" s="25">
        <v>41234</v>
      </c>
      <c r="L517" s="25">
        <v>41232</v>
      </c>
      <c r="M517" s="29" t="s">
        <v>1366</v>
      </c>
      <c r="N517" s="28" t="s">
        <v>1367</v>
      </c>
      <c r="Q517" s="49"/>
      <c r="R517" s="49"/>
      <c r="S517" s="49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</row>
    <row r="518" spans="1:32" ht="12" customHeight="1">
      <c r="A518" s="25">
        <v>41232</v>
      </c>
      <c r="B518" s="225" t="s">
        <v>1999</v>
      </c>
      <c r="C518" s="219" t="s">
        <v>1344</v>
      </c>
      <c r="D518" s="225" t="s">
        <v>1950</v>
      </c>
      <c r="E518" s="196">
        <v>6057</v>
      </c>
      <c r="F518" s="129">
        <v>2</v>
      </c>
      <c r="G518" s="129" t="s">
        <v>1345</v>
      </c>
      <c r="H518" s="31">
        <v>50.5</v>
      </c>
      <c r="I518" s="27">
        <f t="shared" si="16"/>
        <v>101</v>
      </c>
      <c r="J518" s="28" t="s">
        <v>1365</v>
      </c>
      <c r="K518" s="25">
        <v>41234</v>
      </c>
      <c r="L518" s="25">
        <v>41247</v>
      </c>
      <c r="M518" s="29" t="s">
        <v>166</v>
      </c>
      <c r="N518" s="28" t="s">
        <v>1367</v>
      </c>
      <c r="Q518" s="49"/>
      <c r="R518" s="49"/>
      <c r="S518" s="49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</row>
    <row r="519" spans="1:32" ht="12" customHeight="1">
      <c r="A519" s="25">
        <v>41232</v>
      </c>
      <c r="B519" s="225" t="s">
        <v>1993</v>
      </c>
      <c r="C519" s="219" t="s">
        <v>1344</v>
      </c>
      <c r="D519" s="225" t="s">
        <v>1936</v>
      </c>
      <c r="E519" s="196">
        <v>10434</v>
      </c>
      <c r="F519" s="131">
        <v>20</v>
      </c>
      <c r="G519" s="129" t="s">
        <v>1347</v>
      </c>
      <c r="H519" s="31">
        <v>14.2</v>
      </c>
      <c r="I519" s="27">
        <f t="shared" si="16"/>
        <v>284</v>
      </c>
      <c r="J519" s="28" t="s">
        <v>1368</v>
      </c>
      <c r="K519" s="25">
        <v>41232</v>
      </c>
      <c r="L519" s="25">
        <v>41241</v>
      </c>
      <c r="M519" s="29" t="s">
        <v>167</v>
      </c>
      <c r="N519" s="28" t="s">
        <v>1383</v>
      </c>
      <c r="O519" s="32">
        <v>16292.64</v>
      </c>
      <c r="P519" s="56">
        <v>41241</v>
      </c>
      <c r="Q519" s="49"/>
      <c r="R519" s="49"/>
      <c r="S519" s="49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</row>
    <row r="520" spans="1:32" ht="12" customHeight="1">
      <c r="A520" s="25">
        <v>41233</v>
      </c>
      <c r="B520" s="225" t="s">
        <v>1991</v>
      </c>
      <c r="C520" s="219" t="s">
        <v>1344</v>
      </c>
      <c r="D520" s="1" t="s">
        <v>1219</v>
      </c>
      <c r="E520" s="196" t="s">
        <v>1362</v>
      </c>
      <c r="F520" s="129">
        <v>27</v>
      </c>
      <c r="G520" s="129" t="s">
        <v>1347</v>
      </c>
      <c r="H520" s="31">
        <v>12.6</v>
      </c>
      <c r="I520" s="27">
        <f t="shared" si="16"/>
        <v>340.2</v>
      </c>
      <c r="J520" s="28" t="s">
        <v>1369</v>
      </c>
      <c r="K520" s="25">
        <v>41233</v>
      </c>
      <c r="L520" s="25">
        <v>41234</v>
      </c>
      <c r="M520" s="29" t="s">
        <v>1382</v>
      </c>
      <c r="N520" s="28" t="s">
        <v>1354</v>
      </c>
      <c r="O520" s="32">
        <v>21721.8</v>
      </c>
      <c r="P520" s="56">
        <v>41239</v>
      </c>
      <c r="Q520" s="49"/>
      <c r="R520" s="49"/>
      <c r="S520" s="49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</row>
    <row r="521" spans="1:32" ht="12" customHeight="1">
      <c r="A521" s="25">
        <v>41233</v>
      </c>
      <c r="B521" s="225" t="s">
        <v>1991</v>
      </c>
      <c r="C521" s="219" t="s">
        <v>1344</v>
      </c>
      <c r="D521" s="342" t="s">
        <v>241</v>
      </c>
      <c r="E521" s="196">
        <v>6200</v>
      </c>
      <c r="F521" s="129">
        <v>96</v>
      </c>
      <c r="G521" s="129" t="s">
        <v>1345</v>
      </c>
      <c r="H521" s="31">
        <v>42.7</v>
      </c>
      <c r="I521" s="27">
        <f t="shared" ref="I521:I530" si="17">H521*F521</f>
        <v>4099.2000000000007</v>
      </c>
      <c r="J521" s="28" t="s">
        <v>1369</v>
      </c>
      <c r="K521" s="25">
        <v>41233</v>
      </c>
      <c r="L521" s="25">
        <v>41234</v>
      </c>
      <c r="M521" s="29" t="s">
        <v>1382</v>
      </c>
      <c r="N521" s="28" t="s">
        <v>1354</v>
      </c>
      <c r="O521" s="32">
        <v>21721.8</v>
      </c>
      <c r="P521" s="56">
        <v>41239</v>
      </c>
      <c r="Q521" s="49"/>
      <c r="R521" s="49"/>
      <c r="S521" s="49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</row>
    <row r="522" spans="1:32" ht="12" customHeight="1">
      <c r="A522" s="25">
        <v>41233</v>
      </c>
      <c r="B522" s="225" t="s">
        <v>1992</v>
      </c>
      <c r="C522" s="219" t="s">
        <v>1344</v>
      </c>
      <c r="D522" s="5" t="s">
        <v>1227</v>
      </c>
      <c r="E522" s="196" t="s">
        <v>1370</v>
      </c>
      <c r="F522" s="129">
        <v>12</v>
      </c>
      <c r="G522" s="129" t="s">
        <v>1345</v>
      </c>
      <c r="H522" s="31">
        <v>34.799999999999997</v>
      </c>
      <c r="I522" s="27">
        <f t="shared" si="17"/>
        <v>417.59999999999997</v>
      </c>
      <c r="J522" s="28" t="s">
        <v>1365</v>
      </c>
      <c r="K522" s="25">
        <v>41236</v>
      </c>
      <c r="L522" s="25">
        <v>41233</v>
      </c>
      <c r="M522" s="29" t="s">
        <v>1343</v>
      </c>
      <c r="N522" s="28" t="s">
        <v>1583</v>
      </c>
      <c r="O522" s="32">
        <v>36833.599999999999</v>
      </c>
      <c r="P522" s="56">
        <v>41264</v>
      </c>
      <c r="Q522" s="49"/>
      <c r="R522" s="49"/>
      <c r="S522" s="49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</row>
    <row r="523" spans="1:32" ht="12" customHeight="1">
      <c r="A523" s="25">
        <v>41233</v>
      </c>
      <c r="B523" s="225" t="s">
        <v>1994</v>
      </c>
      <c r="C523" s="219" t="s">
        <v>163</v>
      </c>
      <c r="D523" s="225" t="s">
        <v>352</v>
      </c>
      <c r="E523" s="196">
        <v>7502</v>
      </c>
      <c r="F523" s="125">
        <v>12</v>
      </c>
      <c r="G523" s="125" t="s">
        <v>753</v>
      </c>
      <c r="H523" s="31">
        <v>106</v>
      </c>
      <c r="I523" s="27">
        <f t="shared" si="17"/>
        <v>1272</v>
      </c>
      <c r="J523" s="28" t="s">
        <v>313</v>
      </c>
      <c r="K523" s="25">
        <v>41235</v>
      </c>
      <c r="L523" s="56">
        <v>41233</v>
      </c>
      <c r="M523" s="29" t="s">
        <v>1277</v>
      </c>
      <c r="N523" s="28" t="s">
        <v>1318</v>
      </c>
      <c r="O523" s="32">
        <v>1272</v>
      </c>
      <c r="P523" s="56">
        <v>41235</v>
      </c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  <c r="AD523" s="125"/>
      <c r="AE523" s="125"/>
      <c r="AF523" s="125"/>
    </row>
    <row r="524" spans="1:32" ht="12" customHeight="1">
      <c r="A524" s="25">
        <v>41233</v>
      </c>
      <c r="B524" s="225" t="s">
        <v>1989</v>
      </c>
      <c r="C524" s="219" t="s">
        <v>163</v>
      </c>
      <c r="D524" s="225" t="s">
        <v>247</v>
      </c>
      <c r="E524" s="196">
        <v>4620</v>
      </c>
      <c r="F524" s="119">
        <v>1</v>
      </c>
      <c r="G524" s="122" t="s">
        <v>1278</v>
      </c>
      <c r="H524" s="31">
        <v>17.79</v>
      </c>
      <c r="I524" s="27">
        <f t="shared" si="17"/>
        <v>17.79</v>
      </c>
      <c r="J524" s="28" t="s">
        <v>1279</v>
      </c>
      <c r="K524" s="25">
        <v>41233</v>
      </c>
      <c r="L524" s="56">
        <v>41240</v>
      </c>
      <c r="M524" s="29" t="s">
        <v>1371</v>
      </c>
      <c r="N524" s="28" t="s">
        <v>1385</v>
      </c>
      <c r="O524" s="32">
        <v>22113.97</v>
      </c>
      <c r="P524" s="56">
        <v>41241</v>
      </c>
    </row>
    <row r="525" spans="1:32" ht="12" customHeight="1">
      <c r="A525" s="25">
        <v>41233</v>
      </c>
      <c r="B525" s="225" t="s">
        <v>2010</v>
      </c>
      <c r="C525" s="219" t="s">
        <v>164</v>
      </c>
      <c r="D525" s="225" t="s">
        <v>828</v>
      </c>
      <c r="E525" s="196" t="s">
        <v>1280</v>
      </c>
      <c r="F525" s="129">
        <v>400</v>
      </c>
      <c r="G525" s="129" t="s">
        <v>186</v>
      </c>
      <c r="H525" s="31">
        <v>4.8899999999999997</v>
      </c>
      <c r="I525" s="27">
        <f t="shared" si="17"/>
        <v>1955.9999999999998</v>
      </c>
      <c r="J525" s="28" t="s">
        <v>313</v>
      </c>
      <c r="K525" s="25">
        <v>41239</v>
      </c>
      <c r="L525" s="56">
        <v>41233</v>
      </c>
      <c r="M525" s="29" t="s">
        <v>1277</v>
      </c>
      <c r="N525" s="28" t="s">
        <v>1714</v>
      </c>
      <c r="O525" s="32">
        <v>16445.5</v>
      </c>
      <c r="P525" s="56">
        <v>41284</v>
      </c>
      <c r="Q525" s="129"/>
      <c r="R525" s="189" t="s">
        <v>1715</v>
      </c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</row>
    <row r="526" spans="1:32" ht="12" customHeight="1">
      <c r="A526" s="25">
        <v>41233</v>
      </c>
      <c r="B526" s="225" t="s">
        <v>2010</v>
      </c>
      <c r="C526" s="219" t="s">
        <v>164</v>
      </c>
      <c r="D526" s="1" t="s">
        <v>1219</v>
      </c>
      <c r="E526" s="196" t="s">
        <v>778</v>
      </c>
      <c r="F526" s="129">
        <v>100</v>
      </c>
      <c r="G526" s="129" t="s">
        <v>173</v>
      </c>
      <c r="H526" s="31">
        <v>12.6</v>
      </c>
      <c r="I526" s="27">
        <f t="shared" si="17"/>
        <v>1260</v>
      </c>
      <c r="J526" s="28" t="s">
        <v>313</v>
      </c>
      <c r="K526" s="25">
        <v>41239</v>
      </c>
      <c r="L526" s="56">
        <v>41233</v>
      </c>
      <c r="M526" s="29" t="s">
        <v>1277</v>
      </c>
      <c r="N526" s="28" t="s">
        <v>1714</v>
      </c>
      <c r="O526" s="32">
        <v>16445.5</v>
      </c>
      <c r="P526" s="56">
        <v>41284</v>
      </c>
      <c r="Q526" s="129"/>
      <c r="R526" s="189" t="s">
        <v>1715</v>
      </c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</row>
    <row r="527" spans="1:32" ht="12" customHeight="1">
      <c r="A527" s="25">
        <v>41233</v>
      </c>
      <c r="B527" s="225" t="s">
        <v>2010</v>
      </c>
      <c r="C527" s="219" t="s">
        <v>164</v>
      </c>
      <c r="D527" s="225" t="s">
        <v>1281</v>
      </c>
      <c r="E527" s="223" t="s">
        <v>1859</v>
      </c>
      <c r="F527" s="129">
        <v>50</v>
      </c>
      <c r="G527" s="129" t="s">
        <v>686</v>
      </c>
      <c r="H527" s="31">
        <v>29.22</v>
      </c>
      <c r="I527" s="27">
        <f t="shared" si="17"/>
        <v>1461</v>
      </c>
      <c r="J527" s="28" t="s">
        <v>313</v>
      </c>
      <c r="K527" s="25">
        <v>41239</v>
      </c>
      <c r="L527" s="56">
        <v>41233</v>
      </c>
      <c r="M527" s="29" t="s">
        <v>1277</v>
      </c>
      <c r="N527" s="28" t="s">
        <v>1714</v>
      </c>
      <c r="O527" s="32">
        <v>16445.5</v>
      </c>
      <c r="P527" s="56">
        <v>41284</v>
      </c>
      <c r="Q527" s="129"/>
      <c r="R527" s="189" t="s">
        <v>1715</v>
      </c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</row>
    <row r="528" spans="1:32" ht="12" customHeight="1">
      <c r="A528" s="25">
        <v>41233</v>
      </c>
      <c r="B528" s="225" t="s">
        <v>2011</v>
      </c>
      <c r="C528" s="222" t="s">
        <v>1380</v>
      </c>
      <c r="D528" s="225" t="s">
        <v>1951</v>
      </c>
      <c r="E528" s="196" t="s">
        <v>1396</v>
      </c>
      <c r="F528" s="129">
        <v>2</v>
      </c>
      <c r="G528" s="129" t="s">
        <v>193</v>
      </c>
      <c r="H528" s="31">
        <v>2340</v>
      </c>
      <c r="I528" s="27">
        <f t="shared" si="17"/>
        <v>4680</v>
      </c>
      <c r="J528" s="28" t="s">
        <v>313</v>
      </c>
      <c r="K528" s="25">
        <v>41239</v>
      </c>
      <c r="L528" s="56">
        <v>41233</v>
      </c>
      <c r="M528" s="29" t="s">
        <v>1277</v>
      </c>
      <c r="N528" s="28" t="s">
        <v>1458</v>
      </c>
      <c r="O528" s="32">
        <v>4680</v>
      </c>
      <c r="P528" s="56">
        <v>41250</v>
      </c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</row>
    <row r="529" spans="1:32" ht="12" customHeight="1">
      <c r="A529" s="25">
        <v>41234</v>
      </c>
      <c r="B529" s="225" t="s">
        <v>1989</v>
      </c>
      <c r="C529" s="219" t="s">
        <v>163</v>
      </c>
      <c r="D529" s="225" t="s">
        <v>248</v>
      </c>
      <c r="E529" s="196">
        <v>11394</v>
      </c>
      <c r="F529" s="119">
        <v>3</v>
      </c>
      <c r="G529" s="123" t="s">
        <v>1284</v>
      </c>
      <c r="H529" s="31">
        <v>19.43</v>
      </c>
      <c r="I529" s="27">
        <f t="shared" si="17"/>
        <v>58.29</v>
      </c>
      <c r="J529" s="28" t="s">
        <v>1285</v>
      </c>
      <c r="K529" s="25">
        <v>41234</v>
      </c>
      <c r="L529" s="56">
        <v>41240</v>
      </c>
      <c r="M529" s="29" t="s">
        <v>1371</v>
      </c>
      <c r="N529" s="28" t="s">
        <v>1385</v>
      </c>
      <c r="O529" s="32">
        <v>22113.97</v>
      </c>
      <c r="P529" s="56">
        <v>41241</v>
      </c>
    </row>
    <row r="530" spans="1:32" ht="12" customHeight="1">
      <c r="A530" s="25">
        <v>41234</v>
      </c>
      <c r="B530" s="225" t="s">
        <v>1999</v>
      </c>
      <c r="C530" s="219" t="s">
        <v>163</v>
      </c>
      <c r="D530" s="225" t="s">
        <v>1938</v>
      </c>
      <c r="E530" s="196" t="s">
        <v>1286</v>
      </c>
      <c r="F530" s="129">
        <v>50000</v>
      </c>
      <c r="G530" s="129" t="s">
        <v>172</v>
      </c>
      <c r="H530" s="31">
        <v>1.62</v>
      </c>
      <c r="I530" s="27">
        <f t="shared" si="17"/>
        <v>81000</v>
      </c>
      <c r="J530" s="28" t="s">
        <v>1287</v>
      </c>
      <c r="K530" s="25">
        <v>41239</v>
      </c>
      <c r="L530" s="56">
        <v>41234</v>
      </c>
      <c r="M530" s="29" t="s">
        <v>167</v>
      </c>
      <c r="N530" s="28" t="s">
        <v>1328</v>
      </c>
      <c r="O530" s="32" t="s">
        <v>1329</v>
      </c>
      <c r="P530" s="56">
        <v>41236</v>
      </c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</row>
    <row r="531" spans="1:32" ht="12" customHeight="1">
      <c r="A531" s="25">
        <v>41235</v>
      </c>
      <c r="B531" s="225" t="s">
        <v>2000</v>
      </c>
      <c r="C531" s="219" t="s">
        <v>1283</v>
      </c>
      <c r="D531" s="225" t="s">
        <v>1935</v>
      </c>
      <c r="E531" s="196">
        <v>301508</v>
      </c>
      <c r="F531" s="153">
        <f>I531/H531</f>
        <v>27.000000000000004</v>
      </c>
      <c r="G531" s="153" t="s">
        <v>830</v>
      </c>
      <c r="H531" s="31">
        <v>89.66</v>
      </c>
      <c r="I531" s="27">
        <v>2420.8200000000002</v>
      </c>
      <c r="J531" s="28" t="s">
        <v>1290</v>
      </c>
      <c r="K531" s="25">
        <v>41250</v>
      </c>
      <c r="L531" s="56">
        <v>41235</v>
      </c>
      <c r="M531" s="29" t="s">
        <v>167</v>
      </c>
      <c r="N531" s="28" t="s">
        <v>1393</v>
      </c>
      <c r="O531" s="32" t="s">
        <v>1394</v>
      </c>
      <c r="P531" s="56">
        <v>41242</v>
      </c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  <c r="AC531" s="153"/>
      <c r="AD531" s="153"/>
      <c r="AE531" s="153"/>
      <c r="AF531" s="153"/>
    </row>
    <row r="532" spans="1:32" ht="12" customHeight="1">
      <c r="A532" s="25">
        <v>41236</v>
      </c>
      <c r="B532" s="95" t="s">
        <v>1993</v>
      </c>
      <c r="C532" s="221" t="s">
        <v>163</v>
      </c>
      <c r="D532" s="225" t="s">
        <v>672</v>
      </c>
      <c r="E532" s="196" t="s">
        <v>1086</v>
      </c>
      <c r="F532" s="131">
        <v>250</v>
      </c>
      <c r="G532" s="328" t="s">
        <v>171</v>
      </c>
      <c r="H532" s="31">
        <v>3.59</v>
      </c>
      <c r="I532" s="27">
        <f t="shared" ref="I532:I575" si="18">H532*F532</f>
        <v>897.5</v>
      </c>
      <c r="J532" s="28" t="s">
        <v>1322</v>
      </c>
      <c r="K532" s="25">
        <v>41236</v>
      </c>
      <c r="L532" s="56">
        <v>41241</v>
      </c>
      <c r="M532" s="29" t="s">
        <v>167</v>
      </c>
      <c r="N532" s="28" t="s">
        <v>1383</v>
      </c>
      <c r="O532" s="32">
        <v>16292.64</v>
      </c>
      <c r="P532" s="56">
        <v>41241</v>
      </c>
    </row>
    <row r="533" spans="1:32" ht="12" customHeight="1">
      <c r="A533" s="25">
        <v>41236</v>
      </c>
      <c r="B533" s="225" t="s">
        <v>1996</v>
      </c>
      <c r="C533" s="221" t="s">
        <v>163</v>
      </c>
      <c r="D533" s="225" t="s">
        <v>1901</v>
      </c>
      <c r="E533" s="196" t="s">
        <v>1325</v>
      </c>
      <c r="F533" s="119">
        <v>300</v>
      </c>
      <c r="G533" s="126" t="s">
        <v>757</v>
      </c>
      <c r="H533" s="31">
        <v>33.110999999999997</v>
      </c>
      <c r="I533" s="27">
        <f t="shared" si="18"/>
        <v>9933.2999999999993</v>
      </c>
      <c r="J533" s="28" t="s">
        <v>313</v>
      </c>
      <c r="K533" s="25">
        <v>41236</v>
      </c>
      <c r="L533" s="56">
        <v>41232</v>
      </c>
      <c r="M533" s="29" t="s">
        <v>699</v>
      </c>
      <c r="N533" s="28" t="s">
        <v>1334</v>
      </c>
      <c r="O533" s="32">
        <v>39920.400000000001</v>
      </c>
      <c r="P533" s="56">
        <v>41229</v>
      </c>
    </row>
    <row r="534" spans="1:32" ht="12" customHeight="1">
      <c r="A534" s="25">
        <v>41236</v>
      </c>
      <c r="B534" s="225" t="s">
        <v>1996</v>
      </c>
      <c r="C534" s="221" t="s">
        <v>163</v>
      </c>
      <c r="D534" s="225" t="s">
        <v>1902</v>
      </c>
      <c r="E534" s="196" t="s">
        <v>1326</v>
      </c>
      <c r="F534" s="119">
        <v>100</v>
      </c>
      <c r="G534" s="126" t="s">
        <v>757</v>
      </c>
      <c r="H534" s="31">
        <v>42.939</v>
      </c>
      <c r="I534" s="27">
        <f t="shared" si="18"/>
        <v>4293.8999999999996</v>
      </c>
      <c r="J534" s="28" t="s">
        <v>313</v>
      </c>
      <c r="K534" s="25">
        <v>41236</v>
      </c>
      <c r="L534" s="56">
        <v>41232</v>
      </c>
      <c r="M534" s="29" t="s">
        <v>699</v>
      </c>
      <c r="N534" s="28" t="s">
        <v>1334</v>
      </c>
      <c r="O534" s="32">
        <v>39920.400000000001</v>
      </c>
      <c r="P534" s="56">
        <v>41229</v>
      </c>
    </row>
    <row r="535" spans="1:32" ht="12" customHeight="1">
      <c r="A535" s="25">
        <v>41236</v>
      </c>
      <c r="B535" s="225" t="s">
        <v>1996</v>
      </c>
      <c r="C535" s="221" t="s">
        <v>163</v>
      </c>
      <c r="D535" s="225" t="s">
        <v>1904</v>
      </c>
      <c r="E535" s="196" t="s">
        <v>1327</v>
      </c>
      <c r="F535" s="119">
        <v>100</v>
      </c>
      <c r="G535" s="126" t="s">
        <v>757</v>
      </c>
      <c r="H535" s="31">
        <v>107.64</v>
      </c>
      <c r="I535" s="27">
        <f t="shared" si="18"/>
        <v>10764</v>
      </c>
      <c r="J535" s="28" t="s">
        <v>313</v>
      </c>
      <c r="K535" s="25">
        <v>41236</v>
      </c>
      <c r="L535" s="56">
        <v>41232</v>
      </c>
      <c r="M535" s="29" t="s">
        <v>699</v>
      </c>
      <c r="N535" s="28" t="s">
        <v>1334</v>
      </c>
      <c r="O535" s="32">
        <v>39920.400000000001</v>
      </c>
      <c r="P535" s="56">
        <v>41229</v>
      </c>
    </row>
    <row r="536" spans="1:32" ht="12" customHeight="1">
      <c r="A536" s="25">
        <v>41236</v>
      </c>
      <c r="B536" s="225" t="s">
        <v>1996</v>
      </c>
      <c r="C536" s="221" t="s">
        <v>163</v>
      </c>
      <c r="D536" s="225" t="s">
        <v>1906</v>
      </c>
      <c r="E536" s="196">
        <v>9032</v>
      </c>
      <c r="F536" s="119">
        <v>10000</v>
      </c>
      <c r="G536" s="372" t="s">
        <v>171</v>
      </c>
      <c r="H536" s="30">
        <v>1.4928999999999999</v>
      </c>
      <c r="I536" s="27">
        <f t="shared" si="18"/>
        <v>14928.999999999998</v>
      </c>
      <c r="J536" s="28" t="s">
        <v>313</v>
      </c>
      <c r="K536" s="25">
        <v>41236</v>
      </c>
      <c r="L536" s="56">
        <v>41232</v>
      </c>
      <c r="M536" s="29" t="s">
        <v>699</v>
      </c>
      <c r="N536" s="28" t="s">
        <v>1334</v>
      </c>
      <c r="O536" s="32">
        <v>39920.400000000001</v>
      </c>
      <c r="P536" s="56">
        <v>41229</v>
      </c>
    </row>
    <row r="537" spans="1:32" ht="12" customHeight="1">
      <c r="A537" s="25">
        <v>41236</v>
      </c>
      <c r="B537" s="225" t="s">
        <v>1989</v>
      </c>
      <c r="C537" s="219" t="s">
        <v>163</v>
      </c>
      <c r="D537" s="1" t="s">
        <v>1952</v>
      </c>
      <c r="E537" s="196" t="s">
        <v>1330</v>
      </c>
      <c r="F537" s="119">
        <v>1000</v>
      </c>
      <c r="G537" s="127" t="s">
        <v>1331</v>
      </c>
      <c r="H537" s="31">
        <v>2.2999999999999998</v>
      </c>
      <c r="I537" s="27">
        <f t="shared" si="18"/>
        <v>2300</v>
      </c>
      <c r="J537" s="28" t="s">
        <v>1332</v>
      </c>
      <c r="K537" s="25">
        <v>41236</v>
      </c>
      <c r="L537" s="56">
        <v>41240</v>
      </c>
      <c r="M537" s="29" t="s">
        <v>1371</v>
      </c>
      <c r="N537" s="28" t="s">
        <v>1385</v>
      </c>
      <c r="O537" s="32">
        <v>22113.97</v>
      </c>
      <c r="P537" s="56">
        <v>41241</v>
      </c>
    </row>
    <row r="538" spans="1:32" ht="12" customHeight="1">
      <c r="A538" s="25">
        <v>41239</v>
      </c>
      <c r="B538" s="95" t="s">
        <v>1993</v>
      </c>
      <c r="C538" s="219" t="s">
        <v>163</v>
      </c>
      <c r="D538" s="225" t="s">
        <v>289</v>
      </c>
      <c r="E538" s="196">
        <v>10434</v>
      </c>
      <c r="F538" s="131">
        <v>50</v>
      </c>
      <c r="G538" s="128" t="s">
        <v>91</v>
      </c>
      <c r="H538" s="31">
        <v>14.2</v>
      </c>
      <c r="I538" s="27">
        <f t="shared" si="18"/>
        <v>710</v>
      </c>
      <c r="J538" s="28" t="s">
        <v>1333</v>
      </c>
      <c r="K538" s="25">
        <v>41239</v>
      </c>
      <c r="L538" s="56">
        <v>41241</v>
      </c>
      <c r="M538" s="29" t="s">
        <v>167</v>
      </c>
      <c r="N538" s="28" t="s">
        <v>1383</v>
      </c>
      <c r="O538" s="32">
        <v>16292.64</v>
      </c>
      <c r="P538" s="56">
        <v>41241</v>
      </c>
    </row>
    <row r="539" spans="1:32" ht="12" customHeight="1">
      <c r="A539" s="25">
        <v>41240</v>
      </c>
      <c r="B539" s="225" t="s">
        <v>2012</v>
      </c>
      <c r="C539" s="219" t="s">
        <v>163</v>
      </c>
      <c r="D539" s="225" t="s">
        <v>306</v>
      </c>
      <c r="E539" s="196">
        <v>1426</v>
      </c>
      <c r="F539" s="119">
        <v>20</v>
      </c>
      <c r="G539" s="130" t="s">
        <v>173</v>
      </c>
      <c r="H539" s="31">
        <v>19.422000000000001</v>
      </c>
      <c r="I539" s="27">
        <f t="shared" si="18"/>
        <v>388.44</v>
      </c>
      <c r="J539" s="28" t="s">
        <v>313</v>
      </c>
      <c r="K539" s="25">
        <v>41240</v>
      </c>
      <c r="L539" s="56">
        <v>41232</v>
      </c>
      <c r="M539" s="29" t="s">
        <v>167</v>
      </c>
      <c r="N539" s="28" t="s">
        <v>1384</v>
      </c>
      <c r="O539" s="32">
        <v>388.44</v>
      </c>
      <c r="P539" s="56">
        <v>41241</v>
      </c>
    </row>
    <row r="540" spans="1:32" ht="12" customHeight="1">
      <c r="A540" s="25">
        <v>41240</v>
      </c>
      <c r="B540" s="225" t="s">
        <v>1996</v>
      </c>
      <c r="C540" s="221" t="s">
        <v>163</v>
      </c>
      <c r="D540" s="225" t="s">
        <v>1953</v>
      </c>
      <c r="E540" s="196" t="s">
        <v>1373</v>
      </c>
      <c r="F540" s="119">
        <v>800</v>
      </c>
      <c r="G540" s="130" t="s">
        <v>1375</v>
      </c>
      <c r="H540" s="31">
        <v>48.555</v>
      </c>
      <c r="I540" s="27">
        <f t="shared" si="18"/>
        <v>38844</v>
      </c>
      <c r="K540" s="25">
        <v>41240</v>
      </c>
      <c r="L540" s="56">
        <v>41232</v>
      </c>
      <c r="M540" s="29" t="s">
        <v>167</v>
      </c>
      <c r="N540" s="28" t="s">
        <v>1457</v>
      </c>
      <c r="O540" s="32">
        <v>38844</v>
      </c>
      <c r="P540" s="56">
        <v>41250</v>
      </c>
    </row>
    <row r="541" spans="1:32" ht="12" customHeight="1">
      <c r="A541" s="25">
        <v>41240</v>
      </c>
      <c r="B541" s="225" t="s">
        <v>1992</v>
      </c>
      <c r="C541" s="221" t="s">
        <v>163</v>
      </c>
      <c r="D541" s="225" t="s">
        <v>1895</v>
      </c>
      <c r="E541" s="196" t="s">
        <v>1378</v>
      </c>
      <c r="F541" s="130">
        <v>240</v>
      </c>
      <c r="G541" s="130" t="s">
        <v>1376</v>
      </c>
      <c r="H541" s="31">
        <v>16.5</v>
      </c>
      <c r="I541" s="27">
        <f t="shared" si="18"/>
        <v>3960</v>
      </c>
      <c r="J541" s="28" t="s">
        <v>1379</v>
      </c>
      <c r="K541" s="25">
        <v>41240</v>
      </c>
      <c r="L541" s="56">
        <v>41240</v>
      </c>
      <c r="M541" s="29" t="s">
        <v>1371</v>
      </c>
      <c r="N541" s="28" t="s">
        <v>1583</v>
      </c>
      <c r="O541" s="32">
        <v>36833.599999999999</v>
      </c>
      <c r="P541" s="56">
        <v>41264</v>
      </c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</row>
    <row r="542" spans="1:32" ht="12" customHeight="1">
      <c r="A542" s="25">
        <v>41241</v>
      </c>
      <c r="B542" s="225" t="s">
        <v>1989</v>
      </c>
      <c r="C542" s="219" t="s">
        <v>163</v>
      </c>
      <c r="D542" s="225" t="s">
        <v>307</v>
      </c>
      <c r="E542" s="196">
        <v>1270</v>
      </c>
      <c r="F542" s="131">
        <v>120</v>
      </c>
      <c r="G542" s="190" t="s">
        <v>240</v>
      </c>
      <c r="H542" s="31">
        <v>4.3099999999999996</v>
      </c>
      <c r="I542" s="27">
        <f t="shared" si="18"/>
        <v>517.19999999999993</v>
      </c>
      <c r="J542" s="28" t="s">
        <v>1391</v>
      </c>
      <c r="K542" s="25">
        <v>41241</v>
      </c>
      <c r="L542" s="56">
        <v>41288</v>
      </c>
      <c r="M542" s="29" t="s">
        <v>167</v>
      </c>
      <c r="N542" s="28" t="s">
        <v>5330</v>
      </c>
      <c r="O542" s="32">
        <v>52934.25</v>
      </c>
      <c r="P542" s="56">
        <v>41333</v>
      </c>
    </row>
    <row r="543" spans="1:32" ht="12" customHeight="1">
      <c r="A543" s="25">
        <v>41241</v>
      </c>
      <c r="B543" s="225" t="s">
        <v>1989</v>
      </c>
      <c r="C543" s="219" t="s">
        <v>163</v>
      </c>
      <c r="D543" s="225" t="s">
        <v>355</v>
      </c>
      <c r="E543" s="196" t="s">
        <v>1386</v>
      </c>
      <c r="F543" s="131">
        <v>100</v>
      </c>
      <c r="G543" s="132" t="s">
        <v>1389</v>
      </c>
      <c r="H543" s="31">
        <v>10.94</v>
      </c>
      <c r="I543" s="27">
        <f t="shared" si="18"/>
        <v>1094</v>
      </c>
      <c r="J543" s="28" t="s">
        <v>1391</v>
      </c>
      <c r="K543" s="25">
        <v>41241</v>
      </c>
      <c r="L543" s="56">
        <v>41288</v>
      </c>
      <c r="M543" s="29" t="s">
        <v>167</v>
      </c>
      <c r="N543" s="28" t="s">
        <v>5330</v>
      </c>
      <c r="O543" s="32">
        <v>52934.25</v>
      </c>
      <c r="P543" s="56">
        <v>41333</v>
      </c>
    </row>
    <row r="544" spans="1:32" ht="12" customHeight="1">
      <c r="A544" s="25">
        <v>41241</v>
      </c>
      <c r="B544" s="225" t="s">
        <v>1989</v>
      </c>
      <c r="C544" s="219" t="s">
        <v>163</v>
      </c>
      <c r="D544" s="225" t="s">
        <v>269</v>
      </c>
      <c r="E544" s="196" t="s">
        <v>1387</v>
      </c>
      <c r="F544" s="131">
        <v>300</v>
      </c>
      <c r="G544" s="132" t="s">
        <v>1390</v>
      </c>
      <c r="H544" s="31">
        <v>1.17</v>
      </c>
      <c r="I544" s="27">
        <f t="shared" si="18"/>
        <v>351</v>
      </c>
      <c r="J544" s="28" t="s">
        <v>1391</v>
      </c>
      <c r="K544" s="25">
        <v>41241</v>
      </c>
      <c r="L544" s="56">
        <v>41288</v>
      </c>
      <c r="M544" s="29" t="s">
        <v>167</v>
      </c>
      <c r="N544" s="28" t="s">
        <v>5330</v>
      </c>
      <c r="O544" s="32">
        <v>52934.25</v>
      </c>
      <c r="P544" s="56">
        <v>41333</v>
      </c>
    </row>
    <row r="545" spans="1:32" ht="12" customHeight="1">
      <c r="A545" s="25">
        <v>41241</v>
      </c>
      <c r="B545" s="225" t="s">
        <v>1989</v>
      </c>
      <c r="C545" s="219" t="s">
        <v>163</v>
      </c>
      <c r="D545" s="225" t="s">
        <v>264</v>
      </c>
      <c r="E545" s="196" t="s">
        <v>1388</v>
      </c>
      <c r="F545" s="131">
        <v>100</v>
      </c>
      <c r="G545" s="132" t="s">
        <v>1389</v>
      </c>
      <c r="H545" s="31">
        <v>1.58</v>
      </c>
      <c r="I545" s="27">
        <f t="shared" si="18"/>
        <v>158</v>
      </c>
      <c r="J545" s="28" t="s">
        <v>1391</v>
      </c>
      <c r="K545" s="25">
        <v>41241</v>
      </c>
      <c r="L545" s="56">
        <v>41288</v>
      </c>
      <c r="M545" s="29" t="s">
        <v>167</v>
      </c>
      <c r="N545" s="28" t="s">
        <v>5330</v>
      </c>
      <c r="O545" s="32">
        <v>52934.25</v>
      </c>
      <c r="P545" s="56">
        <v>41333</v>
      </c>
    </row>
    <row r="546" spans="1:32" ht="12" customHeight="1">
      <c r="A546" s="25">
        <v>41243</v>
      </c>
      <c r="B546" s="225" t="s">
        <v>2013</v>
      </c>
      <c r="C546" s="219" t="s">
        <v>1016</v>
      </c>
      <c r="D546" s="225" t="s">
        <v>1919</v>
      </c>
      <c r="E546" s="196" t="s">
        <v>1017</v>
      </c>
      <c r="F546" s="151">
        <v>1</v>
      </c>
      <c r="G546" s="151" t="s">
        <v>1018</v>
      </c>
      <c r="H546" s="31">
        <v>708</v>
      </c>
      <c r="I546" s="27">
        <f t="shared" si="18"/>
        <v>708</v>
      </c>
      <c r="J546" s="28" t="s">
        <v>168</v>
      </c>
      <c r="K546" s="25">
        <v>41249</v>
      </c>
      <c r="L546" s="56">
        <v>41243</v>
      </c>
      <c r="M546" s="29" t="s">
        <v>167</v>
      </c>
      <c r="N546" s="28" t="s">
        <v>1623</v>
      </c>
      <c r="O546" s="32">
        <v>781</v>
      </c>
      <c r="P546" s="56">
        <v>41270</v>
      </c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</row>
    <row r="547" spans="1:32" ht="12" customHeight="1">
      <c r="A547" s="25">
        <v>41247</v>
      </c>
      <c r="B547" s="225" t="s">
        <v>1999</v>
      </c>
      <c r="C547" s="219" t="s">
        <v>163</v>
      </c>
      <c r="D547" s="225" t="s">
        <v>1928</v>
      </c>
      <c r="E547" s="223" t="s">
        <v>1859</v>
      </c>
      <c r="F547" s="180">
        <v>144</v>
      </c>
      <c r="G547" s="180" t="s">
        <v>171</v>
      </c>
      <c r="H547" s="31">
        <v>29.05</v>
      </c>
      <c r="I547" s="27">
        <f t="shared" si="18"/>
        <v>4183.2</v>
      </c>
      <c r="J547" s="28" t="s">
        <v>1422</v>
      </c>
      <c r="K547" s="25">
        <v>41249</v>
      </c>
      <c r="L547" s="56">
        <v>41247</v>
      </c>
      <c r="M547" s="29" t="s">
        <v>167</v>
      </c>
      <c r="N547" s="28" t="s">
        <v>1480</v>
      </c>
      <c r="O547" s="32">
        <v>31007.119999999999</v>
      </c>
      <c r="P547" s="56">
        <v>41254</v>
      </c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  <c r="AB547" s="180"/>
      <c r="AC547" s="180"/>
      <c r="AD547" s="180"/>
      <c r="AE547" s="180"/>
      <c r="AF547" s="180"/>
    </row>
    <row r="548" spans="1:32" ht="12" customHeight="1">
      <c r="A548" s="25">
        <v>41247</v>
      </c>
      <c r="B548" s="225" t="s">
        <v>1999</v>
      </c>
      <c r="C548" s="219" t="s">
        <v>163</v>
      </c>
      <c r="D548" s="225" t="s">
        <v>1947</v>
      </c>
      <c r="E548" s="196">
        <v>1110</v>
      </c>
      <c r="F548" s="153">
        <v>500</v>
      </c>
      <c r="G548" s="153" t="s">
        <v>173</v>
      </c>
      <c r="H548" s="31">
        <v>0.72</v>
      </c>
      <c r="I548" s="27">
        <f t="shared" si="18"/>
        <v>360</v>
      </c>
      <c r="J548" s="28" t="s">
        <v>1422</v>
      </c>
      <c r="K548" s="25">
        <v>41253</v>
      </c>
      <c r="L548" s="25">
        <v>41247</v>
      </c>
      <c r="M548" s="56" t="s">
        <v>167</v>
      </c>
      <c r="N548" s="28" t="s">
        <v>1480</v>
      </c>
      <c r="O548" s="32">
        <v>31007.119999999999</v>
      </c>
      <c r="P548" s="56">
        <v>41254</v>
      </c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  <c r="AC548" s="153"/>
      <c r="AD548" s="153"/>
      <c r="AE548" s="153"/>
      <c r="AF548" s="153"/>
    </row>
    <row r="549" spans="1:32" ht="12" customHeight="1">
      <c r="A549" s="25">
        <v>41247</v>
      </c>
      <c r="B549" s="225" t="s">
        <v>1999</v>
      </c>
      <c r="C549" s="219" t="s">
        <v>163</v>
      </c>
      <c r="D549" s="225" t="s">
        <v>1954</v>
      </c>
      <c r="E549" s="196">
        <v>12308</v>
      </c>
      <c r="F549" s="151">
        <v>4</v>
      </c>
      <c r="G549" s="151" t="s">
        <v>173</v>
      </c>
      <c r="H549" s="31">
        <v>19.100000000000001</v>
      </c>
      <c r="I549" s="27">
        <f t="shared" si="18"/>
        <v>76.400000000000006</v>
      </c>
      <c r="J549" s="28" t="s">
        <v>1422</v>
      </c>
      <c r="K549" s="25">
        <v>41249</v>
      </c>
      <c r="L549" s="56">
        <v>41247</v>
      </c>
      <c r="M549" s="29" t="s">
        <v>167</v>
      </c>
      <c r="N549" s="28" t="s">
        <v>1480</v>
      </c>
      <c r="O549" s="32">
        <v>31007.119999999999</v>
      </c>
      <c r="P549" s="56">
        <v>41254</v>
      </c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</row>
    <row r="550" spans="1:32" ht="12" customHeight="1">
      <c r="A550" s="25">
        <v>41247</v>
      </c>
      <c r="B550" s="225" t="s">
        <v>1999</v>
      </c>
      <c r="C550" s="219" t="s">
        <v>163</v>
      </c>
      <c r="D550" s="225" t="s">
        <v>1955</v>
      </c>
      <c r="E550" s="196">
        <v>6895</v>
      </c>
      <c r="F550" s="153">
        <v>20</v>
      </c>
      <c r="G550" s="153" t="s">
        <v>172</v>
      </c>
      <c r="H550" s="31">
        <v>6.18</v>
      </c>
      <c r="I550" s="27">
        <f t="shared" si="18"/>
        <v>123.6</v>
      </c>
      <c r="J550" s="28" t="s">
        <v>168</v>
      </c>
      <c r="K550" s="25">
        <v>41253</v>
      </c>
      <c r="L550" s="25">
        <v>41281</v>
      </c>
      <c r="M550" s="29" t="s">
        <v>167</v>
      </c>
      <c r="N550" s="28" t="s">
        <v>1837</v>
      </c>
      <c r="O550" s="32">
        <v>27144</v>
      </c>
      <c r="P550" s="56">
        <v>41297</v>
      </c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  <c r="AC550" s="153"/>
      <c r="AD550" s="153"/>
      <c r="AE550" s="153"/>
      <c r="AF550" s="153"/>
    </row>
    <row r="551" spans="1:32" ht="12" customHeight="1">
      <c r="A551" s="25">
        <v>41247</v>
      </c>
      <c r="B551" s="225" t="s">
        <v>1999</v>
      </c>
      <c r="C551" s="219" t="s">
        <v>163</v>
      </c>
      <c r="D551" s="225" t="s">
        <v>1956</v>
      </c>
      <c r="E551" s="196">
        <v>6893</v>
      </c>
      <c r="F551" s="153">
        <v>180</v>
      </c>
      <c r="G551" s="153" t="s">
        <v>172</v>
      </c>
      <c r="H551" s="31">
        <v>2.2999999999999998</v>
      </c>
      <c r="I551" s="27">
        <f t="shared" si="18"/>
        <v>413.99999999999994</v>
      </c>
      <c r="J551" s="28" t="s">
        <v>168</v>
      </c>
      <c r="K551" s="25">
        <v>41253</v>
      </c>
      <c r="L551" s="25">
        <v>41281</v>
      </c>
      <c r="M551" s="29" t="s">
        <v>167</v>
      </c>
      <c r="N551" s="28" t="s">
        <v>1837</v>
      </c>
      <c r="O551" s="32">
        <v>27144</v>
      </c>
      <c r="P551" s="56">
        <v>41297</v>
      </c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  <c r="AC551" s="153"/>
      <c r="AD551" s="153"/>
      <c r="AE551" s="153"/>
      <c r="AF551" s="153"/>
    </row>
    <row r="552" spans="1:32" ht="12" customHeight="1">
      <c r="A552" s="25">
        <v>41247</v>
      </c>
      <c r="B552" s="225" t="s">
        <v>1989</v>
      </c>
      <c r="C552" s="219" t="s">
        <v>163</v>
      </c>
      <c r="D552" s="225" t="s">
        <v>355</v>
      </c>
      <c r="E552" s="196" t="s">
        <v>929</v>
      </c>
      <c r="F552" s="131">
        <v>60</v>
      </c>
      <c r="G552" s="326" t="s">
        <v>171</v>
      </c>
      <c r="H552" s="31">
        <v>10.94</v>
      </c>
      <c r="I552" s="27">
        <f t="shared" si="18"/>
        <v>656.4</v>
      </c>
      <c r="J552" s="28" t="s">
        <v>1423</v>
      </c>
      <c r="K552" s="25">
        <v>41247</v>
      </c>
      <c r="L552" s="56">
        <v>41288</v>
      </c>
      <c r="M552" s="29" t="s">
        <v>167</v>
      </c>
      <c r="N552" s="28" t="s">
        <v>5330</v>
      </c>
      <c r="O552" s="32">
        <v>52934.25</v>
      </c>
      <c r="P552" s="56">
        <v>41333</v>
      </c>
    </row>
    <row r="553" spans="1:32" ht="12" customHeight="1">
      <c r="A553" s="25">
        <v>41247</v>
      </c>
      <c r="B553" s="225" t="s">
        <v>1989</v>
      </c>
      <c r="C553" s="219" t="s">
        <v>163</v>
      </c>
      <c r="D553" s="225" t="s">
        <v>269</v>
      </c>
      <c r="E553" s="196" t="s">
        <v>178</v>
      </c>
      <c r="F553" s="131">
        <v>500</v>
      </c>
      <c r="G553" s="148" t="s">
        <v>172</v>
      </c>
      <c r="H553" s="31">
        <v>1.17</v>
      </c>
      <c r="I553" s="27">
        <f t="shared" si="18"/>
        <v>585</v>
      </c>
      <c r="J553" s="28" t="s">
        <v>1423</v>
      </c>
      <c r="K553" s="25">
        <v>41247</v>
      </c>
      <c r="L553" s="56">
        <v>41288</v>
      </c>
      <c r="M553" s="29" t="s">
        <v>167</v>
      </c>
      <c r="N553" s="28" t="s">
        <v>5330</v>
      </c>
      <c r="O553" s="32">
        <v>52934.25</v>
      </c>
      <c r="P553" s="56">
        <v>41333</v>
      </c>
    </row>
    <row r="554" spans="1:32" ht="12" customHeight="1">
      <c r="A554" s="25">
        <v>41247</v>
      </c>
      <c r="B554" s="225" t="s">
        <v>1989</v>
      </c>
      <c r="C554" s="219" t="s">
        <v>163</v>
      </c>
      <c r="D554" s="225" t="s">
        <v>247</v>
      </c>
      <c r="E554" s="196">
        <v>4620</v>
      </c>
      <c r="F554" s="148">
        <v>20</v>
      </c>
      <c r="G554" s="148" t="s">
        <v>175</v>
      </c>
      <c r="H554" s="31">
        <v>17.79</v>
      </c>
      <c r="I554" s="27">
        <f t="shared" si="18"/>
        <v>355.79999999999995</v>
      </c>
      <c r="J554" s="28" t="s">
        <v>1423</v>
      </c>
      <c r="K554" s="25">
        <v>41247</v>
      </c>
      <c r="L554" s="56">
        <v>41288</v>
      </c>
      <c r="M554" s="29" t="s">
        <v>167</v>
      </c>
      <c r="N554" s="28" t="s">
        <v>5330</v>
      </c>
      <c r="O554" s="32">
        <v>52934.25</v>
      </c>
      <c r="P554" s="56">
        <v>41333</v>
      </c>
    </row>
    <row r="555" spans="1:32" ht="12" customHeight="1">
      <c r="A555" s="25">
        <v>41248</v>
      </c>
      <c r="B555" s="225" t="s">
        <v>1989</v>
      </c>
      <c r="C555" s="219" t="s">
        <v>163</v>
      </c>
      <c r="D555" s="225" t="s">
        <v>672</v>
      </c>
      <c r="E555" s="196" t="s">
        <v>1426</v>
      </c>
      <c r="F555" s="131">
        <v>400</v>
      </c>
      <c r="G555" s="149" t="s">
        <v>1427</v>
      </c>
      <c r="H555" s="31">
        <v>3.86</v>
      </c>
      <c r="I555" s="27">
        <f t="shared" si="18"/>
        <v>1544</v>
      </c>
      <c r="J555" s="28" t="s">
        <v>1428</v>
      </c>
      <c r="K555" s="25">
        <v>41248</v>
      </c>
      <c r="L555" s="56">
        <v>41310</v>
      </c>
      <c r="M555" s="29" t="s">
        <v>166</v>
      </c>
      <c r="N555" s="28" t="s">
        <v>1429</v>
      </c>
    </row>
    <row r="556" spans="1:32" ht="12" customHeight="1">
      <c r="A556" s="25">
        <v>41248</v>
      </c>
      <c r="B556" s="225" t="s">
        <v>1999</v>
      </c>
      <c r="C556" s="219" t="s">
        <v>163</v>
      </c>
      <c r="D556" s="225" t="s">
        <v>1957</v>
      </c>
      <c r="E556" s="196">
        <v>8515</v>
      </c>
      <c r="F556" s="153">
        <v>200</v>
      </c>
      <c r="G556" s="377" t="s">
        <v>171</v>
      </c>
      <c r="H556" s="31">
        <v>17.100000000000001</v>
      </c>
      <c r="I556" s="27">
        <f t="shared" si="18"/>
        <v>3420.0000000000005</v>
      </c>
      <c r="J556" s="28" t="s">
        <v>1430</v>
      </c>
      <c r="K556" s="25">
        <v>41253</v>
      </c>
      <c r="L556" s="154">
        <v>41248</v>
      </c>
      <c r="M556" s="154" t="s">
        <v>166</v>
      </c>
      <c r="N556" s="28" t="s">
        <v>1434</v>
      </c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  <c r="AC556" s="153"/>
      <c r="AD556" s="153"/>
      <c r="AE556" s="153"/>
      <c r="AF556" s="153"/>
    </row>
    <row r="557" spans="1:32" ht="12" customHeight="1">
      <c r="A557" s="25">
        <v>41248</v>
      </c>
      <c r="B557" s="225" t="s">
        <v>1994</v>
      </c>
      <c r="C557" s="219" t="s">
        <v>163</v>
      </c>
      <c r="D557" s="225" t="s">
        <v>1432</v>
      </c>
      <c r="E557" s="196">
        <v>6894</v>
      </c>
      <c r="F557" s="151">
        <v>4</v>
      </c>
      <c r="G557" s="151" t="s">
        <v>1436</v>
      </c>
      <c r="H557" s="31">
        <v>85.67</v>
      </c>
      <c r="I557" s="27">
        <f t="shared" si="18"/>
        <v>342.68</v>
      </c>
      <c r="J557" s="28" t="s">
        <v>168</v>
      </c>
      <c r="K557" s="25">
        <v>41249</v>
      </c>
      <c r="L557" s="56">
        <v>41248</v>
      </c>
      <c r="M557" s="29" t="s">
        <v>167</v>
      </c>
      <c r="N557" s="28" t="s">
        <v>1439</v>
      </c>
      <c r="O557" s="32">
        <v>342.68</v>
      </c>
      <c r="P557" s="56">
        <v>41249</v>
      </c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</row>
    <row r="558" spans="1:32" ht="12" customHeight="1">
      <c r="A558" s="25">
        <v>41248</v>
      </c>
      <c r="B558" s="225" t="s">
        <v>1989</v>
      </c>
      <c r="C558" s="219" t="s">
        <v>163</v>
      </c>
      <c r="D558" s="225" t="s">
        <v>1433</v>
      </c>
      <c r="E558" s="196">
        <v>6895</v>
      </c>
      <c r="F558" s="131">
        <v>20</v>
      </c>
      <c r="G558" s="150" t="s">
        <v>1435</v>
      </c>
      <c r="H558" s="31">
        <v>6.18</v>
      </c>
      <c r="I558" s="27">
        <f t="shared" si="18"/>
        <v>123.6</v>
      </c>
      <c r="J558" s="28" t="s">
        <v>1437</v>
      </c>
      <c r="K558" s="25">
        <v>41248</v>
      </c>
      <c r="L558" s="56">
        <v>41288</v>
      </c>
      <c r="M558" s="29" t="s">
        <v>167</v>
      </c>
      <c r="N558" s="28" t="s">
        <v>5330</v>
      </c>
      <c r="O558" s="32">
        <v>52934.25</v>
      </c>
      <c r="P558" s="56">
        <v>41333</v>
      </c>
    </row>
    <row r="559" spans="1:32" ht="12" customHeight="1">
      <c r="A559" s="25">
        <v>41249</v>
      </c>
      <c r="B559" s="225" t="s">
        <v>2014</v>
      </c>
      <c r="C559" s="219" t="s">
        <v>163</v>
      </c>
      <c r="D559" s="225" t="s">
        <v>1441</v>
      </c>
      <c r="E559" s="196">
        <v>6893</v>
      </c>
      <c r="F559" s="153">
        <v>20</v>
      </c>
      <c r="G559" s="153" t="s">
        <v>1442</v>
      </c>
      <c r="H559" s="31">
        <v>2.2799999999999998</v>
      </c>
      <c r="I559" s="27">
        <f t="shared" si="18"/>
        <v>45.599999999999994</v>
      </c>
      <c r="J559" s="28" t="s">
        <v>168</v>
      </c>
      <c r="K559" s="25">
        <v>41253</v>
      </c>
      <c r="L559" s="25">
        <v>41249</v>
      </c>
      <c r="M559" s="56" t="s">
        <v>1444</v>
      </c>
      <c r="N559" s="28" t="s">
        <v>1808</v>
      </c>
      <c r="O559" s="32">
        <v>10898.5</v>
      </c>
      <c r="P559" s="56">
        <v>41295</v>
      </c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  <c r="AC559" s="153"/>
      <c r="AD559" s="153"/>
      <c r="AE559" s="153"/>
      <c r="AF559" s="153"/>
    </row>
    <row r="560" spans="1:32" ht="12" customHeight="1">
      <c r="A560" s="25">
        <v>41249</v>
      </c>
      <c r="B560" s="225" t="s">
        <v>2014</v>
      </c>
      <c r="C560" s="219" t="s">
        <v>163</v>
      </c>
      <c r="D560" s="227" t="s">
        <v>1930</v>
      </c>
      <c r="E560" s="196" t="s">
        <v>1440</v>
      </c>
      <c r="F560" s="153">
        <v>2500</v>
      </c>
      <c r="G560" s="153" t="s">
        <v>1443</v>
      </c>
      <c r="H560" s="31">
        <v>0.58899999999999997</v>
      </c>
      <c r="I560" s="27">
        <f t="shared" si="18"/>
        <v>1472.5</v>
      </c>
      <c r="J560" s="28" t="s">
        <v>168</v>
      </c>
      <c r="K560" s="25">
        <v>41253</v>
      </c>
      <c r="L560" s="25">
        <v>41249</v>
      </c>
      <c r="M560" s="56" t="s">
        <v>1444</v>
      </c>
      <c r="N560" s="28" t="s">
        <v>1808</v>
      </c>
      <c r="O560" s="32">
        <v>10898.5</v>
      </c>
      <c r="P560" s="56">
        <v>41295</v>
      </c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  <c r="AC560" s="153"/>
      <c r="AD560" s="153"/>
      <c r="AE560" s="153"/>
      <c r="AF560" s="153"/>
    </row>
    <row r="561" spans="1:32" ht="12" customHeight="1">
      <c r="A561" s="25">
        <v>41249</v>
      </c>
      <c r="B561" s="225" t="s">
        <v>1992</v>
      </c>
      <c r="C561" s="219" t="s">
        <v>163</v>
      </c>
      <c r="D561" s="225" t="s">
        <v>1878</v>
      </c>
      <c r="E561" s="196" t="s">
        <v>1445</v>
      </c>
      <c r="F561" s="153">
        <v>16000</v>
      </c>
      <c r="G561" s="198" t="s">
        <v>230</v>
      </c>
      <c r="H561" s="31">
        <v>1.4</v>
      </c>
      <c r="I561" s="27">
        <f t="shared" si="18"/>
        <v>22400</v>
      </c>
      <c r="J561" s="28" t="s">
        <v>1452</v>
      </c>
      <c r="K561" s="25">
        <v>41253</v>
      </c>
      <c r="L561" s="94" t="s">
        <v>1485</v>
      </c>
      <c r="M561" s="97" t="s">
        <v>184</v>
      </c>
      <c r="N561" s="28" t="s">
        <v>1583</v>
      </c>
      <c r="O561" s="32">
        <v>36833.599999999999</v>
      </c>
      <c r="P561" s="56">
        <v>41264</v>
      </c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  <c r="AC561" s="153"/>
      <c r="AD561" s="153"/>
      <c r="AE561" s="153"/>
      <c r="AF561" s="153"/>
    </row>
    <row r="562" spans="1:32" ht="12" customHeight="1">
      <c r="A562" s="25">
        <v>41249</v>
      </c>
      <c r="B562" s="225" t="s">
        <v>1992</v>
      </c>
      <c r="C562" s="219" t="s">
        <v>163</v>
      </c>
      <c r="D562" s="225" t="s">
        <v>1921</v>
      </c>
      <c r="E562" s="196">
        <v>8246</v>
      </c>
      <c r="F562" s="157">
        <v>360</v>
      </c>
      <c r="G562" s="329" t="s">
        <v>171</v>
      </c>
      <c r="H562" s="31">
        <v>11.7</v>
      </c>
      <c r="I562" s="27">
        <f t="shared" si="18"/>
        <v>4212</v>
      </c>
      <c r="J562" s="28" t="s">
        <v>1452</v>
      </c>
      <c r="K562" s="25">
        <v>41256</v>
      </c>
      <c r="L562" s="94" t="s">
        <v>1485</v>
      </c>
      <c r="M562" s="97" t="s">
        <v>184</v>
      </c>
      <c r="N562" s="28" t="s">
        <v>1583</v>
      </c>
      <c r="O562" s="32">
        <v>36833.599999999999</v>
      </c>
      <c r="P562" s="56">
        <v>41264</v>
      </c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/>
      <c r="AE562" s="157"/>
      <c r="AF562" s="157"/>
    </row>
    <row r="563" spans="1:32" ht="12" customHeight="1">
      <c r="A563" s="25">
        <v>41249</v>
      </c>
      <c r="B563" s="225" t="s">
        <v>1992</v>
      </c>
      <c r="C563" s="219" t="s">
        <v>163</v>
      </c>
      <c r="D563" s="225" t="s">
        <v>672</v>
      </c>
      <c r="E563" s="196" t="s">
        <v>1446</v>
      </c>
      <c r="F563" s="153">
        <v>1000</v>
      </c>
      <c r="G563" s="197" t="s">
        <v>171</v>
      </c>
      <c r="H563" s="31">
        <v>3.6</v>
      </c>
      <c r="I563" s="27">
        <f t="shared" si="18"/>
        <v>3600</v>
      </c>
      <c r="J563" s="28" t="s">
        <v>1452</v>
      </c>
      <c r="K563" s="25">
        <v>41253</v>
      </c>
      <c r="L563" s="94" t="s">
        <v>1485</v>
      </c>
      <c r="M563" s="97" t="s">
        <v>184</v>
      </c>
      <c r="N563" s="28" t="s">
        <v>1583</v>
      </c>
      <c r="O563" s="32">
        <v>36833.599999999999</v>
      </c>
      <c r="P563" s="56">
        <v>41264</v>
      </c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  <c r="AC563" s="153"/>
      <c r="AD563" s="153"/>
      <c r="AE563" s="153"/>
      <c r="AF563" s="153"/>
    </row>
    <row r="564" spans="1:32" ht="12" customHeight="1">
      <c r="A564" s="25">
        <v>41249</v>
      </c>
      <c r="B564" s="225" t="s">
        <v>1992</v>
      </c>
      <c r="C564" s="219" t="s">
        <v>163</v>
      </c>
      <c r="D564" s="225" t="s">
        <v>1954</v>
      </c>
      <c r="E564" s="196">
        <v>12308</v>
      </c>
      <c r="F564" s="153">
        <v>40</v>
      </c>
      <c r="G564" s="153" t="s">
        <v>1443</v>
      </c>
      <c r="H564" s="31">
        <v>18</v>
      </c>
      <c r="I564" s="27">
        <f t="shared" si="18"/>
        <v>720</v>
      </c>
      <c r="J564" s="28" t="s">
        <v>1452</v>
      </c>
      <c r="K564" s="25">
        <v>41253</v>
      </c>
      <c r="L564" s="94" t="s">
        <v>1485</v>
      </c>
      <c r="M564" s="97" t="s">
        <v>184</v>
      </c>
      <c r="N564" s="28" t="s">
        <v>1583</v>
      </c>
      <c r="O564" s="32">
        <v>36833.599999999999</v>
      </c>
      <c r="P564" s="56">
        <v>41264</v>
      </c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  <c r="AC564" s="153"/>
      <c r="AD564" s="153"/>
      <c r="AE564" s="153"/>
      <c r="AF564" s="153"/>
    </row>
    <row r="565" spans="1:32" ht="12" customHeight="1">
      <c r="A565" s="25">
        <v>41249</v>
      </c>
      <c r="B565" s="225" t="s">
        <v>1989</v>
      </c>
      <c r="C565" s="219" t="s">
        <v>163</v>
      </c>
      <c r="D565" s="1" t="s">
        <v>1216</v>
      </c>
      <c r="E565" s="196">
        <v>3200</v>
      </c>
      <c r="F565" s="131">
        <v>60</v>
      </c>
      <c r="G565" s="151" t="s">
        <v>1448</v>
      </c>
      <c r="H565" s="31">
        <v>23.94</v>
      </c>
      <c r="I565" s="27">
        <f t="shared" si="18"/>
        <v>1436.4</v>
      </c>
      <c r="J565" s="28" t="s">
        <v>1449</v>
      </c>
      <c r="K565" s="25">
        <v>41249</v>
      </c>
      <c r="L565" s="56">
        <v>41288</v>
      </c>
      <c r="M565" s="29" t="s">
        <v>167</v>
      </c>
      <c r="N565" s="28" t="s">
        <v>5330</v>
      </c>
      <c r="O565" s="32">
        <v>52934.25</v>
      </c>
      <c r="P565" s="56">
        <v>41333</v>
      </c>
    </row>
    <row r="566" spans="1:32" ht="12" customHeight="1">
      <c r="A566" s="25">
        <v>41249</v>
      </c>
      <c r="B566" s="225" t="s">
        <v>1989</v>
      </c>
      <c r="C566" s="219" t="s">
        <v>163</v>
      </c>
      <c r="D566" s="225" t="s">
        <v>233</v>
      </c>
      <c r="E566" s="196" t="s">
        <v>1447</v>
      </c>
      <c r="F566" s="205">
        <v>500</v>
      </c>
      <c r="G566" s="151" t="s">
        <v>1442</v>
      </c>
      <c r="H566" s="31">
        <v>1.54</v>
      </c>
      <c r="I566" s="27">
        <f t="shared" si="18"/>
        <v>770</v>
      </c>
      <c r="J566" s="28" t="s">
        <v>1449</v>
      </c>
      <c r="K566" s="25">
        <v>41249</v>
      </c>
      <c r="L566" s="56">
        <v>41288</v>
      </c>
      <c r="M566" s="29" t="s">
        <v>167</v>
      </c>
      <c r="N566" s="28" t="s">
        <v>5330</v>
      </c>
      <c r="O566" s="32">
        <v>52934.25</v>
      </c>
      <c r="P566" s="56">
        <v>41333</v>
      </c>
    </row>
    <row r="567" spans="1:32" ht="12" customHeight="1">
      <c r="A567" s="25">
        <v>41249</v>
      </c>
      <c r="B567" s="225" t="s">
        <v>1993</v>
      </c>
      <c r="C567" s="219" t="s">
        <v>163</v>
      </c>
      <c r="D567" s="225" t="s">
        <v>307</v>
      </c>
      <c r="E567" s="196">
        <v>1270</v>
      </c>
      <c r="F567" s="131">
        <v>20</v>
      </c>
      <c r="G567" s="190" t="s">
        <v>240</v>
      </c>
      <c r="H567" s="31">
        <v>4.22</v>
      </c>
      <c r="I567" s="27">
        <f t="shared" si="18"/>
        <v>84.399999999999991</v>
      </c>
      <c r="J567" s="28" t="s">
        <v>1450</v>
      </c>
      <c r="K567" s="25">
        <v>41249</v>
      </c>
      <c r="L567" s="56">
        <v>41305</v>
      </c>
      <c r="M567" s="29" t="s">
        <v>167</v>
      </c>
    </row>
    <row r="568" spans="1:32" ht="12" customHeight="1">
      <c r="A568" s="25">
        <v>41249</v>
      </c>
      <c r="B568" s="225" t="s">
        <v>1993</v>
      </c>
      <c r="C568" s="219" t="s">
        <v>163</v>
      </c>
      <c r="D568" s="225" t="s">
        <v>289</v>
      </c>
      <c r="E568" s="196">
        <v>10434</v>
      </c>
      <c r="F568" s="131">
        <v>50</v>
      </c>
      <c r="G568" s="151" t="s">
        <v>1443</v>
      </c>
      <c r="H568" s="31">
        <v>14.2</v>
      </c>
      <c r="I568" s="27">
        <f t="shared" si="18"/>
        <v>710</v>
      </c>
      <c r="J568" s="28" t="s">
        <v>1450</v>
      </c>
      <c r="K568" s="25">
        <v>41249</v>
      </c>
      <c r="L568" s="56">
        <v>41305</v>
      </c>
      <c r="M568" s="29" t="s">
        <v>167</v>
      </c>
    </row>
    <row r="569" spans="1:32" ht="12" customHeight="1">
      <c r="A569" s="25">
        <v>41249</v>
      </c>
      <c r="B569" s="225" t="s">
        <v>1993</v>
      </c>
      <c r="C569" s="219" t="s">
        <v>163</v>
      </c>
      <c r="D569" s="225" t="s">
        <v>289</v>
      </c>
      <c r="E569" s="196">
        <v>10434</v>
      </c>
      <c r="F569" s="131">
        <v>60</v>
      </c>
      <c r="G569" s="151" t="s">
        <v>1443</v>
      </c>
      <c r="H569" s="31">
        <v>14.2</v>
      </c>
      <c r="I569" s="27">
        <f t="shared" si="18"/>
        <v>852</v>
      </c>
      <c r="J569" s="28" t="s">
        <v>1451</v>
      </c>
      <c r="K569" s="25">
        <v>41249</v>
      </c>
      <c r="L569" s="56">
        <v>41305</v>
      </c>
      <c r="M569" s="29" t="s">
        <v>167</v>
      </c>
    </row>
    <row r="570" spans="1:32" ht="12" customHeight="1">
      <c r="A570" s="25">
        <v>41249</v>
      </c>
      <c r="B570" s="225" t="s">
        <v>1996</v>
      </c>
      <c r="C570" s="221" t="s">
        <v>163</v>
      </c>
      <c r="D570" s="225" t="s">
        <v>1903</v>
      </c>
      <c r="E570" s="196" t="s">
        <v>1453</v>
      </c>
      <c r="F570" s="131">
        <v>20</v>
      </c>
      <c r="G570" s="151" t="s">
        <v>1454</v>
      </c>
      <c r="H570" s="31">
        <v>181.36</v>
      </c>
      <c r="I570" s="27">
        <f t="shared" si="18"/>
        <v>3627.2000000000003</v>
      </c>
      <c r="J570" s="28" t="s">
        <v>168</v>
      </c>
      <c r="K570" s="25">
        <v>41249</v>
      </c>
      <c r="L570" s="56">
        <v>41232</v>
      </c>
      <c r="M570" s="29" t="s">
        <v>1444</v>
      </c>
      <c r="N570" s="28" t="s">
        <v>1461</v>
      </c>
      <c r="O570" s="32">
        <v>3627</v>
      </c>
      <c r="P570" s="56">
        <v>41253</v>
      </c>
    </row>
    <row r="571" spans="1:32" ht="12" customHeight="1">
      <c r="A571" s="25">
        <v>41250</v>
      </c>
      <c r="B571" s="225" t="s">
        <v>2001</v>
      </c>
      <c r="C571" s="219" t="s">
        <v>163</v>
      </c>
      <c r="D571" s="225" t="s">
        <v>1958</v>
      </c>
      <c r="E571" s="196">
        <v>52000183617</v>
      </c>
      <c r="F571" s="153">
        <v>100</v>
      </c>
      <c r="G571" s="153" t="s">
        <v>172</v>
      </c>
      <c r="H571" s="31">
        <v>17.57</v>
      </c>
      <c r="I571" s="27">
        <f t="shared" si="18"/>
        <v>1757</v>
      </c>
      <c r="J571" s="28" t="s">
        <v>1460</v>
      </c>
      <c r="K571" s="25">
        <v>41250</v>
      </c>
      <c r="L571" s="94">
        <v>41250</v>
      </c>
      <c r="M571" s="97" t="s">
        <v>167</v>
      </c>
      <c r="N571" s="28" t="s">
        <v>1464</v>
      </c>
      <c r="O571" s="32">
        <v>1757</v>
      </c>
      <c r="P571" s="56">
        <v>41253</v>
      </c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  <c r="AC571" s="153"/>
      <c r="AD571" s="153"/>
      <c r="AE571" s="153"/>
      <c r="AF571" s="153"/>
    </row>
    <row r="572" spans="1:32" ht="12" customHeight="1">
      <c r="A572" s="25">
        <v>41250</v>
      </c>
      <c r="B572" s="225" t="s">
        <v>1994</v>
      </c>
      <c r="C572" s="220" t="s">
        <v>7</v>
      </c>
      <c r="D572" s="95" t="s">
        <v>5040</v>
      </c>
      <c r="E572" s="196" t="s">
        <v>1455</v>
      </c>
      <c r="F572" s="153">
        <v>144</v>
      </c>
      <c r="G572" s="190" t="s">
        <v>830</v>
      </c>
      <c r="H572" s="31">
        <v>10</v>
      </c>
      <c r="I572" s="27">
        <f t="shared" si="18"/>
        <v>1440</v>
      </c>
      <c r="J572" s="28" t="s">
        <v>168</v>
      </c>
      <c r="K572" s="25">
        <v>41253</v>
      </c>
      <c r="L572" s="94">
        <v>41250</v>
      </c>
      <c r="M572" s="97" t="s">
        <v>167</v>
      </c>
      <c r="N572" s="28" t="s">
        <v>1473</v>
      </c>
      <c r="O572" s="32">
        <v>1440</v>
      </c>
      <c r="P572" s="56">
        <v>41253</v>
      </c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  <c r="AC572" s="153"/>
      <c r="AD572" s="153"/>
      <c r="AE572" s="153"/>
      <c r="AF572" s="153"/>
    </row>
    <row r="573" spans="1:32" ht="12" customHeight="1">
      <c r="A573" s="25">
        <v>41250</v>
      </c>
      <c r="B573" s="225" t="s">
        <v>2014</v>
      </c>
      <c r="C573" s="219" t="s">
        <v>163</v>
      </c>
      <c r="D573" s="225" t="s">
        <v>1721</v>
      </c>
      <c r="E573" s="196">
        <v>9010</v>
      </c>
      <c r="F573" s="153">
        <v>80</v>
      </c>
      <c r="G573" s="190" t="s">
        <v>686</v>
      </c>
      <c r="H573" s="31">
        <v>2.88</v>
      </c>
      <c r="I573" s="27">
        <f t="shared" si="18"/>
        <v>230.39999999999998</v>
      </c>
      <c r="J573" s="28" t="s">
        <v>168</v>
      </c>
      <c r="K573" s="25">
        <v>41253</v>
      </c>
      <c r="L573" s="94">
        <v>41250</v>
      </c>
      <c r="M573" s="97" t="s">
        <v>167</v>
      </c>
      <c r="N573" s="28" t="s">
        <v>1808</v>
      </c>
      <c r="O573" s="32">
        <v>10898.5</v>
      </c>
      <c r="P573" s="56">
        <v>41295</v>
      </c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  <c r="AC573" s="153"/>
      <c r="AD573" s="153"/>
      <c r="AE573" s="153"/>
      <c r="AF573" s="153"/>
    </row>
    <row r="574" spans="1:32" ht="12" customHeight="1">
      <c r="A574" s="25">
        <v>41250</v>
      </c>
      <c r="B574" s="225" t="s">
        <v>1999</v>
      </c>
      <c r="C574" s="219" t="s">
        <v>163</v>
      </c>
      <c r="D574" s="225" t="s">
        <v>627</v>
      </c>
      <c r="E574" s="196">
        <v>9132</v>
      </c>
      <c r="F574" s="152">
        <v>2100</v>
      </c>
      <c r="G574" s="152" t="s">
        <v>172</v>
      </c>
      <c r="H574" s="31">
        <v>2.64</v>
      </c>
      <c r="I574" s="27">
        <f t="shared" si="18"/>
        <v>5544</v>
      </c>
      <c r="J574" s="28" t="s">
        <v>1456</v>
      </c>
      <c r="K574" s="25">
        <v>41255</v>
      </c>
      <c r="L574" s="56">
        <v>41250</v>
      </c>
      <c r="M574" s="29" t="s">
        <v>166</v>
      </c>
      <c r="N574" s="28" t="s">
        <v>176</v>
      </c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  <c r="AD574" s="152"/>
      <c r="AE574" s="152"/>
      <c r="AF574" s="152"/>
    </row>
    <row r="575" spans="1:32" ht="12" customHeight="1">
      <c r="A575" s="25">
        <v>41250</v>
      </c>
      <c r="B575" s="225" t="s">
        <v>1989</v>
      </c>
      <c r="C575" s="219" t="s">
        <v>163</v>
      </c>
      <c r="D575" s="225" t="s">
        <v>1959</v>
      </c>
      <c r="E575" s="196">
        <v>4620</v>
      </c>
      <c r="F575" s="131">
        <v>75</v>
      </c>
      <c r="G575" s="152" t="s">
        <v>175</v>
      </c>
      <c r="H575" s="31">
        <v>17.79</v>
      </c>
      <c r="I575" s="27">
        <f t="shared" si="18"/>
        <v>1334.25</v>
      </c>
      <c r="J575" s="28" t="s">
        <v>1459</v>
      </c>
      <c r="K575" s="25">
        <v>41250</v>
      </c>
      <c r="L575" s="56">
        <v>41288</v>
      </c>
      <c r="M575" s="29" t="s">
        <v>167</v>
      </c>
      <c r="N575" s="28" t="s">
        <v>5330</v>
      </c>
      <c r="O575" s="32">
        <v>52934.25</v>
      </c>
      <c r="P575" s="56">
        <v>41333</v>
      </c>
    </row>
    <row r="576" spans="1:32" ht="12" customHeight="1">
      <c r="A576" s="25">
        <v>41253</v>
      </c>
      <c r="B576" s="225" t="s">
        <v>2015</v>
      </c>
      <c r="C576" s="219" t="s">
        <v>163</v>
      </c>
      <c r="D576" s="225" t="s">
        <v>627</v>
      </c>
      <c r="E576" s="196">
        <v>9132</v>
      </c>
      <c r="F576" s="156">
        <v>600</v>
      </c>
      <c r="G576" s="156" t="s">
        <v>172</v>
      </c>
      <c r="H576" s="31">
        <v>2.92</v>
      </c>
      <c r="I576" s="27">
        <v>1752</v>
      </c>
      <c r="J576" s="28" t="s">
        <v>168</v>
      </c>
      <c r="K576" s="25">
        <v>41255</v>
      </c>
      <c r="L576" s="56">
        <v>41253</v>
      </c>
      <c r="M576" s="97" t="s">
        <v>167</v>
      </c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</row>
    <row r="577" spans="1:32" ht="12" customHeight="1">
      <c r="A577" s="25">
        <v>41253</v>
      </c>
      <c r="B577" s="225" t="s">
        <v>1999</v>
      </c>
      <c r="C577" s="219" t="s">
        <v>163</v>
      </c>
      <c r="D577" s="225" t="s">
        <v>627</v>
      </c>
      <c r="E577" s="196">
        <v>9132</v>
      </c>
      <c r="F577" s="157">
        <v>2100</v>
      </c>
      <c r="G577" s="157" t="s">
        <v>172</v>
      </c>
      <c r="H577" s="31">
        <v>2.64</v>
      </c>
      <c r="I577" s="27">
        <f t="shared" ref="I577:I596" si="19">H577*F577</f>
        <v>5544</v>
      </c>
      <c r="J577" s="28" t="s">
        <v>168</v>
      </c>
      <c r="K577" s="25">
        <v>41256</v>
      </c>
      <c r="L577" s="56">
        <v>41253</v>
      </c>
      <c r="M577" s="97" t="s">
        <v>166</v>
      </c>
      <c r="N577" s="28" t="s">
        <v>176</v>
      </c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</row>
    <row r="578" spans="1:32" ht="12" customHeight="1">
      <c r="A578" s="25">
        <v>41254</v>
      </c>
      <c r="B578" s="225" t="s">
        <v>1993</v>
      </c>
      <c r="C578" s="219" t="s">
        <v>163</v>
      </c>
      <c r="D578" s="225" t="s">
        <v>1960</v>
      </c>
      <c r="E578" s="196" t="s">
        <v>168</v>
      </c>
      <c r="F578" s="131">
        <v>1</v>
      </c>
      <c r="G578" s="155" t="s">
        <v>1482</v>
      </c>
      <c r="H578" s="31">
        <v>7.6</v>
      </c>
      <c r="I578" s="27">
        <f t="shared" si="19"/>
        <v>7.6</v>
      </c>
      <c r="J578" s="28" t="s">
        <v>1483</v>
      </c>
      <c r="K578" s="25">
        <v>41254</v>
      </c>
      <c r="L578" s="56">
        <v>41305</v>
      </c>
      <c r="M578" s="29" t="s">
        <v>167</v>
      </c>
    </row>
    <row r="579" spans="1:32" ht="12" customHeight="1">
      <c r="A579" s="25">
        <v>41255</v>
      </c>
      <c r="B579" s="225" t="s">
        <v>2013</v>
      </c>
      <c r="C579" s="219" t="s">
        <v>1016</v>
      </c>
      <c r="D579" s="225" t="s">
        <v>1484</v>
      </c>
      <c r="E579" s="196" t="s">
        <v>1486</v>
      </c>
      <c r="F579" s="157">
        <v>1</v>
      </c>
      <c r="G579" s="179" t="s">
        <v>1018</v>
      </c>
      <c r="H579" s="31">
        <v>3862</v>
      </c>
      <c r="I579" s="27">
        <f t="shared" si="19"/>
        <v>3862</v>
      </c>
      <c r="J579" s="28" t="s">
        <v>168</v>
      </c>
      <c r="K579" s="25" t="s">
        <v>5500</v>
      </c>
      <c r="L579" s="56">
        <v>41256</v>
      </c>
      <c r="M579" s="97" t="s">
        <v>1497</v>
      </c>
      <c r="N579" s="28" t="s">
        <v>1606</v>
      </c>
      <c r="O579" s="32">
        <v>3862</v>
      </c>
      <c r="P579" s="56">
        <v>41269</v>
      </c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7"/>
      <c r="AE579" s="157"/>
      <c r="AF579" s="157"/>
    </row>
    <row r="580" spans="1:32" ht="12" customHeight="1">
      <c r="A580" s="25">
        <v>41258</v>
      </c>
      <c r="B580" s="225" t="s">
        <v>2007</v>
      </c>
      <c r="C580" s="219" t="s">
        <v>163</v>
      </c>
      <c r="D580" s="225" t="s">
        <v>1927</v>
      </c>
      <c r="E580" s="196">
        <v>82518</v>
      </c>
      <c r="F580" s="159">
        <v>6</v>
      </c>
      <c r="G580" s="159" t="s">
        <v>1498</v>
      </c>
      <c r="H580" s="31">
        <v>127</v>
      </c>
      <c r="I580" s="27">
        <f t="shared" si="19"/>
        <v>762</v>
      </c>
      <c r="J580" s="28" t="s">
        <v>1867</v>
      </c>
      <c r="K580" s="25">
        <v>41263</v>
      </c>
      <c r="L580" s="56">
        <v>41260</v>
      </c>
      <c r="M580" s="29" t="s">
        <v>1497</v>
      </c>
      <c r="N580" s="28" t="s">
        <v>1563</v>
      </c>
      <c r="O580" s="32">
        <v>38862</v>
      </c>
      <c r="P580" s="56">
        <v>41263</v>
      </c>
      <c r="Q580" s="159"/>
      <c r="R580" s="159"/>
      <c r="S580" s="159"/>
      <c r="T580" s="159"/>
      <c r="U580" s="159"/>
      <c r="V580" s="159"/>
      <c r="W580" s="159"/>
      <c r="X580" s="159"/>
      <c r="Y580" s="159"/>
      <c r="Z580" s="159"/>
      <c r="AA580" s="159"/>
      <c r="AB580" s="159"/>
      <c r="AC580" s="159"/>
      <c r="AD580" s="159"/>
      <c r="AE580" s="159"/>
      <c r="AF580" s="159"/>
    </row>
    <row r="581" spans="1:32" ht="12" customHeight="1">
      <c r="A581" s="25">
        <v>41261</v>
      </c>
      <c r="B581" s="225" t="s">
        <v>1989</v>
      </c>
      <c r="C581" s="219" t="s">
        <v>163</v>
      </c>
      <c r="D581" s="1" t="s">
        <v>1216</v>
      </c>
      <c r="E581" s="196">
        <v>3200</v>
      </c>
      <c r="F581" s="131">
        <v>60</v>
      </c>
      <c r="G581" s="158" t="s">
        <v>171</v>
      </c>
      <c r="H581" s="31">
        <v>23.94</v>
      </c>
      <c r="I581" s="27">
        <f t="shared" si="19"/>
        <v>1436.4</v>
      </c>
      <c r="J581" s="28" t="s">
        <v>1507</v>
      </c>
      <c r="K581" s="25">
        <v>41261</v>
      </c>
      <c r="L581" s="56">
        <v>41288</v>
      </c>
      <c r="M581" s="29" t="s">
        <v>167</v>
      </c>
      <c r="N581" s="28" t="s">
        <v>5330</v>
      </c>
      <c r="O581" s="32">
        <v>52934.25</v>
      </c>
      <c r="P581" s="56">
        <v>41333</v>
      </c>
    </row>
    <row r="582" spans="1:32" ht="12" customHeight="1">
      <c r="A582" s="25">
        <v>41261</v>
      </c>
      <c r="B582" s="225" t="s">
        <v>1989</v>
      </c>
      <c r="C582" s="219" t="s">
        <v>163</v>
      </c>
      <c r="D582" s="225" t="s">
        <v>233</v>
      </c>
      <c r="E582" s="196" t="s">
        <v>1506</v>
      </c>
      <c r="F582" s="205">
        <v>500</v>
      </c>
      <c r="G582" s="158" t="s">
        <v>1504</v>
      </c>
      <c r="H582" s="31">
        <v>1.54</v>
      </c>
      <c r="I582" s="27">
        <f t="shared" si="19"/>
        <v>770</v>
      </c>
      <c r="J582" s="28" t="s">
        <v>1507</v>
      </c>
      <c r="K582" s="25">
        <v>41261</v>
      </c>
      <c r="L582" s="56">
        <v>41288</v>
      </c>
      <c r="M582" s="29" t="s">
        <v>167</v>
      </c>
      <c r="N582" s="28" t="s">
        <v>5330</v>
      </c>
      <c r="O582" s="32">
        <v>52934.25</v>
      </c>
      <c r="P582" s="56">
        <v>41333</v>
      </c>
    </row>
    <row r="583" spans="1:32" ht="12" customHeight="1">
      <c r="A583" s="25">
        <v>41261</v>
      </c>
      <c r="B583" s="225" t="s">
        <v>1989</v>
      </c>
      <c r="C583" s="219" t="s">
        <v>163</v>
      </c>
      <c r="D583" s="225" t="s">
        <v>307</v>
      </c>
      <c r="E583" s="196">
        <v>1270</v>
      </c>
      <c r="F583" s="131">
        <v>100</v>
      </c>
      <c r="G583" s="190" t="s">
        <v>240</v>
      </c>
      <c r="H583" s="31">
        <v>4.3099999999999996</v>
      </c>
      <c r="I583" s="27">
        <f t="shared" si="19"/>
        <v>430.99999999999994</v>
      </c>
      <c r="J583" s="28" t="s">
        <v>1507</v>
      </c>
      <c r="K583" s="25">
        <v>41261</v>
      </c>
      <c r="L583" s="56">
        <v>41288</v>
      </c>
      <c r="M583" s="29" t="s">
        <v>167</v>
      </c>
      <c r="N583" s="28" t="s">
        <v>5330</v>
      </c>
      <c r="O583" s="32">
        <v>52934.25</v>
      </c>
      <c r="P583" s="56">
        <v>41333</v>
      </c>
    </row>
    <row r="584" spans="1:32" ht="12" customHeight="1">
      <c r="A584" s="25">
        <v>41261</v>
      </c>
      <c r="B584" s="225" t="s">
        <v>1994</v>
      </c>
      <c r="C584" s="219" t="s">
        <v>163</v>
      </c>
      <c r="D584" s="225" t="s">
        <v>271</v>
      </c>
      <c r="E584" s="196">
        <v>7501</v>
      </c>
      <c r="F584" s="158">
        <v>10</v>
      </c>
      <c r="G584" s="158" t="s">
        <v>1503</v>
      </c>
      <c r="H584" s="31">
        <v>112</v>
      </c>
      <c r="I584" s="27">
        <f t="shared" si="19"/>
        <v>1120</v>
      </c>
      <c r="J584" s="28" t="s">
        <v>168</v>
      </c>
      <c r="K584" s="25">
        <v>41261</v>
      </c>
      <c r="L584" s="56">
        <v>41261</v>
      </c>
      <c r="M584" s="97" t="s">
        <v>167</v>
      </c>
      <c r="N584" s="28" t="s">
        <v>1508</v>
      </c>
      <c r="O584" s="32">
        <v>5044.6499999999996</v>
      </c>
      <c r="P584" s="56">
        <v>41261</v>
      </c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  <c r="AA584" s="158"/>
      <c r="AB584" s="158"/>
      <c r="AC584" s="158"/>
      <c r="AD584" s="158"/>
      <c r="AE584" s="158"/>
      <c r="AF584" s="158"/>
    </row>
    <row r="585" spans="1:32" ht="12" customHeight="1">
      <c r="A585" s="25">
        <v>41261</v>
      </c>
      <c r="B585" s="225" t="s">
        <v>1994</v>
      </c>
      <c r="C585" s="219" t="s">
        <v>163</v>
      </c>
      <c r="D585" s="225" t="s">
        <v>352</v>
      </c>
      <c r="E585" s="196">
        <v>7502</v>
      </c>
      <c r="F585" s="158">
        <v>10</v>
      </c>
      <c r="G585" s="158" t="s">
        <v>1503</v>
      </c>
      <c r="H585" s="31">
        <v>105</v>
      </c>
      <c r="I585" s="27">
        <f t="shared" si="19"/>
        <v>1050</v>
      </c>
      <c r="J585" s="28" t="s">
        <v>168</v>
      </c>
      <c r="K585" s="25">
        <v>41261</v>
      </c>
      <c r="L585" s="56">
        <v>41261</v>
      </c>
      <c r="M585" s="97" t="s">
        <v>167</v>
      </c>
      <c r="N585" s="28" t="s">
        <v>1508</v>
      </c>
      <c r="O585" s="32">
        <v>5044.6499999999996</v>
      </c>
      <c r="P585" s="56">
        <v>41261</v>
      </c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  <c r="AA585" s="158"/>
      <c r="AB585" s="158"/>
      <c r="AC585" s="158"/>
      <c r="AD585" s="158"/>
      <c r="AE585" s="158"/>
      <c r="AF585" s="158"/>
    </row>
    <row r="586" spans="1:32" ht="12" customHeight="1">
      <c r="A586" s="25">
        <v>41261</v>
      </c>
      <c r="B586" s="225" t="s">
        <v>1994</v>
      </c>
      <c r="C586" s="219" t="s">
        <v>163</v>
      </c>
      <c r="D586" s="1" t="s">
        <v>1880</v>
      </c>
      <c r="E586" s="196">
        <v>6006</v>
      </c>
      <c r="F586" s="158">
        <v>20</v>
      </c>
      <c r="G586" s="158" t="s">
        <v>1503</v>
      </c>
      <c r="H586" s="31">
        <v>49.5</v>
      </c>
      <c r="I586" s="27">
        <f t="shared" si="19"/>
        <v>990</v>
      </c>
      <c r="J586" s="28" t="s">
        <v>168</v>
      </c>
      <c r="K586" s="25">
        <v>41261</v>
      </c>
      <c r="L586" s="56">
        <v>41261</v>
      </c>
      <c r="M586" s="97" t="s">
        <v>167</v>
      </c>
      <c r="N586" s="28" t="s">
        <v>1508</v>
      </c>
      <c r="O586" s="32">
        <v>5044.6499999999996</v>
      </c>
      <c r="P586" s="56">
        <v>41261</v>
      </c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  <c r="AA586" s="158"/>
      <c r="AB586" s="158"/>
      <c r="AC586" s="158"/>
      <c r="AD586" s="158"/>
      <c r="AE586" s="158"/>
      <c r="AF586" s="158"/>
    </row>
    <row r="587" spans="1:32" ht="12" customHeight="1">
      <c r="A587" s="25">
        <v>41261</v>
      </c>
      <c r="B587" s="225" t="s">
        <v>1994</v>
      </c>
      <c r="C587" s="220" t="s">
        <v>7</v>
      </c>
      <c r="D587" s="1" t="s">
        <v>1961</v>
      </c>
      <c r="E587" s="196" t="s">
        <v>1502</v>
      </c>
      <c r="F587" s="158">
        <v>25</v>
      </c>
      <c r="G587" s="158" t="s">
        <v>1505</v>
      </c>
      <c r="H587" s="31">
        <v>5.69</v>
      </c>
      <c r="I587" s="27">
        <f t="shared" si="19"/>
        <v>142.25</v>
      </c>
      <c r="J587" s="28" t="s">
        <v>168</v>
      </c>
      <c r="K587" s="25">
        <v>41261</v>
      </c>
      <c r="L587" s="56">
        <v>41261</v>
      </c>
      <c r="M587" s="97" t="s">
        <v>167</v>
      </c>
      <c r="N587" s="28" t="s">
        <v>1508</v>
      </c>
      <c r="O587" s="32">
        <v>5044.6499999999996</v>
      </c>
      <c r="P587" s="56">
        <v>41261</v>
      </c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  <c r="AA587" s="158"/>
      <c r="AB587" s="158"/>
      <c r="AC587" s="158"/>
      <c r="AD587" s="158"/>
      <c r="AE587" s="158"/>
      <c r="AF587" s="158"/>
    </row>
    <row r="588" spans="1:32" ht="12" customHeight="1">
      <c r="A588" s="25">
        <v>41261</v>
      </c>
      <c r="B588" s="225" t="s">
        <v>1994</v>
      </c>
      <c r="C588" s="219" t="s">
        <v>163</v>
      </c>
      <c r="D588" s="225" t="s">
        <v>1883</v>
      </c>
      <c r="E588" s="196">
        <v>8210</v>
      </c>
      <c r="F588" s="158">
        <v>480</v>
      </c>
      <c r="G588" s="158" t="s">
        <v>1504</v>
      </c>
      <c r="H588" s="31">
        <v>3.63</v>
      </c>
      <c r="I588" s="27">
        <f t="shared" si="19"/>
        <v>1742.3999999999999</v>
      </c>
      <c r="J588" s="28" t="s">
        <v>168</v>
      </c>
      <c r="K588" s="25">
        <v>41261</v>
      </c>
      <c r="L588" s="56">
        <v>41261</v>
      </c>
      <c r="M588" s="97" t="s">
        <v>167</v>
      </c>
      <c r="N588" s="28" t="s">
        <v>1508</v>
      </c>
      <c r="O588" s="32">
        <v>5044.6499999999996</v>
      </c>
      <c r="P588" s="56">
        <v>41261</v>
      </c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  <c r="AA588" s="158"/>
      <c r="AB588" s="158"/>
      <c r="AC588" s="158"/>
      <c r="AD588" s="158"/>
      <c r="AE588" s="158"/>
      <c r="AF588" s="158"/>
    </row>
    <row r="589" spans="1:32" ht="12" customHeight="1">
      <c r="A589" s="25">
        <v>41262</v>
      </c>
      <c r="B589" s="225" t="s">
        <v>1995</v>
      </c>
      <c r="C589" s="219" t="s">
        <v>163</v>
      </c>
      <c r="D589" s="225" t="s">
        <v>1725</v>
      </c>
      <c r="E589" s="196">
        <v>8576</v>
      </c>
      <c r="F589" s="176">
        <v>80</v>
      </c>
      <c r="G589" s="176" t="s">
        <v>172</v>
      </c>
      <c r="H589" s="31">
        <v>28.5</v>
      </c>
      <c r="I589" s="27">
        <f t="shared" si="19"/>
        <v>2280</v>
      </c>
      <c r="J589" s="28" t="s">
        <v>1585</v>
      </c>
      <c r="K589" s="25">
        <v>41267</v>
      </c>
      <c r="L589" s="56">
        <v>41262</v>
      </c>
      <c r="M589" s="29" t="s">
        <v>167</v>
      </c>
      <c r="N589" s="28" t="s">
        <v>1697</v>
      </c>
      <c r="O589" s="32">
        <v>4780</v>
      </c>
      <c r="P589" s="56">
        <v>41279</v>
      </c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</row>
    <row r="590" spans="1:32" ht="12" customHeight="1">
      <c r="A590" s="25">
        <v>41262</v>
      </c>
      <c r="B590" s="225" t="s">
        <v>1995</v>
      </c>
      <c r="C590" s="219" t="s">
        <v>163</v>
      </c>
      <c r="D590" s="1" t="s">
        <v>1219</v>
      </c>
      <c r="E590" s="196" t="s">
        <v>1511</v>
      </c>
      <c r="F590" s="176">
        <v>200</v>
      </c>
      <c r="G590" s="176" t="s">
        <v>173</v>
      </c>
      <c r="H590" s="31">
        <v>12.5</v>
      </c>
      <c r="I590" s="27">
        <f t="shared" si="19"/>
        <v>2500</v>
      </c>
      <c r="J590" s="28" t="s">
        <v>1585</v>
      </c>
      <c r="K590" s="25">
        <v>41267</v>
      </c>
      <c r="L590" s="56">
        <v>41262</v>
      </c>
      <c r="M590" s="29" t="s">
        <v>167</v>
      </c>
      <c r="N590" s="28" t="s">
        <v>1697</v>
      </c>
      <c r="O590" s="32">
        <v>4780</v>
      </c>
      <c r="P590" s="56">
        <v>41279</v>
      </c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</row>
    <row r="591" spans="1:32" ht="12" customHeight="1">
      <c r="A591" s="25">
        <v>41262</v>
      </c>
      <c r="B591" s="225" t="s">
        <v>2016</v>
      </c>
      <c r="C591" s="219" t="s">
        <v>1512</v>
      </c>
      <c r="D591" s="225" t="s">
        <v>1962</v>
      </c>
      <c r="E591" s="196" t="s">
        <v>1513</v>
      </c>
      <c r="F591" s="161">
        <v>1</v>
      </c>
      <c r="G591" s="161" t="s">
        <v>171</v>
      </c>
      <c r="H591" s="31">
        <v>85</v>
      </c>
      <c r="I591" s="27">
        <f t="shared" si="19"/>
        <v>85</v>
      </c>
      <c r="J591" s="28" t="s">
        <v>168</v>
      </c>
      <c r="K591" s="25">
        <v>41263</v>
      </c>
      <c r="L591" s="56">
        <v>41262</v>
      </c>
      <c r="M591" s="29" t="s">
        <v>166</v>
      </c>
      <c r="N591" s="28" t="s">
        <v>1691</v>
      </c>
      <c r="O591" s="32">
        <v>6035</v>
      </c>
      <c r="P591" s="56">
        <v>41280</v>
      </c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  <c r="AE591" s="161"/>
      <c r="AF591" s="161"/>
    </row>
    <row r="592" spans="1:32" ht="12" customHeight="1">
      <c r="A592" s="25">
        <v>41263</v>
      </c>
      <c r="B592" s="225" t="s">
        <v>1989</v>
      </c>
      <c r="C592" s="219" t="s">
        <v>163</v>
      </c>
      <c r="D592" s="225" t="s">
        <v>1963</v>
      </c>
      <c r="E592" s="196">
        <v>1621</v>
      </c>
      <c r="F592" s="159">
        <v>4</v>
      </c>
      <c r="G592" s="159" t="s">
        <v>1555</v>
      </c>
      <c r="H592" s="31">
        <v>8.84</v>
      </c>
      <c r="I592" s="27">
        <f t="shared" si="19"/>
        <v>35.36</v>
      </c>
      <c r="J592" s="28" t="s">
        <v>1556</v>
      </c>
      <c r="K592" s="25">
        <v>41263</v>
      </c>
      <c r="L592" s="56">
        <v>41288</v>
      </c>
      <c r="M592" s="29" t="s">
        <v>167</v>
      </c>
      <c r="N592" s="28" t="s">
        <v>5330</v>
      </c>
      <c r="O592" s="32">
        <v>52934.25</v>
      </c>
      <c r="P592" s="56">
        <v>41333</v>
      </c>
      <c r="Q592" s="159"/>
      <c r="R592" s="159"/>
      <c r="S592" s="159"/>
      <c r="T592" s="159"/>
      <c r="U592" s="159"/>
      <c r="V592" s="159"/>
      <c r="W592" s="159"/>
      <c r="X592" s="159"/>
      <c r="Y592" s="159"/>
      <c r="Z592" s="159"/>
      <c r="AA592" s="159"/>
      <c r="AB592" s="159"/>
      <c r="AC592" s="159"/>
      <c r="AD592" s="159"/>
      <c r="AE592" s="159"/>
      <c r="AF592" s="159"/>
    </row>
    <row r="593" spans="1:32" ht="12" customHeight="1">
      <c r="A593" s="25">
        <v>41263</v>
      </c>
      <c r="B593" s="225" t="s">
        <v>1989</v>
      </c>
      <c r="C593" s="219" t="s">
        <v>163</v>
      </c>
      <c r="D593" s="225" t="s">
        <v>1963</v>
      </c>
      <c r="E593" s="196">
        <v>1621</v>
      </c>
      <c r="F593" s="161">
        <v>23</v>
      </c>
      <c r="G593" s="161" t="s">
        <v>173</v>
      </c>
      <c r="H593" s="31">
        <v>8.84</v>
      </c>
      <c r="I593" s="27">
        <f t="shared" si="19"/>
        <v>203.32</v>
      </c>
      <c r="J593" s="28" t="s">
        <v>1582</v>
      </c>
      <c r="K593" s="25">
        <v>41263</v>
      </c>
      <c r="L593" s="56">
        <v>41288</v>
      </c>
      <c r="M593" s="29" t="s">
        <v>167</v>
      </c>
      <c r="N593" s="28" t="s">
        <v>5330</v>
      </c>
      <c r="O593" s="32">
        <v>52934.25</v>
      </c>
      <c r="P593" s="56">
        <v>41333</v>
      </c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  <c r="AE593" s="161"/>
      <c r="AF593" s="161"/>
    </row>
    <row r="594" spans="1:32" ht="12" customHeight="1">
      <c r="A594" s="25">
        <v>41263</v>
      </c>
      <c r="B594" s="225" t="s">
        <v>2017</v>
      </c>
      <c r="C594" s="219" t="s">
        <v>163</v>
      </c>
      <c r="D594" s="225" t="s">
        <v>1964</v>
      </c>
      <c r="E594" s="196" t="s">
        <v>1557</v>
      </c>
      <c r="F594" s="176">
        <v>2</v>
      </c>
      <c r="G594" s="176" t="s">
        <v>171</v>
      </c>
      <c r="H594" s="31">
        <v>781</v>
      </c>
      <c r="I594" s="27">
        <f t="shared" si="19"/>
        <v>1562</v>
      </c>
      <c r="J594" s="28" t="s">
        <v>168</v>
      </c>
      <c r="K594" s="25">
        <v>41267</v>
      </c>
      <c r="L594" s="56">
        <v>41263</v>
      </c>
      <c r="M594" s="29" t="s">
        <v>167</v>
      </c>
      <c r="N594" s="28" t="s">
        <v>1636</v>
      </c>
      <c r="O594" s="32">
        <v>5012</v>
      </c>
      <c r="P594" s="56">
        <v>41271</v>
      </c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</row>
    <row r="595" spans="1:32" ht="12" customHeight="1">
      <c r="A595" s="25">
        <v>41263</v>
      </c>
      <c r="B595" s="225" t="s">
        <v>2017</v>
      </c>
      <c r="C595" s="219" t="s">
        <v>163</v>
      </c>
      <c r="D595" s="225" t="s">
        <v>1965</v>
      </c>
      <c r="E595" s="196" t="s">
        <v>1558</v>
      </c>
      <c r="F595" s="176">
        <v>2</v>
      </c>
      <c r="G595" s="176" t="s">
        <v>171</v>
      </c>
      <c r="H595" s="31">
        <v>378</v>
      </c>
      <c r="I595" s="27">
        <f t="shared" si="19"/>
        <v>756</v>
      </c>
      <c r="J595" s="28" t="s">
        <v>168</v>
      </c>
      <c r="K595" s="25">
        <v>41267</v>
      </c>
      <c r="L595" s="56">
        <v>41263</v>
      </c>
      <c r="M595" s="29" t="s">
        <v>167</v>
      </c>
      <c r="N595" s="28" t="s">
        <v>1636</v>
      </c>
      <c r="O595" s="32">
        <v>5012</v>
      </c>
      <c r="P595" s="56">
        <v>41271</v>
      </c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</row>
    <row r="596" spans="1:32" ht="12" customHeight="1">
      <c r="A596" s="25">
        <v>41263</v>
      </c>
      <c r="B596" s="225" t="s">
        <v>2017</v>
      </c>
      <c r="C596" s="219" t="s">
        <v>163</v>
      </c>
      <c r="D596" s="225" t="s">
        <v>1966</v>
      </c>
      <c r="E596" s="196" t="s">
        <v>1559</v>
      </c>
      <c r="F596" s="176">
        <v>2</v>
      </c>
      <c r="G596" s="176" t="s">
        <v>171</v>
      </c>
      <c r="H596" s="31">
        <v>1347</v>
      </c>
      <c r="I596" s="27">
        <f t="shared" si="19"/>
        <v>2694</v>
      </c>
      <c r="J596" s="28" t="s">
        <v>168</v>
      </c>
      <c r="K596" s="25">
        <v>41267</v>
      </c>
      <c r="L596" s="56">
        <v>41263</v>
      </c>
      <c r="M596" s="29" t="s">
        <v>167</v>
      </c>
      <c r="N596" s="28" t="s">
        <v>1636</v>
      </c>
      <c r="O596" s="32">
        <v>5012</v>
      </c>
      <c r="P596" s="56">
        <v>41271</v>
      </c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</row>
    <row r="597" spans="1:32" ht="12" customHeight="1">
      <c r="A597" s="25">
        <v>41263</v>
      </c>
      <c r="B597" s="225" t="s">
        <v>2018</v>
      </c>
      <c r="C597" s="219" t="s">
        <v>163</v>
      </c>
      <c r="D597" s="225" t="s">
        <v>1886</v>
      </c>
      <c r="E597" s="196">
        <v>4941</v>
      </c>
      <c r="F597" s="160" t="s">
        <v>1560</v>
      </c>
      <c r="G597" s="160" t="s">
        <v>194</v>
      </c>
      <c r="H597" s="31">
        <v>359</v>
      </c>
      <c r="I597" s="27">
        <f>H597*5*0.8</f>
        <v>1436</v>
      </c>
      <c r="J597" s="28" t="s">
        <v>168</v>
      </c>
      <c r="K597" s="25">
        <v>41263</v>
      </c>
      <c r="L597" s="56">
        <v>41263</v>
      </c>
      <c r="M597" s="29" t="s">
        <v>169</v>
      </c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60"/>
      <c r="AD597" s="160"/>
      <c r="AE597" s="160"/>
      <c r="AF597" s="160"/>
    </row>
    <row r="598" spans="1:32" ht="12" customHeight="1">
      <c r="A598" s="25">
        <v>41264</v>
      </c>
      <c r="B598" s="225" t="s">
        <v>1995</v>
      </c>
      <c r="C598" s="219" t="s">
        <v>163</v>
      </c>
      <c r="D598" s="1" t="s">
        <v>1219</v>
      </c>
      <c r="E598" s="196" t="s">
        <v>179</v>
      </c>
      <c r="F598" s="180">
        <v>200</v>
      </c>
      <c r="G598" s="180" t="s">
        <v>173</v>
      </c>
      <c r="H598" s="31">
        <v>12.5</v>
      </c>
      <c r="I598" s="27">
        <f>F598*H598</f>
        <v>2500</v>
      </c>
      <c r="J598" s="28" t="s">
        <v>168</v>
      </c>
      <c r="K598" s="25">
        <v>41270</v>
      </c>
      <c r="L598" s="56">
        <v>41264</v>
      </c>
      <c r="M598" s="29" t="s">
        <v>167</v>
      </c>
      <c r="N598" s="28" t="s">
        <v>1698</v>
      </c>
      <c r="O598" s="32">
        <v>2632</v>
      </c>
      <c r="P598" s="56">
        <v>41279</v>
      </c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  <c r="AB598" s="180"/>
      <c r="AC598" s="180"/>
      <c r="AD598" s="180"/>
      <c r="AE598" s="180"/>
      <c r="AF598" s="180"/>
    </row>
    <row r="599" spans="1:32" ht="12" customHeight="1">
      <c r="A599" s="25">
        <v>41264</v>
      </c>
      <c r="B599" s="225" t="s">
        <v>1995</v>
      </c>
      <c r="C599" s="219" t="s">
        <v>163</v>
      </c>
      <c r="D599" s="225" t="s">
        <v>1967</v>
      </c>
      <c r="E599" s="196">
        <v>4515</v>
      </c>
      <c r="F599" s="180">
        <v>10</v>
      </c>
      <c r="G599" s="180" t="s">
        <v>175</v>
      </c>
      <c r="H599" s="31">
        <v>13.2</v>
      </c>
      <c r="I599" s="27">
        <f>F599*H599</f>
        <v>132</v>
      </c>
      <c r="J599" s="28" t="s">
        <v>168</v>
      </c>
      <c r="K599" s="25">
        <v>41270</v>
      </c>
      <c r="L599" s="56">
        <v>41264</v>
      </c>
      <c r="M599" s="29" t="s">
        <v>167</v>
      </c>
      <c r="N599" s="28" t="s">
        <v>1698</v>
      </c>
      <c r="O599" s="32">
        <v>2632</v>
      </c>
      <c r="P599" s="56">
        <v>41279</v>
      </c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  <c r="AB599" s="180"/>
      <c r="AC599" s="180"/>
      <c r="AD599" s="180"/>
      <c r="AE599" s="180"/>
      <c r="AF599" s="180"/>
    </row>
    <row r="600" spans="1:32" ht="12" customHeight="1">
      <c r="A600" s="25">
        <v>41264</v>
      </c>
      <c r="B600" s="225" t="s">
        <v>1999</v>
      </c>
      <c r="C600" s="219" t="s">
        <v>163</v>
      </c>
      <c r="D600" s="225" t="s">
        <v>1887</v>
      </c>
      <c r="E600" s="225" t="s">
        <v>1874</v>
      </c>
      <c r="F600" s="188">
        <v>100</v>
      </c>
      <c r="G600" s="188" t="s">
        <v>172</v>
      </c>
      <c r="H600" s="31">
        <v>8.7200000000000006</v>
      </c>
      <c r="I600" s="27">
        <f>H600*F600</f>
        <v>872.00000000000011</v>
      </c>
      <c r="J600" s="28" t="s">
        <v>1701</v>
      </c>
      <c r="K600" s="25">
        <v>41271</v>
      </c>
      <c r="L600" s="56">
        <v>41267</v>
      </c>
      <c r="M600" s="29" t="s">
        <v>167</v>
      </c>
      <c r="N600" s="28" t="s">
        <v>1837</v>
      </c>
      <c r="O600" s="32">
        <v>27144</v>
      </c>
      <c r="P600" s="56">
        <v>41297</v>
      </c>
      <c r="Q600" s="188"/>
      <c r="R600" s="188"/>
      <c r="S600" s="188"/>
      <c r="T600" s="188"/>
      <c r="U600" s="188"/>
      <c r="V600" s="188"/>
      <c r="W600" s="188"/>
      <c r="X600" s="188"/>
      <c r="Y600" s="188"/>
      <c r="Z600" s="188"/>
      <c r="AA600" s="188"/>
      <c r="AB600" s="188"/>
      <c r="AC600" s="188"/>
      <c r="AD600" s="188"/>
      <c r="AE600" s="188"/>
      <c r="AF600" s="188"/>
    </row>
    <row r="601" spans="1:32" ht="12" customHeight="1">
      <c r="A601" s="25">
        <v>41264</v>
      </c>
      <c r="B601" s="225" t="s">
        <v>1989</v>
      </c>
      <c r="C601" s="219" t="s">
        <v>163</v>
      </c>
      <c r="D601" s="225" t="s">
        <v>1959</v>
      </c>
      <c r="E601" s="196">
        <v>4620</v>
      </c>
      <c r="F601" s="161">
        <v>10</v>
      </c>
      <c r="G601" s="161" t="s">
        <v>175</v>
      </c>
      <c r="H601" s="31">
        <v>17.79</v>
      </c>
      <c r="I601" s="27">
        <f>F601*H601</f>
        <v>177.89999999999998</v>
      </c>
      <c r="J601" s="28" t="s">
        <v>1584</v>
      </c>
      <c r="K601" s="25">
        <v>41264</v>
      </c>
      <c r="L601" s="56">
        <v>41288</v>
      </c>
      <c r="M601" s="29" t="s">
        <v>167</v>
      </c>
      <c r="N601" s="28" t="s">
        <v>5330</v>
      </c>
      <c r="O601" s="32">
        <v>52934.25</v>
      </c>
      <c r="P601" s="56">
        <v>41333</v>
      </c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  <c r="AE601" s="161"/>
      <c r="AF601" s="161"/>
    </row>
    <row r="602" spans="1:32" ht="12" customHeight="1">
      <c r="A602" s="25">
        <v>41264</v>
      </c>
      <c r="B602" s="228" t="s">
        <v>2010</v>
      </c>
      <c r="C602" s="219" t="s">
        <v>163</v>
      </c>
      <c r="D602" s="5" t="s">
        <v>1968</v>
      </c>
      <c r="E602" s="196" t="s">
        <v>1537</v>
      </c>
      <c r="F602" s="131">
        <v>200</v>
      </c>
      <c r="G602" s="161" t="s">
        <v>173</v>
      </c>
      <c r="H602" s="31">
        <v>10</v>
      </c>
      <c r="I602" s="27">
        <f>F602*H602</f>
        <v>2000</v>
      </c>
      <c r="J602" s="28" t="s">
        <v>168</v>
      </c>
      <c r="K602" s="25">
        <v>41264</v>
      </c>
      <c r="L602" s="56">
        <v>41261</v>
      </c>
      <c r="M602" s="29" t="s">
        <v>167</v>
      </c>
      <c r="N602" s="28" t="s">
        <v>1714</v>
      </c>
      <c r="O602" s="32">
        <v>16445.5</v>
      </c>
      <c r="P602" s="56">
        <v>41284</v>
      </c>
      <c r="R602" s="189" t="s">
        <v>1715</v>
      </c>
    </row>
    <row r="603" spans="1:32" ht="12" customHeight="1">
      <c r="A603" s="25">
        <v>41267</v>
      </c>
      <c r="B603" s="225" t="s">
        <v>1989</v>
      </c>
      <c r="C603" s="219" t="s">
        <v>163</v>
      </c>
      <c r="D603" s="225" t="s">
        <v>1944</v>
      </c>
      <c r="E603" s="196">
        <v>3700</v>
      </c>
      <c r="F603" s="178">
        <v>100</v>
      </c>
      <c r="G603" s="178" t="s">
        <v>686</v>
      </c>
      <c r="H603" s="31">
        <v>3.09</v>
      </c>
      <c r="I603" s="27">
        <f>H603*F603</f>
        <v>309</v>
      </c>
      <c r="J603" s="28" t="s">
        <v>1597</v>
      </c>
      <c r="K603" s="25">
        <v>41267</v>
      </c>
      <c r="L603" s="56">
        <v>41288</v>
      </c>
      <c r="M603" s="29" t="s">
        <v>167</v>
      </c>
      <c r="N603" s="28" t="s">
        <v>5330</v>
      </c>
      <c r="O603" s="32">
        <v>52934.25</v>
      </c>
      <c r="P603" s="56">
        <v>41333</v>
      </c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</row>
    <row r="604" spans="1:32" ht="12" customHeight="1">
      <c r="A604" s="25">
        <v>41268</v>
      </c>
      <c r="B604" s="225" t="s">
        <v>1991</v>
      </c>
      <c r="C604" s="219" t="s">
        <v>165</v>
      </c>
      <c r="D604" s="225" t="s">
        <v>289</v>
      </c>
      <c r="E604" s="196">
        <v>10434</v>
      </c>
      <c r="F604" s="131">
        <v>100</v>
      </c>
      <c r="G604" s="178" t="s">
        <v>1596</v>
      </c>
      <c r="H604" s="31">
        <v>13.8</v>
      </c>
      <c r="I604" s="27">
        <f t="shared" ref="I604:I615" si="20">F604*H604</f>
        <v>1380</v>
      </c>
      <c r="J604" s="28" t="s">
        <v>1594</v>
      </c>
      <c r="K604" s="25">
        <v>41268</v>
      </c>
      <c r="L604" s="56">
        <v>41268</v>
      </c>
      <c r="M604" s="29" t="s">
        <v>1593</v>
      </c>
      <c r="N604" s="28" t="s">
        <v>1595</v>
      </c>
      <c r="O604" s="32">
        <v>3090.5</v>
      </c>
      <c r="P604" s="56">
        <v>41268</v>
      </c>
    </row>
    <row r="605" spans="1:32" ht="12" customHeight="1">
      <c r="A605" s="25">
        <v>41268</v>
      </c>
      <c r="B605" s="225" t="s">
        <v>1989</v>
      </c>
      <c r="C605" s="219" t="s">
        <v>163</v>
      </c>
      <c r="D605" s="225" t="s">
        <v>307</v>
      </c>
      <c r="E605" s="196">
        <v>1270</v>
      </c>
      <c r="F605" s="131">
        <v>20</v>
      </c>
      <c r="G605" s="190" t="s">
        <v>240</v>
      </c>
      <c r="H605" s="31">
        <v>4.3099999999999996</v>
      </c>
      <c r="I605" s="27">
        <f t="shared" si="20"/>
        <v>86.199999999999989</v>
      </c>
      <c r="J605" s="28" t="s">
        <v>1598</v>
      </c>
      <c r="K605" s="25">
        <v>41268</v>
      </c>
      <c r="L605" s="56">
        <v>41288</v>
      </c>
      <c r="M605" s="29" t="s">
        <v>167</v>
      </c>
      <c r="N605" s="28" t="s">
        <v>5330</v>
      </c>
      <c r="O605" s="32">
        <v>52934.25</v>
      </c>
      <c r="P605" s="56">
        <v>41333</v>
      </c>
    </row>
    <row r="606" spans="1:32" ht="12" customHeight="1">
      <c r="A606" s="25">
        <v>41268</v>
      </c>
      <c r="B606" s="225" t="s">
        <v>1993</v>
      </c>
      <c r="C606" s="219" t="s">
        <v>163</v>
      </c>
      <c r="D606" s="225" t="s">
        <v>1969</v>
      </c>
      <c r="E606" s="196" t="s">
        <v>168</v>
      </c>
      <c r="F606" s="131">
        <v>1</v>
      </c>
      <c r="G606" s="178" t="s">
        <v>1599</v>
      </c>
      <c r="H606" s="31">
        <v>7</v>
      </c>
      <c r="I606" s="27">
        <f t="shared" si="20"/>
        <v>7</v>
      </c>
      <c r="J606" s="28" t="s">
        <v>1600</v>
      </c>
      <c r="K606" s="25">
        <v>41268</v>
      </c>
      <c r="L606" s="56" t="s">
        <v>1756</v>
      </c>
      <c r="M606" s="56" t="s">
        <v>1573</v>
      </c>
      <c r="N606" s="28" t="s">
        <v>1573</v>
      </c>
      <c r="Q606" s="180"/>
    </row>
    <row r="607" spans="1:32" ht="12" customHeight="1">
      <c r="A607" s="25">
        <v>41268</v>
      </c>
      <c r="B607" s="225" t="s">
        <v>1993</v>
      </c>
      <c r="C607" s="219" t="s">
        <v>163</v>
      </c>
      <c r="D607" s="225" t="s">
        <v>1970</v>
      </c>
      <c r="E607" s="196" t="s">
        <v>168</v>
      </c>
      <c r="F607" s="131">
        <v>1</v>
      </c>
      <c r="G607" s="178" t="s">
        <v>1599</v>
      </c>
      <c r="H607" s="31">
        <v>3.5</v>
      </c>
      <c r="I607" s="27">
        <f t="shared" si="20"/>
        <v>3.5</v>
      </c>
      <c r="J607" s="28" t="s">
        <v>1600</v>
      </c>
      <c r="K607" s="25">
        <v>41268</v>
      </c>
      <c r="L607" s="56" t="s">
        <v>1756</v>
      </c>
      <c r="M607" s="56" t="s">
        <v>1573</v>
      </c>
      <c r="N607" s="28" t="s">
        <v>1573</v>
      </c>
      <c r="Q607" s="180"/>
    </row>
    <row r="608" spans="1:32" ht="12" customHeight="1">
      <c r="A608" s="25">
        <v>41268</v>
      </c>
      <c r="B608" s="225" t="s">
        <v>1993</v>
      </c>
      <c r="C608" s="219" t="s">
        <v>163</v>
      </c>
      <c r="D608" s="225" t="s">
        <v>1971</v>
      </c>
      <c r="E608" s="196" t="s">
        <v>168</v>
      </c>
      <c r="F608" s="131">
        <v>1</v>
      </c>
      <c r="G608" s="178" t="s">
        <v>1599</v>
      </c>
      <c r="H608" s="31">
        <v>3.5</v>
      </c>
      <c r="I608" s="27">
        <f t="shared" si="20"/>
        <v>3.5</v>
      </c>
      <c r="J608" s="28" t="s">
        <v>1600</v>
      </c>
      <c r="K608" s="25">
        <v>41268</v>
      </c>
      <c r="L608" s="56" t="s">
        <v>1756</v>
      </c>
      <c r="M608" s="56" t="s">
        <v>1573</v>
      </c>
      <c r="N608" s="28" t="s">
        <v>1573</v>
      </c>
      <c r="Q608" s="180"/>
    </row>
    <row r="609" spans="1:32" ht="12" customHeight="1">
      <c r="A609" s="25">
        <v>41268</v>
      </c>
      <c r="B609" s="225" t="s">
        <v>1993</v>
      </c>
      <c r="C609" s="219" t="s">
        <v>163</v>
      </c>
      <c r="D609" s="225" t="s">
        <v>1972</v>
      </c>
      <c r="E609" s="196" t="s">
        <v>168</v>
      </c>
      <c r="F609" s="185">
        <v>1</v>
      </c>
      <c r="G609" s="185" t="s">
        <v>1074</v>
      </c>
      <c r="H609" s="31">
        <v>1.9</v>
      </c>
      <c r="I609" s="27">
        <f t="shared" si="20"/>
        <v>1.9</v>
      </c>
      <c r="J609" s="28" t="s">
        <v>1600</v>
      </c>
      <c r="K609" s="25">
        <v>41268</v>
      </c>
      <c r="L609" s="56" t="s">
        <v>1756</v>
      </c>
      <c r="M609" s="56" t="s">
        <v>1573</v>
      </c>
      <c r="N609" s="28" t="s">
        <v>1573</v>
      </c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</row>
    <row r="610" spans="1:32" ht="12" customHeight="1">
      <c r="A610" s="25">
        <v>41268</v>
      </c>
      <c r="B610" s="225" t="s">
        <v>1993</v>
      </c>
      <c r="C610" s="219" t="s">
        <v>163</v>
      </c>
      <c r="D610" s="225" t="s">
        <v>1973</v>
      </c>
      <c r="E610" s="196" t="s">
        <v>168</v>
      </c>
      <c r="F610" s="185">
        <v>1</v>
      </c>
      <c r="G610" s="185" t="s">
        <v>1074</v>
      </c>
      <c r="H610" s="31">
        <v>4.5</v>
      </c>
      <c r="I610" s="27">
        <f t="shared" si="20"/>
        <v>4.5</v>
      </c>
      <c r="J610" s="28" t="s">
        <v>1600</v>
      </c>
      <c r="K610" s="25">
        <v>41268</v>
      </c>
      <c r="L610" s="56" t="s">
        <v>1756</v>
      </c>
      <c r="M610" s="56" t="s">
        <v>1573</v>
      </c>
      <c r="N610" s="28" t="s">
        <v>1573</v>
      </c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</row>
    <row r="611" spans="1:32" ht="12" customHeight="1">
      <c r="A611" s="25">
        <v>41288</v>
      </c>
      <c r="B611" s="225" t="s">
        <v>1993</v>
      </c>
      <c r="C611" s="219" t="s">
        <v>163</v>
      </c>
      <c r="D611" s="225" t="s">
        <v>1758</v>
      </c>
      <c r="E611" s="196" t="s">
        <v>168</v>
      </c>
      <c r="F611" s="193">
        <v>-5</v>
      </c>
      <c r="G611" s="193" t="s">
        <v>1074</v>
      </c>
      <c r="H611" s="31">
        <v>4.08</v>
      </c>
      <c r="I611" s="27">
        <f t="shared" si="20"/>
        <v>-20.399999999999999</v>
      </c>
      <c r="J611" s="28" t="s">
        <v>5211</v>
      </c>
      <c r="K611" s="25" t="s">
        <v>5211</v>
      </c>
      <c r="L611" s="56" t="s">
        <v>1573</v>
      </c>
      <c r="M611" s="56" t="s">
        <v>1573</v>
      </c>
      <c r="N611" s="28" t="s">
        <v>1573</v>
      </c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</row>
    <row r="612" spans="1:32" ht="12" customHeight="1">
      <c r="A612" s="25">
        <v>41268</v>
      </c>
      <c r="B612" s="225" t="s">
        <v>1996</v>
      </c>
      <c r="C612" s="219" t="s">
        <v>163</v>
      </c>
      <c r="D612" s="225" t="s">
        <v>1901</v>
      </c>
      <c r="E612" s="196" t="s">
        <v>1569</v>
      </c>
      <c r="F612" s="185">
        <v>3300</v>
      </c>
      <c r="G612" s="185" t="s">
        <v>193</v>
      </c>
      <c r="H612" s="31">
        <v>27.143999999999998</v>
      </c>
      <c r="I612" s="27">
        <f t="shared" si="20"/>
        <v>89575.2</v>
      </c>
      <c r="J612" s="28" t="s">
        <v>168</v>
      </c>
      <c r="K612" s="25">
        <v>41280</v>
      </c>
      <c r="L612" s="56">
        <v>41268</v>
      </c>
      <c r="M612" s="29" t="s">
        <v>167</v>
      </c>
      <c r="N612" s="28" t="s">
        <v>1640</v>
      </c>
      <c r="O612" s="32">
        <v>89575.2</v>
      </c>
      <c r="P612" s="56">
        <v>41278</v>
      </c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</row>
    <row r="613" spans="1:32" ht="12" customHeight="1">
      <c r="A613" s="25">
        <v>41268</v>
      </c>
      <c r="B613" s="225" t="s">
        <v>1996</v>
      </c>
      <c r="C613" s="219" t="s">
        <v>163</v>
      </c>
      <c r="D613" s="225" t="s">
        <v>1902</v>
      </c>
      <c r="E613" s="196" t="s">
        <v>1576</v>
      </c>
      <c r="F613" s="185">
        <v>100</v>
      </c>
      <c r="G613" s="185" t="s">
        <v>193</v>
      </c>
      <c r="H613" s="31">
        <v>34.866</v>
      </c>
      <c r="I613" s="27">
        <f t="shared" si="20"/>
        <v>3486.6</v>
      </c>
      <c r="J613" s="28" t="s">
        <v>168</v>
      </c>
      <c r="K613" s="25">
        <v>41280</v>
      </c>
      <c r="L613" s="56">
        <v>41268</v>
      </c>
      <c r="M613" s="29" t="s">
        <v>167</v>
      </c>
      <c r="N613" s="28" t="s">
        <v>1706</v>
      </c>
      <c r="O613" s="32">
        <v>3486</v>
      </c>
      <c r="P613" s="56">
        <v>41283</v>
      </c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</row>
    <row r="614" spans="1:32" ht="12" customHeight="1">
      <c r="A614" s="25">
        <v>41268</v>
      </c>
      <c r="B614" s="225" t="s">
        <v>1994</v>
      </c>
      <c r="C614" s="219" t="s">
        <v>163</v>
      </c>
      <c r="D614" s="225" t="s">
        <v>1947</v>
      </c>
      <c r="E614" s="196">
        <v>1110</v>
      </c>
      <c r="F614" s="185">
        <v>2500</v>
      </c>
      <c r="G614" s="185" t="s">
        <v>173</v>
      </c>
      <c r="H614" s="31">
        <v>0.73</v>
      </c>
      <c r="I614" s="27">
        <f t="shared" si="20"/>
        <v>1825</v>
      </c>
      <c r="J614" s="28" t="s">
        <v>168</v>
      </c>
      <c r="K614" s="25">
        <v>41268</v>
      </c>
      <c r="L614" s="56">
        <v>41268</v>
      </c>
      <c r="M614" s="29" t="s">
        <v>690</v>
      </c>
      <c r="N614" s="28" t="s">
        <v>1601</v>
      </c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</row>
    <row r="615" spans="1:32" ht="12" customHeight="1">
      <c r="A615" s="25">
        <v>41268</v>
      </c>
      <c r="B615" s="225" t="s">
        <v>1994</v>
      </c>
      <c r="C615" s="219" t="s">
        <v>163</v>
      </c>
      <c r="D615" s="225" t="s">
        <v>1887</v>
      </c>
      <c r="E615" s="196" t="s">
        <v>195</v>
      </c>
      <c r="F615" s="185">
        <v>200</v>
      </c>
      <c r="G615" s="194" t="s">
        <v>232</v>
      </c>
      <c r="H615" s="31">
        <v>4.7699999999999996</v>
      </c>
      <c r="I615" s="27">
        <f t="shared" si="20"/>
        <v>953.99999999999989</v>
      </c>
      <c r="J615" s="28" t="s">
        <v>168</v>
      </c>
      <c r="K615" s="25">
        <v>41268</v>
      </c>
      <c r="L615" s="56">
        <v>41268</v>
      </c>
      <c r="M615" s="29" t="s">
        <v>690</v>
      </c>
      <c r="N615" s="28" t="s">
        <v>1836</v>
      </c>
      <c r="O615" s="32">
        <v>51133</v>
      </c>
      <c r="P615" s="56">
        <v>41296</v>
      </c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</row>
    <row r="616" spans="1:32" ht="12" customHeight="1">
      <c r="A616" s="25">
        <v>41268</v>
      </c>
      <c r="B616" s="225" t="s">
        <v>1996</v>
      </c>
      <c r="C616" s="219" t="s">
        <v>163</v>
      </c>
      <c r="D616" s="225" t="s">
        <v>1953</v>
      </c>
      <c r="E616" s="196" t="s">
        <v>1641</v>
      </c>
      <c r="F616" s="185">
        <v>800</v>
      </c>
      <c r="G616" s="185" t="s">
        <v>193</v>
      </c>
      <c r="H616" s="31">
        <v>48.555</v>
      </c>
      <c r="I616" s="27">
        <f t="shared" ref="I616:I636" si="21">H616*F616</f>
        <v>38844</v>
      </c>
      <c r="J616" s="28" t="s">
        <v>168</v>
      </c>
      <c r="K616" s="25">
        <v>41280</v>
      </c>
      <c r="L616" s="56">
        <v>41269</v>
      </c>
      <c r="M616" s="29" t="s">
        <v>167</v>
      </c>
      <c r="N616" s="28" t="s">
        <v>1707</v>
      </c>
      <c r="O616" s="32" t="s">
        <v>1708</v>
      </c>
      <c r="P616" s="56">
        <v>41283</v>
      </c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</row>
    <row r="617" spans="1:32" ht="12" customHeight="1">
      <c r="A617" s="25">
        <v>41269</v>
      </c>
      <c r="B617" s="225" t="s">
        <v>2007</v>
      </c>
      <c r="C617" s="219" t="s">
        <v>163</v>
      </c>
      <c r="D617" s="225" t="s">
        <v>1927</v>
      </c>
      <c r="E617" s="196">
        <v>82518</v>
      </c>
      <c r="F617" s="185">
        <v>12</v>
      </c>
      <c r="G617" s="185" t="s">
        <v>172</v>
      </c>
      <c r="H617" s="31">
        <v>127</v>
      </c>
      <c r="I617" s="27">
        <f t="shared" si="21"/>
        <v>1524</v>
      </c>
      <c r="J617" s="28" t="s">
        <v>168</v>
      </c>
      <c r="K617" s="25">
        <v>41270</v>
      </c>
      <c r="L617" s="56">
        <v>41269</v>
      </c>
      <c r="M617" s="29" t="s">
        <v>167</v>
      </c>
      <c r="N617" s="28" t="s">
        <v>1610</v>
      </c>
      <c r="O617" s="32">
        <v>1524</v>
      </c>
      <c r="P617" s="56">
        <v>41270</v>
      </c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</row>
    <row r="618" spans="1:32" ht="12" customHeight="1">
      <c r="A618" s="25">
        <v>41269</v>
      </c>
      <c r="B618" s="225" t="s">
        <v>2010</v>
      </c>
      <c r="C618" s="219" t="s">
        <v>163</v>
      </c>
      <c r="D618" s="225" t="s">
        <v>1974</v>
      </c>
      <c r="E618" s="196">
        <v>1426</v>
      </c>
      <c r="F618" s="185">
        <v>30</v>
      </c>
      <c r="G618" s="185" t="s">
        <v>173</v>
      </c>
      <c r="H618" s="31">
        <v>19.8</v>
      </c>
      <c r="I618" s="27">
        <f t="shared" si="21"/>
        <v>594</v>
      </c>
      <c r="J618" s="28" t="s">
        <v>168</v>
      </c>
      <c r="K618" s="25">
        <v>41274</v>
      </c>
      <c r="L618" s="56">
        <v>41269</v>
      </c>
      <c r="M618" s="29" t="s">
        <v>167</v>
      </c>
      <c r="N618" s="28" t="s">
        <v>1714</v>
      </c>
      <c r="O618" s="32">
        <v>16445.5</v>
      </c>
      <c r="P618" s="56">
        <v>41284</v>
      </c>
      <c r="Q618" s="185"/>
      <c r="R618" s="189" t="s">
        <v>1715</v>
      </c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</row>
    <row r="619" spans="1:32" ht="12" customHeight="1">
      <c r="A619" s="25">
        <v>41269</v>
      </c>
      <c r="B619" s="225" t="s">
        <v>2010</v>
      </c>
      <c r="C619" s="219" t="s">
        <v>163</v>
      </c>
      <c r="D619" s="225" t="s">
        <v>1932</v>
      </c>
      <c r="E619" s="196">
        <v>8577</v>
      </c>
      <c r="F619" s="185">
        <v>170</v>
      </c>
      <c r="G619" s="185" t="s">
        <v>172</v>
      </c>
      <c r="H619" s="31">
        <v>28.3</v>
      </c>
      <c r="I619" s="27">
        <f t="shared" si="21"/>
        <v>4811</v>
      </c>
      <c r="J619" s="28" t="s">
        <v>168</v>
      </c>
      <c r="K619" s="25">
        <v>41274</v>
      </c>
      <c r="L619" s="56">
        <v>41269</v>
      </c>
      <c r="M619" s="29" t="s">
        <v>167</v>
      </c>
      <c r="N619" s="28" t="s">
        <v>1714</v>
      </c>
      <c r="O619" s="32">
        <v>16445.5</v>
      </c>
      <c r="P619" s="56">
        <v>41284</v>
      </c>
      <c r="Q619" s="185"/>
      <c r="R619" s="189" t="s">
        <v>1715</v>
      </c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</row>
    <row r="620" spans="1:32" ht="12" customHeight="1">
      <c r="A620" s="25">
        <v>41269</v>
      </c>
      <c r="B620" s="225" t="s">
        <v>2010</v>
      </c>
      <c r="C620" s="219" t="s">
        <v>163</v>
      </c>
      <c r="D620" s="5" t="s">
        <v>1910</v>
      </c>
      <c r="E620" s="196" t="s">
        <v>16</v>
      </c>
      <c r="F620" s="185">
        <v>600</v>
      </c>
      <c r="G620" s="190" t="s">
        <v>173</v>
      </c>
      <c r="H620" s="31">
        <v>3.7</v>
      </c>
      <c r="I620" s="27">
        <f t="shared" si="21"/>
        <v>2220</v>
      </c>
      <c r="J620" s="28" t="s">
        <v>168</v>
      </c>
      <c r="K620" s="25">
        <v>41274</v>
      </c>
      <c r="L620" s="56">
        <v>41269</v>
      </c>
      <c r="M620" s="29" t="s">
        <v>167</v>
      </c>
      <c r="N620" s="28" t="s">
        <v>1714</v>
      </c>
      <c r="O620" s="32">
        <v>16445.5</v>
      </c>
      <c r="P620" s="56">
        <v>41284</v>
      </c>
      <c r="Q620" s="185"/>
      <c r="R620" s="189" t="s">
        <v>1715</v>
      </c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</row>
    <row r="621" spans="1:32" ht="12" customHeight="1">
      <c r="A621" s="25">
        <v>41269</v>
      </c>
      <c r="B621" s="225" t="s">
        <v>2010</v>
      </c>
      <c r="C621" s="219" t="s">
        <v>1607</v>
      </c>
      <c r="D621" s="225" t="s">
        <v>1975</v>
      </c>
      <c r="E621" s="196" t="s">
        <v>1608</v>
      </c>
      <c r="F621" s="185">
        <v>2</v>
      </c>
      <c r="G621" s="185" t="s">
        <v>173</v>
      </c>
      <c r="H621" s="31">
        <v>468</v>
      </c>
      <c r="I621" s="27">
        <f t="shared" si="21"/>
        <v>936</v>
      </c>
      <c r="J621" s="28" t="s">
        <v>168</v>
      </c>
      <c r="K621" s="25">
        <v>41274</v>
      </c>
      <c r="L621" s="56">
        <v>41269</v>
      </c>
      <c r="M621" s="29" t="s">
        <v>167</v>
      </c>
      <c r="N621" s="28" t="s">
        <v>1714</v>
      </c>
      <c r="O621" s="32">
        <v>16445.5</v>
      </c>
      <c r="P621" s="56">
        <v>41284</v>
      </c>
      <c r="Q621" s="185"/>
      <c r="R621" s="189" t="s">
        <v>1715</v>
      </c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</row>
    <row r="622" spans="1:32" ht="12" customHeight="1">
      <c r="A622" s="25">
        <v>41269</v>
      </c>
      <c r="B622" s="225" t="s">
        <v>2010</v>
      </c>
      <c r="C622" s="219" t="s">
        <v>163</v>
      </c>
      <c r="D622" s="225" t="s">
        <v>1890</v>
      </c>
      <c r="E622" s="196">
        <v>4680</v>
      </c>
      <c r="F622" s="185">
        <v>4</v>
      </c>
      <c r="G622" s="185" t="s">
        <v>175</v>
      </c>
      <c r="H622" s="31">
        <v>81.5</v>
      </c>
      <c r="I622" s="27">
        <f t="shared" si="21"/>
        <v>326</v>
      </c>
      <c r="J622" s="28" t="s">
        <v>168</v>
      </c>
      <c r="K622" s="25">
        <v>41274</v>
      </c>
      <c r="L622" s="56">
        <v>41269</v>
      </c>
      <c r="M622" s="29" t="s">
        <v>167</v>
      </c>
      <c r="N622" s="28" t="s">
        <v>1714</v>
      </c>
      <c r="O622" s="32">
        <v>16445.5</v>
      </c>
      <c r="P622" s="56">
        <v>41284</v>
      </c>
      <c r="Q622" s="185"/>
      <c r="R622" s="189" t="s">
        <v>1715</v>
      </c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</row>
    <row r="623" spans="1:32" ht="12" customHeight="1">
      <c r="A623" s="25">
        <v>41269</v>
      </c>
      <c r="B623" s="225" t="s">
        <v>1991</v>
      </c>
      <c r="C623" s="219" t="s">
        <v>163</v>
      </c>
      <c r="D623" s="225" t="s">
        <v>1895</v>
      </c>
      <c r="E623" s="196" t="s">
        <v>146</v>
      </c>
      <c r="F623" s="185">
        <v>240</v>
      </c>
      <c r="G623" s="185" t="s">
        <v>171</v>
      </c>
      <c r="H623" s="31">
        <v>16.5</v>
      </c>
      <c r="I623" s="27">
        <f t="shared" si="21"/>
        <v>3960</v>
      </c>
      <c r="J623" s="28" t="s">
        <v>1609</v>
      </c>
      <c r="K623" s="25">
        <v>41269</v>
      </c>
      <c r="L623" s="56">
        <v>41269</v>
      </c>
      <c r="M623" s="29" t="s">
        <v>167</v>
      </c>
      <c r="N623" s="28" t="s">
        <v>1625</v>
      </c>
      <c r="O623" s="32">
        <v>3960</v>
      </c>
      <c r="P623" s="56">
        <v>41270</v>
      </c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</row>
    <row r="624" spans="1:32" ht="12" customHeight="1">
      <c r="A624" s="25">
        <v>41269</v>
      </c>
      <c r="B624" s="225" t="s">
        <v>1999</v>
      </c>
      <c r="C624" s="219" t="s">
        <v>163</v>
      </c>
      <c r="D624" s="225" t="s">
        <v>1976</v>
      </c>
      <c r="E624" s="196">
        <v>82501</v>
      </c>
      <c r="F624" s="205">
        <v>23</v>
      </c>
      <c r="G624" s="185" t="s">
        <v>171</v>
      </c>
      <c r="H624" s="31">
        <v>113.9</v>
      </c>
      <c r="I624" s="27">
        <f t="shared" si="21"/>
        <v>2619.7000000000003</v>
      </c>
      <c r="J624" s="28" t="s">
        <v>168</v>
      </c>
      <c r="K624" s="25">
        <v>41274</v>
      </c>
      <c r="L624" s="56">
        <v>41269</v>
      </c>
      <c r="M624" s="29" t="s">
        <v>167</v>
      </c>
      <c r="N624" s="28" t="s">
        <v>1837</v>
      </c>
      <c r="O624" s="32">
        <v>27144</v>
      </c>
      <c r="P624" s="56">
        <v>41297</v>
      </c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</row>
    <row r="625" spans="1:32" ht="12" customHeight="1">
      <c r="A625" s="25">
        <v>41270</v>
      </c>
      <c r="B625" s="225" t="s">
        <v>1999</v>
      </c>
      <c r="C625" s="219" t="s">
        <v>163</v>
      </c>
      <c r="D625" s="225" t="s">
        <v>1957</v>
      </c>
      <c r="E625" s="205">
        <v>8515</v>
      </c>
      <c r="F625" s="205">
        <v>150</v>
      </c>
      <c r="G625" s="377" t="s">
        <v>171</v>
      </c>
      <c r="H625" s="31">
        <v>17</v>
      </c>
      <c r="I625" s="27">
        <f t="shared" si="21"/>
        <v>2550</v>
      </c>
      <c r="J625" s="28" t="s">
        <v>1682</v>
      </c>
      <c r="K625" s="25">
        <v>41274</v>
      </c>
      <c r="L625" s="56">
        <v>41270</v>
      </c>
      <c r="M625" s="29" t="s">
        <v>166</v>
      </c>
      <c r="N625" s="28" t="s">
        <v>1618</v>
      </c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</row>
    <row r="626" spans="1:32" ht="12" customHeight="1">
      <c r="A626" s="25">
        <v>41270</v>
      </c>
      <c r="B626" s="225" t="s">
        <v>2019</v>
      </c>
      <c r="C626" s="219" t="s">
        <v>163</v>
      </c>
      <c r="D626" s="225" t="s">
        <v>1977</v>
      </c>
      <c r="E626" s="205" t="s">
        <v>1622</v>
      </c>
      <c r="F626" s="205">
        <v>120</v>
      </c>
      <c r="G626" s="187" t="s">
        <v>171</v>
      </c>
      <c r="H626" s="31">
        <v>19.8</v>
      </c>
      <c r="I626" s="27">
        <f t="shared" si="21"/>
        <v>2376</v>
      </c>
      <c r="J626" s="28" t="s">
        <v>168</v>
      </c>
      <c r="K626" s="25">
        <v>41278</v>
      </c>
      <c r="L626" s="56">
        <v>41270</v>
      </c>
      <c r="M626" s="29" t="s">
        <v>167</v>
      </c>
      <c r="N626" s="28" t="s">
        <v>5180</v>
      </c>
      <c r="O626" s="32">
        <v>2376</v>
      </c>
      <c r="P626" s="56">
        <v>41330</v>
      </c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  <c r="AA626" s="187"/>
      <c r="AB626" s="187"/>
      <c r="AC626" s="187"/>
      <c r="AD626" s="187"/>
      <c r="AE626" s="187"/>
      <c r="AF626" s="187"/>
    </row>
    <row r="627" spans="1:32" ht="12" customHeight="1">
      <c r="A627" s="25">
        <v>41270</v>
      </c>
      <c r="B627" s="225" t="s">
        <v>2020</v>
      </c>
      <c r="C627" s="219" t="s">
        <v>163</v>
      </c>
      <c r="D627" s="225" t="s">
        <v>1978</v>
      </c>
      <c r="E627" s="205" t="s">
        <v>1684</v>
      </c>
      <c r="F627" s="205">
        <v>70</v>
      </c>
      <c r="G627" s="181" t="s">
        <v>171</v>
      </c>
      <c r="H627" s="31">
        <v>25</v>
      </c>
      <c r="I627" s="27">
        <f t="shared" si="21"/>
        <v>1750</v>
      </c>
      <c r="J627" s="28" t="s">
        <v>1637</v>
      </c>
      <c r="K627" s="25">
        <v>41274</v>
      </c>
      <c r="L627" s="56">
        <v>41270</v>
      </c>
      <c r="M627" s="29" t="s">
        <v>167</v>
      </c>
      <c r="N627" s="28" t="s">
        <v>1638</v>
      </c>
      <c r="O627" s="32">
        <v>1830</v>
      </c>
      <c r="P627" s="56">
        <v>41278</v>
      </c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  <c r="AA627" s="181"/>
      <c r="AB627" s="181"/>
      <c r="AC627" s="181"/>
      <c r="AD627" s="181"/>
      <c r="AE627" s="181"/>
      <c r="AF627" s="181"/>
    </row>
    <row r="628" spans="1:32" ht="12" customHeight="1">
      <c r="A628" s="25">
        <v>41270</v>
      </c>
      <c r="B628" s="225" t="s">
        <v>2010</v>
      </c>
      <c r="C628" s="219" t="s">
        <v>163</v>
      </c>
      <c r="D628" s="225" t="s">
        <v>1928</v>
      </c>
      <c r="E628" s="223" t="s">
        <v>1859</v>
      </c>
      <c r="F628" s="205">
        <v>30</v>
      </c>
      <c r="G628" s="181" t="s">
        <v>171</v>
      </c>
      <c r="H628" s="31">
        <v>28.75</v>
      </c>
      <c r="I628" s="27">
        <f t="shared" si="21"/>
        <v>862.5</v>
      </c>
      <c r="J628" s="28" t="s">
        <v>1639</v>
      </c>
      <c r="K628" s="25">
        <v>41274</v>
      </c>
      <c r="L628" s="56">
        <v>41270</v>
      </c>
      <c r="M628" s="29" t="s">
        <v>167</v>
      </c>
      <c r="N628" s="28" t="s">
        <v>1714</v>
      </c>
      <c r="O628" s="32">
        <v>16445.5</v>
      </c>
      <c r="P628" s="56">
        <v>41284</v>
      </c>
      <c r="Q628" s="181"/>
      <c r="R628" s="189" t="s">
        <v>1715</v>
      </c>
      <c r="S628" s="181"/>
      <c r="T628" s="181"/>
      <c r="U628" s="181"/>
      <c r="V628" s="181"/>
      <c r="W628" s="181"/>
      <c r="X628" s="181"/>
      <c r="Y628" s="181"/>
      <c r="Z628" s="181"/>
      <c r="AA628" s="181"/>
      <c r="AB628" s="181"/>
      <c r="AC628" s="181"/>
      <c r="AD628" s="181"/>
      <c r="AE628" s="181"/>
      <c r="AF628" s="181"/>
    </row>
    <row r="629" spans="1:32" ht="12" customHeight="1">
      <c r="A629" s="25">
        <v>41270</v>
      </c>
      <c r="B629" s="225" t="s">
        <v>1994</v>
      </c>
      <c r="C629" s="219" t="s">
        <v>163</v>
      </c>
      <c r="D629" s="1" t="s">
        <v>1884</v>
      </c>
      <c r="E629" s="205">
        <v>8247</v>
      </c>
      <c r="F629" s="205">
        <v>120</v>
      </c>
      <c r="G629" s="182" t="s">
        <v>172</v>
      </c>
      <c r="H629" s="31">
        <v>12.35</v>
      </c>
      <c r="I629" s="27">
        <f t="shared" si="21"/>
        <v>1482</v>
      </c>
      <c r="J629" s="28" t="s">
        <v>707</v>
      </c>
      <c r="K629" s="25">
        <v>41271</v>
      </c>
      <c r="L629" s="56">
        <v>41271</v>
      </c>
      <c r="M629" s="29" t="s">
        <v>1634</v>
      </c>
      <c r="N629" s="28" t="s">
        <v>1836</v>
      </c>
      <c r="O629" s="32">
        <v>51133</v>
      </c>
      <c r="P629" s="56">
        <v>41296</v>
      </c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  <c r="AA629" s="182"/>
      <c r="AB629" s="182"/>
      <c r="AC629" s="182"/>
      <c r="AD629" s="182"/>
      <c r="AE629" s="182"/>
      <c r="AF629" s="182"/>
    </row>
    <row r="630" spans="1:32" ht="12" customHeight="1">
      <c r="A630" s="25">
        <v>41270</v>
      </c>
      <c r="B630" s="225" t="s">
        <v>2021</v>
      </c>
      <c r="C630" s="219" t="s">
        <v>163</v>
      </c>
      <c r="D630" s="225" t="s">
        <v>1979</v>
      </c>
      <c r="E630" s="205" t="s">
        <v>1624</v>
      </c>
      <c r="F630" s="205">
        <v>70</v>
      </c>
      <c r="G630" s="183" t="s">
        <v>1074</v>
      </c>
      <c r="H630" s="31">
        <v>17.82</v>
      </c>
      <c r="I630" s="27">
        <f t="shared" si="21"/>
        <v>1247.4000000000001</v>
      </c>
      <c r="J630" s="28" t="s">
        <v>168</v>
      </c>
      <c r="K630" s="25">
        <v>41278</v>
      </c>
      <c r="L630" s="56">
        <v>41270</v>
      </c>
      <c r="M630" s="29" t="s">
        <v>167</v>
      </c>
      <c r="N630" s="28" t="s">
        <v>1807</v>
      </c>
      <c r="O630" s="32">
        <v>1247.4000000000001</v>
      </c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  <c r="AA630" s="183"/>
      <c r="AB630" s="183"/>
      <c r="AC630" s="183"/>
      <c r="AD630" s="183"/>
      <c r="AE630" s="183"/>
      <c r="AF630" s="183"/>
    </row>
    <row r="631" spans="1:32" ht="12" customHeight="1">
      <c r="A631" s="25">
        <v>41271</v>
      </c>
      <c r="B631" s="225" t="s">
        <v>2016</v>
      </c>
      <c r="C631" s="219" t="s">
        <v>1633</v>
      </c>
      <c r="D631" s="225" t="s">
        <v>1962</v>
      </c>
      <c r="E631" s="205" t="s">
        <v>1513</v>
      </c>
      <c r="F631" s="205">
        <v>70</v>
      </c>
      <c r="G631" s="181" t="s">
        <v>1635</v>
      </c>
      <c r="H631" s="31">
        <v>85</v>
      </c>
      <c r="I631" s="27">
        <f t="shared" si="21"/>
        <v>5950</v>
      </c>
      <c r="J631" s="28" t="s">
        <v>1639</v>
      </c>
      <c r="K631" s="25">
        <v>41274</v>
      </c>
      <c r="L631" s="56">
        <v>41271</v>
      </c>
      <c r="M631" s="29" t="s">
        <v>166</v>
      </c>
      <c r="N631" s="28" t="s">
        <v>1691</v>
      </c>
      <c r="O631" s="32">
        <v>6035</v>
      </c>
      <c r="P631" s="56">
        <v>41280</v>
      </c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  <c r="AA631" s="181"/>
      <c r="AB631" s="181"/>
      <c r="AC631" s="181"/>
      <c r="AD631" s="181"/>
      <c r="AE631" s="181"/>
      <c r="AF631" s="181"/>
    </row>
    <row r="632" spans="1:32" ht="12" customHeight="1">
      <c r="A632" s="25">
        <v>41279</v>
      </c>
      <c r="B632" s="225" t="s">
        <v>1994</v>
      </c>
      <c r="C632" s="219" t="s">
        <v>163</v>
      </c>
      <c r="D632" s="1" t="s">
        <v>1880</v>
      </c>
      <c r="E632" s="205">
        <v>6006</v>
      </c>
      <c r="F632" s="205">
        <v>30</v>
      </c>
      <c r="G632" s="184" t="s">
        <v>1667</v>
      </c>
      <c r="H632" s="31">
        <v>49.5</v>
      </c>
      <c r="I632" s="27">
        <f t="shared" si="21"/>
        <v>1485</v>
      </c>
      <c r="J632" s="28" t="s">
        <v>1681</v>
      </c>
      <c r="K632" s="25">
        <v>41279</v>
      </c>
      <c r="L632" s="56">
        <v>41279</v>
      </c>
      <c r="M632" s="29" t="s">
        <v>167</v>
      </c>
      <c r="N632" s="28" t="s">
        <v>1784</v>
      </c>
      <c r="O632" s="32">
        <v>6624</v>
      </c>
      <c r="P632" s="56">
        <v>41289</v>
      </c>
    </row>
    <row r="633" spans="1:32" ht="12" customHeight="1">
      <c r="A633" s="25">
        <v>41279</v>
      </c>
      <c r="B633" s="225" t="s">
        <v>1994</v>
      </c>
      <c r="C633" s="220" t="s">
        <v>7</v>
      </c>
      <c r="D633" s="225" t="s">
        <v>1980</v>
      </c>
      <c r="E633" s="205" t="s">
        <v>1668</v>
      </c>
      <c r="F633" s="205">
        <v>10</v>
      </c>
      <c r="G633" s="190" t="s">
        <v>830</v>
      </c>
      <c r="H633" s="31">
        <v>69.5</v>
      </c>
      <c r="I633" s="27">
        <f t="shared" si="21"/>
        <v>695</v>
      </c>
      <c r="J633" s="28" t="s">
        <v>1681</v>
      </c>
      <c r="K633" s="25">
        <v>41279</v>
      </c>
      <c r="L633" s="56">
        <v>41279</v>
      </c>
      <c r="M633" s="29" t="s">
        <v>167</v>
      </c>
      <c r="N633" s="28" t="s">
        <v>1784</v>
      </c>
      <c r="O633" s="32">
        <v>6624</v>
      </c>
      <c r="P633" s="56">
        <v>41289</v>
      </c>
    </row>
    <row r="634" spans="1:32" ht="12" customHeight="1">
      <c r="A634" s="25">
        <v>41279</v>
      </c>
      <c r="B634" s="225" t="s">
        <v>1994</v>
      </c>
      <c r="C634" s="219" t="s">
        <v>163</v>
      </c>
      <c r="D634" s="225" t="s">
        <v>1981</v>
      </c>
      <c r="E634" s="205" t="s">
        <v>1550</v>
      </c>
      <c r="F634" s="205">
        <v>2</v>
      </c>
      <c r="G634" s="184" t="s">
        <v>1669</v>
      </c>
      <c r="H634" s="31">
        <v>86</v>
      </c>
      <c r="I634" s="27">
        <f t="shared" si="21"/>
        <v>172</v>
      </c>
      <c r="J634" s="28" t="s">
        <v>1681</v>
      </c>
      <c r="K634" s="25">
        <v>41279</v>
      </c>
      <c r="L634" s="56">
        <v>41279</v>
      </c>
      <c r="M634" s="29" t="s">
        <v>167</v>
      </c>
      <c r="N634" s="28" t="s">
        <v>1784</v>
      </c>
      <c r="O634" s="32">
        <v>6624</v>
      </c>
      <c r="P634" s="56">
        <v>41289</v>
      </c>
    </row>
    <row r="635" spans="1:32" ht="12" customHeight="1">
      <c r="A635" s="25">
        <v>41279</v>
      </c>
      <c r="B635" s="225" t="s">
        <v>1989</v>
      </c>
      <c r="C635" s="219" t="s">
        <v>163</v>
      </c>
      <c r="D635" s="225" t="s">
        <v>352</v>
      </c>
      <c r="E635" s="205">
        <v>7502</v>
      </c>
      <c r="F635" s="205">
        <v>8</v>
      </c>
      <c r="G635" s="185" t="s">
        <v>1671</v>
      </c>
      <c r="H635" s="31">
        <v>122.8</v>
      </c>
      <c r="I635" s="27">
        <f t="shared" si="21"/>
        <v>982.4</v>
      </c>
      <c r="J635" s="28" t="s">
        <v>1680</v>
      </c>
      <c r="K635" s="25">
        <v>41279</v>
      </c>
      <c r="L635" s="56">
        <v>41310</v>
      </c>
      <c r="M635" s="29" t="s">
        <v>167</v>
      </c>
      <c r="N635" s="28" t="s">
        <v>5330</v>
      </c>
      <c r="O635" s="32">
        <v>52934.25</v>
      </c>
      <c r="P635" s="56">
        <v>41333</v>
      </c>
    </row>
    <row r="636" spans="1:32" ht="12" customHeight="1">
      <c r="A636" s="25">
        <v>41280</v>
      </c>
      <c r="B636" s="225" t="s">
        <v>1989</v>
      </c>
      <c r="C636" s="219" t="s">
        <v>163</v>
      </c>
      <c r="D636" s="5" t="s">
        <v>349</v>
      </c>
      <c r="E636" s="205" t="s">
        <v>1574</v>
      </c>
      <c r="F636" s="205">
        <v>500</v>
      </c>
      <c r="G636" s="186" t="s">
        <v>1677</v>
      </c>
      <c r="H636" s="31">
        <v>1.65</v>
      </c>
      <c r="I636" s="27">
        <f t="shared" si="21"/>
        <v>825</v>
      </c>
      <c r="J636" s="28" t="s">
        <v>1679</v>
      </c>
      <c r="K636" s="25">
        <v>41280</v>
      </c>
      <c r="L636" s="56">
        <v>41310</v>
      </c>
      <c r="M636" s="29" t="s">
        <v>167</v>
      </c>
      <c r="N636" s="28" t="s">
        <v>5330</v>
      </c>
      <c r="O636" s="32">
        <v>52934.25</v>
      </c>
      <c r="P636" s="56">
        <v>41333</v>
      </c>
    </row>
    <row r="637" spans="1:32" ht="12" customHeight="1">
      <c r="A637" s="25">
        <v>41280</v>
      </c>
      <c r="B637" s="225" t="s">
        <v>1989</v>
      </c>
      <c r="C637" s="219" t="s">
        <v>163</v>
      </c>
      <c r="D637" s="225" t="s">
        <v>1959</v>
      </c>
      <c r="E637" s="205">
        <v>4620</v>
      </c>
      <c r="F637" s="205">
        <v>10</v>
      </c>
      <c r="G637" s="186" t="s">
        <v>1678</v>
      </c>
      <c r="H637" s="31">
        <v>17.79</v>
      </c>
      <c r="I637" s="27">
        <f>F637*H637</f>
        <v>177.89999999999998</v>
      </c>
      <c r="J637" s="28" t="s">
        <v>1679</v>
      </c>
      <c r="K637" s="25">
        <v>41280</v>
      </c>
      <c r="L637" s="56">
        <v>41310</v>
      </c>
      <c r="M637" s="29" t="s">
        <v>167</v>
      </c>
      <c r="N637" s="28" t="s">
        <v>5330</v>
      </c>
      <c r="O637" s="32">
        <v>52934.25</v>
      </c>
      <c r="P637" s="56">
        <v>41333</v>
      </c>
    </row>
    <row r="638" spans="1:32" ht="12" customHeight="1">
      <c r="A638" s="25">
        <v>41280</v>
      </c>
      <c r="B638" s="225" t="s">
        <v>1992</v>
      </c>
      <c r="C638" s="219" t="s">
        <v>163</v>
      </c>
      <c r="D638" s="225" t="s">
        <v>1878</v>
      </c>
      <c r="E638" s="205" t="s">
        <v>181</v>
      </c>
      <c r="F638" s="205">
        <v>2500</v>
      </c>
      <c r="G638" s="198" t="s">
        <v>230</v>
      </c>
      <c r="H638" s="31">
        <v>1.4</v>
      </c>
      <c r="I638" s="27">
        <f>F638*H638</f>
        <v>3500</v>
      </c>
      <c r="J638" s="28" t="s">
        <v>1782</v>
      </c>
      <c r="K638" s="25">
        <v>41281</v>
      </c>
      <c r="L638" s="56">
        <v>41280</v>
      </c>
      <c r="M638" s="29" t="s">
        <v>167</v>
      </c>
      <c r="N638" s="28" t="s">
        <v>6268</v>
      </c>
      <c r="O638" s="32">
        <v>37744</v>
      </c>
      <c r="P638" s="56">
        <v>41375</v>
      </c>
      <c r="Q638" s="336"/>
      <c r="R638" s="187"/>
      <c r="S638" s="187"/>
      <c r="T638" s="187"/>
      <c r="U638" s="187"/>
      <c r="V638" s="187"/>
      <c r="W638" s="187"/>
      <c r="X638" s="187"/>
      <c r="Y638" s="187"/>
      <c r="Z638" s="187"/>
      <c r="AA638" s="187"/>
      <c r="AB638" s="187"/>
      <c r="AC638" s="187"/>
      <c r="AD638" s="187"/>
      <c r="AE638" s="187"/>
      <c r="AF638" s="187"/>
    </row>
    <row r="639" spans="1:32" ht="12" customHeight="1">
      <c r="A639" s="25">
        <v>41280</v>
      </c>
      <c r="B639" s="225" t="s">
        <v>1994</v>
      </c>
      <c r="C639" s="219" t="s">
        <v>163</v>
      </c>
      <c r="D639" s="5" t="s">
        <v>1227</v>
      </c>
      <c r="E639" s="205" t="s">
        <v>147</v>
      </c>
      <c r="F639" s="205">
        <v>120</v>
      </c>
      <c r="G639" s="186" t="s">
        <v>686</v>
      </c>
      <c r="H639" s="31">
        <v>35.6</v>
      </c>
      <c r="I639" s="27">
        <f>F639*H639</f>
        <v>4272</v>
      </c>
      <c r="J639" s="28" t="s">
        <v>1685</v>
      </c>
      <c r="K639" s="25">
        <v>41280</v>
      </c>
      <c r="L639" s="56">
        <v>41280</v>
      </c>
      <c r="M639" s="29" t="s">
        <v>167</v>
      </c>
      <c r="N639" s="28" t="s">
        <v>1784</v>
      </c>
      <c r="O639" s="32">
        <v>6624</v>
      </c>
      <c r="P639" s="56">
        <v>41289</v>
      </c>
    </row>
    <row r="640" spans="1:32" ht="12" customHeight="1">
      <c r="A640" s="25">
        <v>41280</v>
      </c>
      <c r="B640" s="225" t="s">
        <v>2001</v>
      </c>
      <c r="C640" s="219" t="s">
        <v>163</v>
      </c>
      <c r="D640" s="225" t="s">
        <v>1914</v>
      </c>
      <c r="E640" s="205">
        <v>52000183617</v>
      </c>
      <c r="F640" s="205">
        <v>1</v>
      </c>
      <c r="G640" s="187" t="s">
        <v>1692</v>
      </c>
      <c r="H640" s="31">
        <v>938</v>
      </c>
      <c r="I640" s="27">
        <f>F640*H640</f>
        <v>938</v>
      </c>
      <c r="J640" s="28" t="s">
        <v>1693</v>
      </c>
      <c r="K640" s="25">
        <v>41281</v>
      </c>
      <c r="L640" s="56">
        <v>41281</v>
      </c>
      <c r="M640" s="97" t="s">
        <v>167</v>
      </c>
      <c r="N640" s="28" t="s">
        <v>1858</v>
      </c>
      <c r="O640" s="32">
        <v>2814</v>
      </c>
      <c r="P640" s="56">
        <v>41298</v>
      </c>
    </row>
    <row r="641" spans="1:32" ht="12" customHeight="1">
      <c r="A641" s="25">
        <v>41281</v>
      </c>
      <c r="B641" s="225" t="s">
        <v>1989</v>
      </c>
      <c r="C641" s="219" t="s">
        <v>163</v>
      </c>
      <c r="D641" s="225" t="s">
        <v>233</v>
      </c>
      <c r="E641" s="205" t="s">
        <v>1695</v>
      </c>
      <c r="F641" s="205">
        <v>1000</v>
      </c>
      <c r="G641" s="187" t="s">
        <v>172</v>
      </c>
      <c r="H641" s="31">
        <v>1.54</v>
      </c>
      <c r="I641" s="27">
        <f t="shared" ref="I641:I701" si="22">H641*F641</f>
        <v>1540</v>
      </c>
      <c r="J641" s="28" t="s">
        <v>1696</v>
      </c>
      <c r="K641" s="25">
        <v>41281</v>
      </c>
      <c r="L641" s="56">
        <v>41310</v>
      </c>
      <c r="M641" s="29" t="s">
        <v>167</v>
      </c>
      <c r="N641" s="28" t="s">
        <v>5330</v>
      </c>
      <c r="O641" s="32">
        <v>52934.25</v>
      </c>
      <c r="P641" s="56">
        <v>41333</v>
      </c>
    </row>
    <row r="642" spans="1:32" ht="12" customHeight="1">
      <c r="A642" s="25">
        <v>41282</v>
      </c>
      <c r="B642" s="225" t="s">
        <v>1989</v>
      </c>
      <c r="C642" s="219" t="s">
        <v>163</v>
      </c>
      <c r="D642" s="225" t="s">
        <v>307</v>
      </c>
      <c r="E642" s="205">
        <v>1270</v>
      </c>
      <c r="F642" s="205">
        <v>200</v>
      </c>
      <c r="G642" s="190" t="s">
        <v>240</v>
      </c>
      <c r="H642" s="31">
        <v>4.1399999999999997</v>
      </c>
      <c r="I642" s="27">
        <f t="shared" si="22"/>
        <v>827.99999999999989</v>
      </c>
      <c r="J642" s="28" t="s">
        <v>1702</v>
      </c>
      <c r="K642" s="25">
        <v>41282</v>
      </c>
      <c r="L642" s="56">
        <v>41310</v>
      </c>
      <c r="M642" s="29" t="s">
        <v>166</v>
      </c>
      <c r="N642" s="28" t="s">
        <v>1703</v>
      </c>
    </row>
    <row r="643" spans="1:32" ht="12" customHeight="1">
      <c r="A643" s="25">
        <v>41282</v>
      </c>
      <c r="B643" s="225" t="s">
        <v>1989</v>
      </c>
      <c r="C643" s="219" t="s">
        <v>163</v>
      </c>
      <c r="D643" s="225" t="s">
        <v>248</v>
      </c>
      <c r="E643" s="205">
        <v>11394</v>
      </c>
      <c r="F643" s="205">
        <v>80</v>
      </c>
      <c r="G643" s="188" t="s">
        <v>173</v>
      </c>
      <c r="H643" s="31">
        <v>19.43</v>
      </c>
      <c r="I643" s="27">
        <f t="shared" si="22"/>
        <v>1554.4</v>
      </c>
      <c r="J643" s="28" t="s">
        <v>1702</v>
      </c>
      <c r="K643" s="25">
        <v>41282</v>
      </c>
      <c r="L643" s="56">
        <v>41310</v>
      </c>
      <c r="M643" s="29" t="s">
        <v>166</v>
      </c>
      <c r="N643" s="28" t="s">
        <v>1703</v>
      </c>
    </row>
    <row r="644" spans="1:32" ht="12" customHeight="1">
      <c r="A644" s="25">
        <v>41282</v>
      </c>
      <c r="B644" s="225" t="s">
        <v>1989</v>
      </c>
      <c r="C644" s="219" t="s">
        <v>163</v>
      </c>
      <c r="D644" s="225" t="s">
        <v>233</v>
      </c>
      <c r="E644" s="205" t="s">
        <v>187</v>
      </c>
      <c r="F644" s="205">
        <v>1000</v>
      </c>
      <c r="G644" s="188" t="s">
        <v>1704</v>
      </c>
      <c r="H644" s="31">
        <v>1.54</v>
      </c>
      <c r="I644" s="27">
        <f t="shared" si="22"/>
        <v>1540</v>
      </c>
      <c r="J644" s="28" t="s">
        <v>1702</v>
      </c>
      <c r="K644" s="25">
        <v>41282</v>
      </c>
      <c r="L644" s="56">
        <v>41310</v>
      </c>
      <c r="M644" s="29" t="s">
        <v>166</v>
      </c>
      <c r="N644" s="28" t="s">
        <v>1703</v>
      </c>
    </row>
    <row r="645" spans="1:32" ht="12" customHeight="1">
      <c r="A645" s="25">
        <v>41283</v>
      </c>
      <c r="B645" s="225" t="s">
        <v>2014</v>
      </c>
      <c r="C645" s="219" t="s">
        <v>163</v>
      </c>
      <c r="D645" s="225" t="s">
        <v>1887</v>
      </c>
      <c r="E645" s="225" t="s">
        <v>1874</v>
      </c>
      <c r="F645" s="205">
        <v>1000</v>
      </c>
      <c r="G645" s="192" t="s">
        <v>172</v>
      </c>
      <c r="H645" s="31">
        <v>9.15</v>
      </c>
      <c r="I645" s="27">
        <f t="shared" si="22"/>
        <v>9150</v>
      </c>
      <c r="J645" s="28" t="s">
        <v>1767</v>
      </c>
      <c r="K645" s="25">
        <v>41288</v>
      </c>
      <c r="L645" s="56">
        <v>41283</v>
      </c>
      <c r="M645" s="97" t="s">
        <v>167</v>
      </c>
      <c r="N645" s="28" t="s">
        <v>1808</v>
      </c>
      <c r="O645" s="32">
        <v>10898.5</v>
      </c>
      <c r="P645" s="56">
        <v>41295</v>
      </c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  <c r="AA645" s="192"/>
      <c r="AB645" s="192"/>
      <c r="AC645" s="192"/>
      <c r="AD645" s="192"/>
      <c r="AE645" s="192"/>
      <c r="AF645" s="192"/>
    </row>
    <row r="646" spans="1:32" ht="12" customHeight="1">
      <c r="A646" s="25">
        <v>41284</v>
      </c>
      <c r="B646" s="225" t="s">
        <v>1999</v>
      </c>
      <c r="C646" s="220" t="s">
        <v>7</v>
      </c>
      <c r="D646" s="95" t="s">
        <v>5040</v>
      </c>
      <c r="E646" s="205" t="s">
        <v>1713</v>
      </c>
      <c r="F646" s="205">
        <v>1728</v>
      </c>
      <c r="G646" s="190" t="s">
        <v>830</v>
      </c>
      <c r="H646" s="31">
        <v>9.9</v>
      </c>
      <c r="I646" s="27">
        <f t="shared" si="22"/>
        <v>17107.2</v>
      </c>
      <c r="J646" s="28" t="s">
        <v>1776</v>
      </c>
      <c r="K646" s="25">
        <v>41290</v>
      </c>
      <c r="L646" s="56">
        <v>41284</v>
      </c>
      <c r="M646" s="97" t="s">
        <v>167</v>
      </c>
      <c r="N646" s="28" t="s">
        <v>1837</v>
      </c>
      <c r="O646" s="32">
        <v>27144</v>
      </c>
      <c r="P646" s="56">
        <v>41297</v>
      </c>
    </row>
    <row r="647" spans="1:32" ht="12" customHeight="1">
      <c r="A647" s="25">
        <v>41285</v>
      </c>
      <c r="B647" s="225" t="s">
        <v>1989</v>
      </c>
      <c r="C647" s="219" t="s">
        <v>163</v>
      </c>
      <c r="D647" s="225" t="s">
        <v>1877</v>
      </c>
      <c r="E647" s="205" t="s">
        <v>1727</v>
      </c>
      <c r="F647" s="205">
        <v>1000</v>
      </c>
      <c r="G647" s="190" t="s">
        <v>1717</v>
      </c>
      <c r="H647" s="31">
        <v>1.08</v>
      </c>
      <c r="I647" s="27">
        <f t="shared" si="22"/>
        <v>1080</v>
      </c>
      <c r="J647" s="28" t="s">
        <v>1729</v>
      </c>
      <c r="K647" s="25">
        <v>41285</v>
      </c>
      <c r="L647" s="56">
        <v>41310</v>
      </c>
      <c r="M647" s="29" t="s">
        <v>167</v>
      </c>
      <c r="N647" s="28" t="s">
        <v>5330</v>
      </c>
      <c r="O647" s="32">
        <v>52934.25</v>
      </c>
      <c r="P647" s="56">
        <v>41333</v>
      </c>
    </row>
    <row r="648" spans="1:32" ht="12" customHeight="1">
      <c r="A648" s="25">
        <v>41285</v>
      </c>
      <c r="B648" s="225" t="s">
        <v>2010</v>
      </c>
      <c r="C648" s="219" t="s">
        <v>163</v>
      </c>
      <c r="D648" s="225" t="s">
        <v>1982</v>
      </c>
      <c r="E648" s="205">
        <v>8233</v>
      </c>
      <c r="F648" s="205">
        <v>20</v>
      </c>
      <c r="G648" s="190" t="s">
        <v>1730</v>
      </c>
      <c r="H648" s="31">
        <v>73.2</v>
      </c>
      <c r="I648" s="27">
        <f t="shared" si="22"/>
        <v>1464</v>
      </c>
      <c r="J648" s="28" t="s">
        <v>1754</v>
      </c>
      <c r="K648" s="25">
        <v>41288</v>
      </c>
      <c r="L648" s="56">
        <v>41288</v>
      </c>
      <c r="M648" s="97" t="s">
        <v>167</v>
      </c>
      <c r="R648" s="193" t="s">
        <v>1755</v>
      </c>
    </row>
    <row r="649" spans="1:32" ht="12" customHeight="1">
      <c r="A649" s="25">
        <v>41285</v>
      </c>
      <c r="B649" s="225" t="s">
        <v>1999</v>
      </c>
      <c r="C649" s="219" t="s">
        <v>163</v>
      </c>
      <c r="D649" s="225" t="s">
        <v>1930</v>
      </c>
      <c r="E649" s="205" t="s">
        <v>1752</v>
      </c>
      <c r="F649" s="205">
        <v>2500</v>
      </c>
      <c r="G649" s="192" t="s">
        <v>1753</v>
      </c>
      <c r="H649" s="31">
        <v>0.54</v>
      </c>
      <c r="I649" s="27">
        <f t="shared" si="22"/>
        <v>1350</v>
      </c>
      <c r="J649" s="28" t="s">
        <v>1783</v>
      </c>
      <c r="K649" s="25">
        <v>41289</v>
      </c>
      <c r="L649" s="56">
        <v>41288</v>
      </c>
      <c r="M649" s="97" t="s">
        <v>167</v>
      </c>
      <c r="N649" s="28" t="s">
        <v>1837</v>
      </c>
      <c r="O649" s="32">
        <v>27144</v>
      </c>
      <c r="P649" s="56">
        <v>41297</v>
      </c>
    </row>
    <row r="650" spans="1:32" ht="12" customHeight="1">
      <c r="A650" s="25">
        <v>41288</v>
      </c>
      <c r="B650" s="225" t="s">
        <v>1999</v>
      </c>
      <c r="C650" s="219" t="s">
        <v>163</v>
      </c>
      <c r="D650" s="225" t="s">
        <v>1914</v>
      </c>
      <c r="E650" s="205">
        <v>52000183617</v>
      </c>
      <c r="F650" s="205">
        <v>5</v>
      </c>
      <c r="G650" s="193" t="s">
        <v>1757</v>
      </c>
      <c r="H650" s="31">
        <v>862.5</v>
      </c>
      <c r="I650" s="27">
        <f t="shared" si="22"/>
        <v>4312.5</v>
      </c>
      <c r="J650" s="28" t="s">
        <v>1867</v>
      </c>
      <c r="K650" s="25">
        <v>41289</v>
      </c>
      <c r="L650" s="56">
        <v>41288</v>
      </c>
      <c r="M650" s="97" t="s">
        <v>167</v>
      </c>
      <c r="N650" s="28" t="s">
        <v>1837</v>
      </c>
      <c r="O650" s="32">
        <v>27144</v>
      </c>
      <c r="P650" s="56">
        <v>41297</v>
      </c>
    </row>
    <row r="651" spans="1:32" ht="12" customHeight="1">
      <c r="A651" s="25">
        <v>41289</v>
      </c>
      <c r="B651" s="225" t="s">
        <v>2001</v>
      </c>
      <c r="C651" s="219" t="s">
        <v>163</v>
      </c>
      <c r="D651" s="225" t="s">
        <v>1914</v>
      </c>
      <c r="E651" s="205">
        <v>52000183617</v>
      </c>
      <c r="F651" s="205">
        <v>2</v>
      </c>
      <c r="G651" s="194" t="s">
        <v>171</v>
      </c>
      <c r="H651" s="31">
        <v>938</v>
      </c>
      <c r="I651" s="27">
        <f t="shared" si="22"/>
        <v>1876</v>
      </c>
      <c r="J651" s="28" t="s">
        <v>1760</v>
      </c>
      <c r="K651" s="25">
        <v>41289</v>
      </c>
      <c r="L651" s="56">
        <v>41299</v>
      </c>
      <c r="M651" s="97" t="s">
        <v>167</v>
      </c>
      <c r="N651" s="28" t="s">
        <v>1858</v>
      </c>
      <c r="O651" s="32">
        <v>2814</v>
      </c>
      <c r="P651" s="56">
        <v>41298</v>
      </c>
    </row>
    <row r="652" spans="1:32" ht="12" customHeight="1">
      <c r="A652" s="25">
        <v>41289</v>
      </c>
      <c r="B652" s="225" t="s">
        <v>1994</v>
      </c>
      <c r="C652" s="219" t="s">
        <v>163</v>
      </c>
      <c r="D652" s="342" t="s">
        <v>241</v>
      </c>
      <c r="E652" s="205">
        <v>6200</v>
      </c>
      <c r="F652" s="205">
        <v>120</v>
      </c>
      <c r="G652" s="194" t="s">
        <v>1761</v>
      </c>
      <c r="H652" s="31">
        <v>42.5</v>
      </c>
      <c r="I652" s="27">
        <f t="shared" si="22"/>
        <v>5100</v>
      </c>
      <c r="J652" s="28" t="s">
        <v>1769</v>
      </c>
      <c r="K652" s="25">
        <v>41289</v>
      </c>
      <c r="L652" s="56">
        <v>41291</v>
      </c>
      <c r="M652" s="29" t="s">
        <v>167</v>
      </c>
      <c r="N652" s="28" t="s">
        <v>1786</v>
      </c>
      <c r="O652" s="32">
        <v>46002.239999999998</v>
      </c>
      <c r="P652" s="56">
        <v>41289</v>
      </c>
      <c r="Q652" s="194"/>
      <c r="R652" s="194"/>
      <c r="S652" s="194"/>
      <c r="T652" s="194"/>
      <c r="U652" s="194"/>
      <c r="V652" s="194"/>
      <c r="W652" s="194"/>
      <c r="X652" s="194"/>
      <c r="Y652" s="194"/>
      <c r="Z652" s="194"/>
      <c r="AA652" s="194"/>
      <c r="AB652" s="194"/>
      <c r="AC652" s="194"/>
      <c r="AD652" s="194"/>
      <c r="AE652" s="194"/>
      <c r="AF652" s="194"/>
    </row>
    <row r="653" spans="1:32" ht="12" customHeight="1">
      <c r="A653" s="25">
        <v>41289</v>
      </c>
      <c r="B653" s="225" t="s">
        <v>1994</v>
      </c>
      <c r="C653" s="219" t="s">
        <v>163</v>
      </c>
      <c r="D653" s="225" t="s">
        <v>1895</v>
      </c>
      <c r="E653" s="205" t="s">
        <v>146</v>
      </c>
      <c r="F653" s="205">
        <v>420</v>
      </c>
      <c r="G653" s="194" t="s">
        <v>1761</v>
      </c>
      <c r="H653" s="31">
        <v>17</v>
      </c>
      <c r="I653" s="27">
        <f t="shared" si="22"/>
        <v>7140</v>
      </c>
      <c r="J653" s="28" t="s">
        <v>1769</v>
      </c>
      <c r="K653" s="25">
        <v>41289</v>
      </c>
      <c r="L653" s="56">
        <v>41291</v>
      </c>
      <c r="M653" s="29" t="s">
        <v>167</v>
      </c>
      <c r="N653" s="28" t="s">
        <v>1786</v>
      </c>
      <c r="O653" s="32">
        <v>46002.239999999998</v>
      </c>
      <c r="P653" s="56">
        <v>41289</v>
      </c>
    </row>
    <row r="654" spans="1:32" ht="12" customHeight="1">
      <c r="A654" s="25">
        <v>41289</v>
      </c>
      <c r="B654" s="225" t="s">
        <v>1994</v>
      </c>
      <c r="C654" s="219" t="s">
        <v>163</v>
      </c>
      <c r="D654" s="225" t="s">
        <v>274</v>
      </c>
      <c r="E654" s="205" t="s">
        <v>157</v>
      </c>
      <c r="F654" s="205">
        <v>720</v>
      </c>
      <c r="G654" s="194" t="s">
        <v>1761</v>
      </c>
      <c r="H654" s="31">
        <v>29.2</v>
      </c>
      <c r="I654" s="27">
        <f t="shared" si="22"/>
        <v>21024</v>
      </c>
      <c r="J654" s="28" t="s">
        <v>1769</v>
      </c>
      <c r="K654" s="25">
        <v>41289</v>
      </c>
      <c r="L654" s="56">
        <v>41291</v>
      </c>
      <c r="M654" s="29" t="s">
        <v>167</v>
      </c>
      <c r="N654" s="28" t="s">
        <v>1786</v>
      </c>
      <c r="O654" s="32">
        <v>46002.239999999998</v>
      </c>
      <c r="P654" s="56">
        <v>41289</v>
      </c>
    </row>
    <row r="655" spans="1:32" ht="12" customHeight="1">
      <c r="A655" s="25">
        <v>41289</v>
      </c>
      <c r="B655" s="225" t="s">
        <v>1994</v>
      </c>
      <c r="C655" s="219" t="s">
        <v>163</v>
      </c>
      <c r="D655" s="225" t="s">
        <v>1887</v>
      </c>
      <c r="E655" s="205" t="s">
        <v>195</v>
      </c>
      <c r="F655" s="205">
        <v>2200</v>
      </c>
      <c r="G655" s="194" t="s">
        <v>232</v>
      </c>
      <c r="H655" s="31">
        <v>4.75</v>
      </c>
      <c r="I655" s="27">
        <f t="shared" si="22"/>
        <v>10450</v>
      </c>
      <c r="J655" s="28" t="s">
        <v>1769</v>
      </c>
      <c r="K655" s="25">
        <v>41289</v>
      </c>
      <c r="L655" s="56">
        <v>41291</v>
      </c>
      <c r="M655" s="29" t="s">
        <v>167</v>
      </c>
      <c r="N655" s="28" t="s">
        <v>1786</v>
      </c>
      <c r="O655" s="32">
        <v>46002.239999999998</v>
      </c>
      <c r="P655" s="56">
        <v>41289</v>
      </c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  <c r="AA655" s="194"/>
      <c r="AB655" s="194"/>
      <c r="AC655" s="194"/>
      <c r="AD655" s="194"/>
      <c r="AE655" s="194"/>
      <c r="AF655" s="194"/>
    </row>
    <row r="656" spans="1:32" ht="12" customHeight="1">
      <c r="A656" s="25">
        <v>41289</v>
      </c>
      <c r="B656" s="225" t="s">
        <v>1994</v>
      </c>
      <c r="C656" s="219" t="s">
        <v>163</v>
      </c>
      <c r="D656" s="225" t="s">
        <v>1983</v>
      </c>
      <c r="E656" s="205" t="s">
        <v>1764</v>
      </c>
      <c r="F656" s="205">
        <v>144</v>
      </c>
      <c r="G656" s="194" t="s">
        <v>1765</v>
      </c>
      <c r="H656" s="31">
        <v>13.96</v>
      </c>
      <c r="I656" s="27">
        <f t="shared" si="22"/>
        <v>2010.2400000000002</v>
      </c>
      <c r="J656" s="28" t="s">
        <v>1769</v>
      </c>
      <c r="K656" s="25">
        <v>41289</v>
      </c>
      <c r="L656" s="56">
        <v>41291</v>
      </c>
      <c r="M656" s="29" t="s">
        <v>167</v>
      </c>
      <c r="N656" s="28" t="s">
        <v>1786</v>
      </c>
      <c r="O656" s="32">
        <v>46002.239999999998</v>
      </c>
      <c r="P656" s="56">
        <v>41289</v>
      </c>
      <c r="Q656" s="194"/>
      <c r="R656" s="194"/>
      <c r="S656" s="194"/>
      <c r="T656" s="194"/>
      <c r="U656" s="194"/>
      <c r="V656" s="194"/>
      <c r="W656" s="194"/>
      <c r="X656" s="194"/>
      <c r="Y656" s="194"/>
      <c r="Z656" s="194"/>
      <c r="AA656" s="194"/>
      <c r="AB656" s="194"/>
      <c r="AC656" s="194"/>
      <c r="AD656" s="194"/>
      <c r="AE656" s="194"/>
      <c r="AF656" s="194"/>
    </row>
    <row r="657" spans="1:32" ht="12" customHeight="1">
      <c r="A657" s="25">
        <v>41289</v>
      </c>
      <c r="B657" s="225" t="s">
        <v>1994</v>
      </c>
      <c r="C657" s="219" t="s">
        <v>163</v>
      </c>
      <c r="D657" s="225" t="s">
        <v>1882</v>
      </c>
      <c r="E657" s="205">
        <v>501</v>
      </c>
      <c r="F657" s="205">
        <v>200</v>
      </c>
      <c r="G657" s="194" t="s">
        <v>171</v>
      </c>
      <c r="H657" s="31">
        <v>1.39</v>
      </c>
      <c r="I657" s="27">
        <f t="shared" si="22"/>
        <v>278</v>
      </c>
      <c r="J657" s="28" t="s">
        <v>1769</v>
      </c>
      <c r="K657" s="25">
        <v>41289</v>
      </c>
      <c r="L657" s="56">
        <v>41291</v>
      </c>
      <c r="M657" s="29" t="s">
        <v>167</v>
      </c>
      <c r="N657" s="28" t="s">
        <v>1786</v>
      </c>
      <c r="O657" s="32">
        <v>46002.239999999998</v>
      </c>
      <c r="P657" s="56">
        <v>41289</v>
      </c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  <c r="AA657" s="194"/>
      <c r="AB657" s="194"/>
      <c r="AC657" s="194"/>
      <c r="AD657" s="194"/>
      <c r="AE657" s="194"/>
      <c r="AF657" s="194"/>
    </row>
    <row r="658" spans="1:32" ht="12" customHeight="1">
      <c r="A658" s="25">
        <v>41289</v>
      </c>
      <c r="B658" s="225" t="s">
        <v>1994</v>
      </c>
      <c r="C658" s="219" t="s">
        <v>163</v>
      </c>
      <c r="D658" s="1" t="s">
        <v>1880</v>
      </c>
      <c r="E658" s="205">
        <v>6006</v>
      </c>
      <c r="F658" s="205">
        <v>720</v>
      </c>
      <c r="G658" s="194" t="s">
        <v>1761</v>
      </c>
      <c r="H658" s="31">
        <v>49.5</v>
      </c>
      <c r="I658" s="27">
        <f t="shared" si="22"/>
        <v>35640</v>
      </c>
      <c r="J658" s="28" t="s">
        <v>1831</v>
      </c>
      <c r="K658" s="25">
        <v>41296</v>
      </c>
      <c r="L658" s="56">
        <v>41299</v>
      </c>
      <c r="M658" s="29" t="s">
        <v>167</v>
      </c>
      <c r="N658" s="28" t="s">
        <v>1836</v>
      </c>
      <c r="O658" s="32">
        <v>51133</v>
      </c>
      <c r="P658" s="56">
        <v>41296</v>
      </c>
    </row>
    <row r="659" spans="1:32" ht="12" customHeight="1">
      <c r="A659" s="25">
        <v>41289</v>
      </c>
      <c r="B659" s="226" t="s">
        <v>1994</v>
      </c>
      <c r="C659" s="219" t="s">
        <v>163</v>
      </c>
      <c r="D659" s="1" t="s">
        <v>1219</v>
      </c>
      <c r="E659" s="226" t="s">
        <v>179</v>
      </c>
      <c r="F659" s="226">
        <v>100</v>
      </c>
      <c r="G659" s="226" t="s">
        <v>171</v>
      </c>
      <c r="H659" s="31">
        <v>12.6</v>
      </c>
      <c r="I659" s="27">
        <f t="shared" si="22"/>
        <v>1260</v>
      </c>
      <c r="K659" s="25">
        <v>41296</v>
      </c>
      <c r="L659" s="56">
        <v>41303</v>
      </c>
      <c r="M659" s="29" t="s">
        <v>167</v>
      </c>
      <c r="N659" s="28" t="s">
        <v>1836</v>
      </c>
      <c r="O659" s="32">
        <v>51133</v>
      </c>
      <c r="P659" s="56">
        <v>41296</v>
      </c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  <c r="AE659" s="226"/>
      <c r="AF659" s="226"/>
    </row>
    <row r="660" spans="1:32" ht="12" customHeight="1">
      <c r="A660" s="25">
        <v>41289</v>
      </c>
      <c r="B660" s="225" t="s">
        <v>1989</v>
      </c>
      <c r="C660" s="219" t="s">
        <v>163</v>
      </c>
      <c r="D660" s="225" t="s">
        <v>307</v>
      </c>
      <c r="E660" s="205">
        <v>1270</v>
      </c>
      <c r="F660" s="205">
        <v>10</v>
      </c>
      <c r="G660" s="194" t="s">
        <v>1763</v>
      </c>
      <c r="H660" s="31">
        <v>4.3099999999999996</v>
      </c>
      <c r="I660" s="27">
        <f t="shared" si="22"/>
        <v>43.099999999999994</v>
      </c>
      <c r="J660" s="28" t="s">
        <v>1766</v>
      </c>
      <c r="K660" s="25">
        <v>41289</v>
      </c>
      <c r="L660" s="56">
        <v>41310</v>
      </c>
      <c r="M660" s="29" t="s">
        <v>167</v>
      </c>
      <c r="N660" s="28" t="s">
        <v>5330</v>
      </c>
      <c r="O660" s="32">
        <v>52934.25</v>
      </c>
      <c r="P660" s="56">
        <v>41333</v>
      </c>
    </row>
    <row r="661" spans="1:32" ht="12" customHeight="1">
      <c r="A661" s="25">
        <v>41289</v>
      </c>
      <c r="B661" s="225" t="s">
        <v>1993</v>
      </c>
      <c r="C661" s="219" t="s">
        <v>163</v>
      </c>
      <c r="D661" s="342" t="s">
        <v>241</v>
      </c>
      <c r="E661" s="205">
        <v>6200</v>
      </c>
      <c r="F661" s="205">
        <v>5</v>
      </c>
      <c r="G661" s="195" t="s">
        <v>171</v>
      </c>
      <c r="H661" s="31">
        <v>43.7</v>
      </c>
      <c r="I661" s="27">
        <f t="shared" si="22"/>
        <v>218.5</v>
      </c>
      <c r="J661" s="28" t="s">
        <v>1768</v>
      </c>
      <c r="K661" s="25">
        <v>41289</v>
      </c>
      <c r="L661" s="56">
        <v>41305</v>
      </c>
      <c r="M661" s="29" t="s">
        <v>167</v>
      </c>
      <c r="N661" s="28" t="s">
        <v>6173</v>
      </c>
      <c r="O661" s="32">
        <v>35658.1</v>
      </c>
      <c r="P661" s="56">
        <v>41374</v>
      </c>
    </row>
    <row r="662" spans="1:32" ht="12" customHeight="1">
      <c r="A662" s="25">
        <v>41289</v>
      </c>
      <c r="B662" s="225" t="s">
        <v>1999</v>
      </c>
      <c r="C662" s="219" t="s">
        <v>163</v>
      </c>
      <c r="D662" s="225" t="s">
        <v>1947</v>
      </c>
      <c r="E662" s="205">
        <v>1110</v>
      </c>
      <c r="F662" s="205">
        <v>500</v>
      </c>
      <c r="G662" s="195" t="s">
        <v>173</v>
      </c>
      <c r="H662" s="31">
        <v>0.69</v>
      </c>
      <c r="I662" s="27">
        <f t="shared" si="22"/>
        <v>345</v>
      </c>
      <c r="J662" s="28" t="s">
        <v>1867</v>
      </c>
      <c r="K662" s="25">
        <v>41292</v>
      </c>
      <c r="L662" s="28" t="s">
        <v>1856</v>
      </c>
      <c r="M662" s="97" t="s">
        <v>167</v>
      </c>
      <c r="N662" s="28" t="s">
        <v>1837</v>
      </c>
      <c r="O662" s="32">
        <v>27144</v>
      </c>
      <c r="P662" s="56">
        <v>41297</v>
      </c>
    </row>
    <row r="663" spans="1:32" ht="12" customHeight="1">
      <c r="A663" s="25">
        <v>41290</v>
      </c>
      <c r="B663" s="225" t="s">
        <v>1989</v>
      </c>
      <c r="C663" s="219" t="s">
        <v>163</v>
      </c>
      <c r="D663" s="225" t="s">
        <v>307</v>
      </c>
      <c r="E663" s="205">
        <v>1270</v>
      </c>
      <c r="F663" s="205">
        <v>500</v>
      </c>
      <c r="G663" s="197" t="s">
        <v>173</v>
      </c>
      <c r="H663" s="31">
        <v>4.3099999999999996</v>
      </c>
      <c r="I663" s="27">
        <f t="shared" si="22"/>
        <v>2155</v>
      </c>
      <c r="J663" s="28" t="s">
        <v>1777</v>
      </c>
      <c r="K663" s="25">
        <v>41290</v>
      </c>
      <c r="L663" s="56">
        <v>41310</v>
      </c>
      <c r="M663" s="29" t="s">
        <v>167</v>
      </c>
      <c r="N663" s="28" t="s">
        <v>5330</v>
      </c>
      <c r="O663" s="32">
        <v>52934.25</v>
      </c>
      <c r="P663" s="56">
        <v>41333</v>
      </c>
    </row>
    <row r="664" spans="1:32" ht="12" customHeight="1">
      <c r="A664" s="25">
        <v>41290</v>
      </c>
      <c r="B664" s="225" t="s">
        <v>1992</v>
      </c>
      <c r="C664" s="219" t="s">
        <v>163</v>
      </c>
      <c r="D664" s="225" t="s">
        <v>1895</v>
      </c>
      <c r="E664" s="205" t="s">
        <v>1778</v>
      </c>
      <c r="F664" s="205">
        <v>200</v>
      </c>
      <c r="G664" s="197" t="s">
        <v>171</v>
      </c>
      <c r="H664" s="31">
        <v>16.5</v>
      </c>
      <c r="I664" s="27">
        <f t="shared" si="22"/>
        <v>3300</v>
      </c>
      <c r="J664" s="28" t="s">
        <v>1779</v>
      </c>
      <c r="K664" s="25">
        <v>41290</v>
      </c>
      <c r="L664" s="56">
        <v>41292</v>
      </c>
      <c r="M664" s="29" t="s">
        <v>167</v>
      </c>
      <c r="N664" s="28" t="s">
        <v>6268</v>
      </c>
      <c r="O664" s="32">
        <v>37744</v>
      </c>
      <c r="P664" s="56">
        <v>41375</v>
      </c>
    </row>
    <row r="665" spans="1:32" ht="12" customHeight="1">
      <c r="A665" s="25">
        <v>41290</v>
      </c>
      <c r="B665" s="225" t="s">
        <v>1992</v>
      </c>
      <c r="C665" s="219" t="s">
        <v>163</v>
      </c>
      <c r="D665" s="225" t="s">
        <v>672</v>
      </c>
      <c r="E665" s="205" t="s">
        <v>1780</v>
      </c>
      <c r="F665" s="205">
        <v>500</v>
      </c>
      <c r="G665" s="197" t="s">
        <v>171</v>
      </c>
      <c r="H665" s="31">
        <v>3.6</v>
      </c>
      <c r="I665" s="27">
        <f t="shared" si="22"/>
        <v>1800</v>
      </c>
      <c r="J665" s="28" t="s">
        <v>1779</v>
      </c>
      <c r="K665" s="25">
        <v>41290</v>
      </c>
      <c r="L665" s="56">
        <v>41292</v>
      </c>
      <c r="M665" s="29" t="s">
        <v>167</v>
      </c>
      <c r="N665" s="28" t="s">
        <v>6268</v>
      </c>
      <c r="O665" s="32">
        <v>37744</v>
      </c>
      <c r="P665" s="56">
        <v>41375</v>
      </c>
    </row>
    <row r="666" spans="1:32" ht="12" customHeight="1">
      <c r="A666" s="25">
        <v>41290</v>
      </c>
      <c r="B666" s="225" t="s">
        <v>1992</v>
      </c>
      <c r="C666" s="219" t="s">
        <v>163</v>
      </c>
      <c r="D666" s="225" t="s">
        <v>1878</v>
      </c>
      <c r="E666" s="197" t="s">
        <v>1781</v>
      </c>
      <c r="F666" s="205">
        <v>2000</v>
      </c>
      <c r="G666" s="198" t="s">
        <v>230</v>
      </c>
      <c r="H666" s="31">
        <v>1.4</v>
      </c>
      <c r="I666" s="27">
        <f t="shared" si="22"/>
        <v>2800</v>
      </c>
      <c r="J666" s="28" t="s">
        <v>1779</v>
      </c>
      <c r="K666" s="25">
        <v>41290</v>
      </c>
      <c r="L666" s="56">
        <v>41292</v>
      </c>
      <c r="M666" s="29" t="s">
        <v>167</v>
      </c>
      <c r="N666" s="28" t="s">
        <v>6268</v>
      </c>
      <c r="O666" s="32">
        <v>37744</v>
      </c>
      <c r="P666" s="56">
        <v>41375</v>
      </c>
    </row>
    <row r="667" spans="1:32" ht="12" customHeight="1">
      <c r="A667" s="25">
        <v>41291</v>
      </c>
      <c r="B667" s="225" t="s">
        <v>1994</v>
      </c>
      <c r="C667" s="219" t="s">
        <v>163</v>
      </c>
      <c r="D667" s="1" t="s">
        <v>1219</v>
      </c>
      <c r="E667" s="197" t="s">
        <v>1785</v>
      </c>
      <c r="F667" s="205">
        <v>300</v>
      </c>
      <c r="G667" s="197" t="s">
        <v>173</v>
      </c>
      <c r="H667" s="31">
        <v>12.6</v>
      </c>
      <c r="I667" s="27">
        <f t="shared" si="22"/>
        <v>3780</v>
      </c>
      <c r="J667" s="28" t="s">
        <v>1790</v>
      </c>
      <c r="K667" s="25">
        <v>41291</v>
      </c>
      <c r="L667" s="56">
        <v>41291</v>
      </c>
      <c r="M667" s="29" t="s">
        <v>167</v>
      </c>
      <c r="N667" s="28" t="s">
        <v>1836</v>
      </c>
      <c r="O667" s="32">
        <v>51133</v>
      </c>
      <c r="P667" s="56">
        <v>41296</v>
      </c>
      <c r="Q667" s="204"/>
    </row>
    <row r="668" spans="1:32" ht="12" customHeight="1">
      <c r="A668" s="25">
        <v>41291</v>
      </c>
      <c r="B668" s="225" t="s">
        <v>1994</v>
      </c>
      <c r="C668" s="219" t="s">
        <v>163</v>
      </c>
      <c r="D668" s="1" t="s">
        <v>1884</v>
      </c>
      <c r="E668" s="196">
        <v>8247</v>
      </c>
      <c r="F668" s="205">
        <v>120</v>
      </c>
      <c r="G668" s="197" t="s">
        <v>171</v>
      </c>
      <c r="H668" s="31">
        <v>12.35</v>
      </c>
      <c r="I668" s="27">
        <f t="shared" si="22"/>
        <v>1482</v>
      </c>
      <c r="J668" s="28" t="s">
        <v>1790</v>
      </c>
      <c r="K668" s="25">
        <v>41291</v>
      </c>
      <c r="L668" s="56">
        <v>41291</v>
      </c>
      <c r="M668" s="29" t="s">
        <v>167</v>
      </c>
      <c r="N668" s="28" t="s">
        <v>1836</v>
      </c>
      <c r="O668" s="32">
        <v>51133</v>
      </c>
      <c r="P668" s="56">
        <v>41296</v>
      </c>
    </row>
    <row r="669" spans="1:32" ht="12" customHeight="1">
      <c r="A669" s="25">
        <v>41291</v>
      </c>
      <c r="B669" s="225" t="s">
        <v>2022</v>
      </c>
      <c r="C669" s="219" t="s">
        <v>163</v>
      </c>
      <c r="D669" s="225" t="s">
        <v>1984</v>
      </c>
      <c r="E669" s="198" t="s">
        <v>1796</v>
      </c>
      <c r="F669" s="205">
        <v>8000</v>
      </c>
      <c r="G669" s="198" t="s">
        <v>230</v>
      </c>
      <c r="H669" s="31">
        <v>1.55</v>
      </c>
      <c r="I669" s="27">
        <f t="shared" si="22"/>
        <v>12400</v>
      </c>
      <c r="J669" s="28" t="s">
        <v>1867</v>
      </c>
      <c r="K669" s="25">
        <v>41296</v>
      </c>
      <c r="L669" s="56">
        <v>41292</v>
      </c>
      <c r="M669" s="29" t="s">
        <v>167</v>
      </c>
      <c r="N669" s="28" t="s">
        <v>1834</v>
      </c>
      <c r="O669" s="32">
        <v>12400</v>
      </c>
      <c r="P669" s="56">
        <v>41296</v>
      </c>
    </row>
    <row r="670" spans="1:32" ht="12" customHeight="1">
      <c r="A670" s="25">
        <v>41292</v>
      </c>
      <c r="B670" s="225" t="s">
        <v>2016</v>
      </c>
      <c r="C670" s="219" t="s">
        <v>163</v>
      </c>
      <c r="D670" s="225" t="s">
        <v>1962</v>
      </c>
      <c r="E670" s="200" t="s">
        <v>1513</v>
      </c>
      <c r="F670" s="205">
        <v>17</v>
      </c>
      <c r="G670" s="199" t="s">
        <v>230</v>
      </c>
      <c r="H670" s="31">
        <v>85</v>
      </c>
      <c r="I670" s="27">
        <f t="shared" si="22"/>
        <v>1445</v>
      </c>
      <c r="J670" s="28" t="s">
        <v>1867</v>
      </c>
      <c r="K670" s="25">
        <v>41295</v>
      </c>
      <c r="L670" s="56">
        <v>41292</v>
      </c>
      <c r="M670" s="29" t="s">
        <v>1797</v>
      </c>
      <c r="N670" s="28" t="s">
        <v>1835</v>
      </c>
      <c r="O670" s="32">
        <v>1445</v>
      </c>
      <c r="P670" s="56">
        <v>41296</v>
      </c>
    </row>
    <row r="671" spans="1:32" ht="12" customHeight="1">
      <c r="A671" s="25">
        <v>41292</v>
      </c>
      <c r="B671" s="225" t="s">
        <v>1994</v>
      </c>
      <c r="C671" s="219" t="s">
        <v>163</v>
      </c>
      <c r="D671" s="225" t="s">
        <v>1929</v>
      </c>
      <c r="E671" s="196">
        <v>6800</v>
      </c>
      <c r="F671" s="205">
        <v>7</v>
      </c>
      <c r="G671" s="199" t="s">
        <v>230</v>
      </c>
      <c r="H671" s="31">
        <v>425</v>
      </c>
      <c r="I671" s="27">
        <f t="shared" si="22"/>
        <v>2975</v>
      </c>
      <c r="J671" s="28" t="s">
        <v>1867</v>
      </c>
      <c r="K671" s="25">
        <v>41292</v>
      </c>
      <c r="L671" s="56">
        <v>41299</v>
      </c>
      <c r="M671" s="29" t="s">
        <v>167</v>
      </c>
      <c r="N671" s="28" t="s">
        <v>1836</v>
      </c>
      <c r="O671" s="32">
        <v>51133</v>
      </c>
      <c r="P671" s="56">
        <v>41296</v>
      </c>
    </row>
    <row r="672" spans="1:32" ht="12" customHeight="1">
      <c r="A672" s="25">
        <v>41292</v>
      </c>
      <c r="B672" s="225" t="s">
        <v>1994</v>
      </c>
      <c r="C672" s="219" t="s">
        <v>163</v>
      </c>
      <c r="D672" s="5" t="s">
        <v>1227</v>
      </c>
      <c r="E672" s="199" t="s">
        <v>1370</v>
      </c>
      <c r="F672" s="205">
        <v>100</v>
      </c>
      <c r="G672" s="199" t="s">
        <v>230</v>
      </c>
      <c r="H672" s="31">
        <v>35.6</v>
      </c>
      <c r="I672" s="27">
        <f t="shared" si="22"/>
        <v>3560</v>
      </c>
      <c r="J672" s="28" t="s">
        <v>1867</v>
      </c>
      <c r="K672" s="25">
        <v>41292</v>
      </c>
      <c r="L672" s="56">
        <v>41299</v>
      </c>
      <c r="M672" s="29" t="s">
        <v>167</v>
      </c>
      <c r="N672" s="28" t="s">
        <v>1836</v>
      </c>
      <c r="O672" s="32">
        <v>51133</v>
      </c>
      <c r="P672" s="56">
        <v>41296</v>
      </c>
    </row>
    <row r="673" spans="1:32" ht="12" customHeight="1">
      <c r="A673" s="25">
        <v>41292</v>
      </c>
      <c r="B673" s="225" t="s">
        <v>1801</v>
      </c>
      <c r="C673" s="219" t="s">
        <v>163</v>
      </c>
      <c r="D673" s="225" t="s">
        <v>1800</v>
      </c>
      <c r="E673" s="199" t="s">
        <v>1799</v>
      </c>
      <c r="F673" s="205">
        <v>3</v>
      </c>
      <c r="G673" s="199" t="s">
        <v>230</v>
      </c>
      <c r="H673" s="31">
        <v>75</v>
      </c>
      <c r="I673" s="27">
        <f t="shared" si="22"/>
        <v>225</v>
      </c>
      <c r="J673" s="28" t="s">
        <v>1867</v>
      </c>
      <c r="K673" s="25">
        <v>41295</v>
      </c>
      <c r="L673" s="56">
        <v>41292</v>
      </c>
      <c r="M673" s="29" t="s">
        <v>1797</v>
      </c>
    </row>
    <row r="674" spans="1:32" ht="12" customHeight="1">
      <c r="A674" s="25">
        <v>41292</v>
      </c>
      <c r="B674" s="225" t="s">
        <v>1801</v>
      </c>
      <c r="C674" s="219" t="s">
        <v>163</v>
      </c>
      <c r="D674" s="225" t="s">
        <v>1978</v>
      </c>
      <c r="E674" s="199" t="s">
        <v>1798</v>
      </c>
      <c r="F674" s="205">
        <v>3</v>
      </c>
      <c r="G674" s="199" t="s">
        <v>230</v>
      </c>
      <c r="H674" s="31">
        <v>25</v>
      </c>
      <c r="I674" s="27">
        <f t="shared" si="22"/>
        <v>75</v>
      </c>
      <c r="J674" s="28" t="s">
        <v>1867</v>
      </c>
      <c r="K674" s="25">
        <v>41295</v>
      </c>
      <c r="L674" s="56">
        <v>41292</v>
      </c>
      <c r="M674" s="29" t="s">
        <v>1797</v>
      </c>
    </row>
    <row r="675" spans="1:32" ht="12" customHeight="1">
      <c r="A675" s="25">
        <v>41292</v>
      </c>
      <c r="B675" s="225" t="s">
        <v>2021</v>
      </c>
      <c r="C675" s="219" t="s">
        <v>163</v>
      </c>
      <c r="D675" s="225" t="s">
        <v>1979</v>
      </c>
      <c r="E675" s="199" t="s">
        <v>1624</v>
      </c>
      <c r="F675" s="205">
        <v>2</v>
      </c>
      <c r="G675" s="199" t="s">
        <v>1074</v>
      </c>
      <c r="H675" s="31">
        <v>17.82</v>
      </c>
      <c r="I675" s="27">
        <f t="shared" si="22"/>
        <v>35.64</v>
      </c>
      <c r="J675" s="28" t="s">
        <v>1867</v>
      </c>
      <c r="K675" s="25">
        <v>41295</v>
      </c>
      <c r="L675" s="56">
        <v>41292</v>
      </c>
      <c r="M675" s="29" t="s">
        <v>166</v>
      </c>
    </row>
    <row r="676" spans="1:32" ht="12" customHeight="1">
      <c r="A676" s="25">
        <v>41292</v>
      </c>
      <c r="B676" s="225" t="s">
        <v>1989</v>
      </c>
      <c r="C676" s="219" t="s">
        <v>163</v>
      </c>
      <c r="D676" s="225" t="s">
        <v>233</v>
      </c>
      <c r="E676" s="199" t="s">
        <v>187</v>
      </c>
      <c r="F676" s="205">
        <v>3000</v>
      </c>
      <c r="G676" s="199" t="s">
        <v>1804</v>
      </c>
      <c r="H676" s="31">
        <v>1.54</v>
      </c>
      <c r="I676" s="27">
        <f t="shared" si="22"/>
        <v>4620</v>
      </c>
      <c r="J676" s="28" t="s">
        <v>1805</v>
      </c>
      <c r="K676" s="25">
        <v>41292</v>
      </c>
      <c r="L676" s="56">
        <v>41310</v>
      </c>
      <c r="M676" s="29" t="s">
        <v>167</v>
      </c>
      <c r="N676" s="28" t="s">
        <v>5330</v>
      </c>
      <c r="O676" s="32">
        <v>52934.25</v>
      </c>
      <c r="P676" s="56">
        <v>41333</v>
      </c>
    </row>
    <row r="677" spans="1:32" ht="12" customHeight="1">
      <c r="A677" s="25">
        <v>41296</v>
      </c>
      <c r="B677" s="225" t="s">
        <v>2002</v>
      </c>
      <c r="C677" s="219" t="s">
        <v>1862</v>
      </c>
      <c r="D677" s="225" t="s">
        <v>1985</v>
      </c>
      <c r="E677" s="224" t="s">
        <v>1864</v>
      </c>
      <c r="F677" s="206">
        <v>1</v>
      </c>
      <c r="G677" s="224" t="s">
        <v>1866</v>
      </c>
      <c r="H677" s="31">
        <v>27</v>
      </c>
      <c r="I677" s="27">
        <f t="shared" si="22"/>
        <v>27</v>
      </c>
      <c r="J677" s="28" t="s">
        <v>1867</v>
      </c>
      <c r="K677" s="25">
        <v>41296</v>
      </c>
      <c r="L677" s="56">
        <v>41304</v>
      </c>
      <c r="M677" s="29" t="s">
        <v>4932</v>
      </c>
      <c r="N677" s="28" t="s">
        <v>1857</v>
      </c>
      <c r="Q677" s="206"/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6"/>
      <c r="AE677" s="206"/>
      <c r="AF677" s="206"/>
    </row>
    <row r="678" spans="1:32" ht="12" customHeight="1">
      <c r="A678" s="25">
        <v>41296</v>
      </c>
      <c r="B678" s="225" t="s">
        <v>2002</v>
      </c>
      <c r="C678" s="219" t="s">
        <v>1862</v>
      </c>
      <c r="D678" s="225" t="s">
        <v>1986</v>
      </c>
      <c r="E678" s="224" t="s">
        <v>1865</v>
      </c>
      <c r="F678" s="206">
        <v>7</v>
      </c>
      <c r="G678" s="224" t="s">
        <v>1866</v>
      </c>
      <c r="H678" s="31">
        <v>36</v>
      </c>
      <c r="I678" s="27">
        <f t="shared" si="22"/>
        <v>252</v>
      </c>
      <c r="J678" s="28" t="s">
        <v>1867</v>
      </c>
      <c r="K678" s="25">
        <v>41296</v>
      </c>
      <c r="L678" s="56">
        <v>41304</v>
      </c>
      <c r="M678" s="29" t="s">
        <v>4932</v>
      </c>
      <c r="N678" s="28" t="s">
        <v>1857</v>
      </c>
      <c r="Q678" s="206"/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6"/>
      <c r="AE678" s="206"/>
      <c r="AF678" s="206"/>
    </row>
    <row r="679" spans="1:32" ht="12" customHeight="1">
      <c r="A679" s="25">
        <v>41297</v>
      </c>
      <c r="B679" s="225" t="s">
        <v>2014</v>
      </c>
      <c r="C679" s="219" t="s">
        <v>163</v>
      </c>
      <c r="D679" s="5" t="s">
        <v>1227</v>
      </c>
      <c r="E679" s="200" t="s">
        <v>147</v>
      </c>
      <c r="F679" s="205">
        <v>10</v>
      </c>
      <c r="G679" s="200" t="s">
        <v>1833</v>
      </c>
      <c r="H679" s="31">
        <v>40</v>
      </c>
      <c r="I679" s="27">
        <f t="shared" si="22"/>
        <v>400</v>
      </c>
      <c r="J679" s="28" t="s">
        <v>1867</v>
      </c>
      <c r="K679" s="25">
        <v>41302</v>
      </c>
      <c r="L679" s="56">
        <v>41297</v>
      </c>
      <c r="M679" s="29" t="s">
        <v>167</v>
      </c>
    </row>
    <row r="680" spans="1:32" ht="12" customHeight="1">
      <c r="A680" s="25">
        <v>41297</v>
      </c>
      <c r="B680" s="225" t="s">
        <v>2014</v>
      </c>
      <c r="C680" s="219" t="s">
        <v>163</v>
      </c>
      <c r="D680" s="225" t="s">
        <v>1838</v>
      </c>
      <c r="E680" s="196">
        <v>502</v>
      </c>
      <c r="F680" s="205">
        <v>24</v>
      </c>
      <c r="G680" s="200" t="s">
        <v>1833</v>
      </c>
      <c r="H680" s="31">
        <v>12.5</v>
      </c>
      <c r="I680" s="27">
        <f t="shared" si="22"/>
        <v>300</v>
      </c>
      <c r="J680" s="28" t="s">
        <v>1867</v>
      </c>
      <c r="K680" s="25">
        <v>41302</v>
      </c>
      <c r="L680" s="56">
        <v>41297</v>
      </c>
      <c r="M680" s="29" t="s">
        <v>167</v>
      </c>
    </row>
    <row r="681" spans="1:32" ht="12" customHeight="1">
      <c r="A681" s="25">
        <v>41297</v>
      </c>
      <c r="B681" s="225" t="s">
        <v>1992</v>
      </c>
      <c r="C681" s="219" t="s">
        <v>163</v>
      </c>
      <c r="D681" s="225" t="s">
        <v>1929</v>
      </c>
      <c r="E681" s="196">
        <v>6800</v>
      </c>
      <c r="F681" s="205">
        <v>8</v>
      </c>
      <c r="G681" s="200" t="s">
        <v>1833</v>
      </c>
      <c r="H681" s="31">
        <v>418</v>
      </c>
      <c r="I681" s="27">
        <f t="shared" si="22"/>
        <v>3344</v>
      </c>
      <c r="J681" s="28" t="s">
        <v>168</v>
      </c>
      <c r="K681" s="25">
        <v>41305</v>
      </c>
      <c r="L681" s="56">
        <v>41297</v>
      </c>
      <c r="M681" s="29" t="s">
        <v>167</v>
      </c>
      <c r="N681" s="28" t="s">
        <v>6268</v>
      </c>
      <c r="O681" s="32">
        <v>37744</v>
      </c>
      <c r="P681" s="56">
        <v>41375</v>
      </c>
    </row>
    <row r="682" spans="1:32" ht="12" customHeight="1">
      <c r="A682" s="25">
        <v>41297</v>
      </c>
      <c r="B682" s="225" t="s">
        <v>1992</v>
      </c>
      <c r="C682" s="219" t="s">
        <v>163</v>
      </c>
      <c r="D682" s="342" t="s">
        <v>241</v>
      </c>
      <c r="E682" s="196">
        <v>6200</v>
      </c>
      <c r="F682" s="205">
        <v>72</v>
      </c>
      <c r="G682" s="200" t="s">
        <v>1833</v>
      </c>
      <c r="H682" s="31">
        <v>42.5</v>
      </c>
      <c r="I682" s="27">
        <f t="shared" si="22"/>
        <v>3060</v>
      </c>
      <c r="J682" s="28" t="s">
        <v>168</v>
      </c>
      <c r="K682" s="25">
        <v>41305</v>
      </c>
      <c r="L682" s="56">
        <v>41297</v>
      </c>
      <c r="M682" s="29" t="s">
        <v>167</v>
      </c>
      <c r="N682" s="28" t="s">
        <v>6268</v>
      </c>
      <c r="O682" s="32">
        <v>37744</v>
      </c>
      <c r="P682" s="56">
        <v>41375</v>
      </c>
    </row>
    <row r="683" spans="1:32" ht="12" customHeight="1">
      <c r="A683" s="25">
        <v>41297</v>
      </c>
      <c r="B683" s="225" t="s">
        <v>1992</v>
      </c>
      <c r="C683" s="219" t="s">
        <v>163</v>
      </c>
      <c r="D683" s="225" t="s">
        <v>285</v>
      </c>
      <c r="E683" s="196">
        <v>6004</v>
      </c>
      <c r="F683" s="205">
        <v>270</v>
      </c>
      <c r="G683" s="200" t="s">
        <v>1833</v>
      </c>
      <c r="H683" s="31">
        <v>40</v>
      </c>
      <c r="I683" s="27">
        <f t="shared" si="22"/>
        <v>10800</v>
      </c>
      <c r="J683" s="28" t="s">
        <v>168</v>
      </c>
      <c r="K683" s="25">
        <v>41305</v>
      </c>
      <c r="L683" s="56">
        <v>41297</v>
      </c>
      <c r="M683" s="29" t="s">
        <v>167</v>
      </c>
      <c r="N683" s="28" t="s">
        <v>6268</v>
      </c>
      <c r="O683" s="32">
        <v>37744</v>
      </c>
      <c r="P683" s="56">
        <v>41375</v>
      </c>
    </row>
    <row r="684" spans="1:32" ht="12" customHeight="1">
      <c r="A684" s="25">
        <v>41297</v>
      </c>
      <c r="B684" s="225" t="s">
        <v>1992</v>
      </c>
      <c r="C684" s="219" t="s">
        <v>163</v>
      </c>
      <c r="D684" s="225" t="s">
        <v>274</v>
      </c>
      <c r="E684" s="51" t="s">
        <v>157</v>
      </c>
      <c r="F684" s="205">
        <v>180</v>
      </c>
      <c r="G684" s="200" t="s">
        <v>1833</v>
      </c>
      <c r="H684" s="31">
        <v>29</v>
      </c>
      <c r="I684" s="27">
        <f t="shared" si="22"/>
        <v>5220</v>
      </c>
      <c r="J684" s="28" t="s">
        <v>168</v>
      </c>
      <c r="K684" s="25">
        <v>41305</v>
      </c>
      <c r="L684" s="56">
        <v>41297</v>
      </c>
      <c r="M684" s="29" t="s">
        <v>167</v>
      </c>
      <c r="N684" s="28" t="s">
        <v>6268</v>
      </c>
      <c r="O684" s="32">
        <v>37744</v>
      </c>
      <c r="P684" s="56">
        <v>41375</v>
      </c>
    </row>
    <row r="685" spans="1:32" ht="12" customHeight="1">
      <c r="A685" s="25">
        <v>41297</v>
      </c>
      <c r="B685" s="225" t="s">
        <v>1999</v>
      </c>
      <c r="C685" s="219" t="s">
        <v>163</v>
      </c>
      <c r="D685" s="5" t="s">
        <v>1910</v>
      </c>
      <c r="E685" s="203" t="s">
        <v>1839</v>
      </c>
      <c r="F685" s="205">
        <v>360</v>
      </c>
      <c r="G685" s="203" t="s">
        <v>1840</v>
      </c>
      <c r="H685" s="31">
        <v>4</v>
      </c>
      <c r="I685" s="27">
        <f t="shared" si="22"/>
        <v>1440</v>
      </c>
      <c r="J685" s="28" t="s">
        <v>4911</v>
      </c>
      <c r="K685" s="25">
        <v>41303</v>
      </c>
      <c r="L685" s="56" t="s">
        <v>1856</v>
      </c>
      <c r="M685" s="97" t="s">
        <v>167</v>
      </c>
      <c r="N685" s="28" t="s">
        <v>5187</v>
      </c>
      <c r="O685" s="32">
        <v>53168.800000000003</v>
      </c>
      <c r="P685" s="56">
        <v>41330</v>
      </c>
    </row>
    <row r="686" spans="1:32" ht="12" customHeight="1">
      <c r="A686" s="25">
        <v>41297</v>
      </c>
      <c r="B686" s="225" t="s">
        <v>1999</v>
      </c>
      <c r="C686" s="220" t="s">
        <v>7</v>
      </c>
      <c r="D686" s="225" t="s">
        <v>1987</v>
      </c>
      <c r="E686" s="203" t="s">
        <v>1841</v>
      </c>
      <c r="F686" s="205">
        <v>5</v>
      </c>
      <c r="G686" s="203" t="s">
        <v>1842</v>
      </c>
      <c r="H686" s="31">
        <v>170</v>
      </c>
      <c r="I686" s="27">
        <f t="shared" si="22"/>
        <v>850</v>
      </c>
      <c r="J686" s="28" t="s">
        <v>4911</v>
      </c>
      <c r="K686" s="25">
        <v>41303</v>
      </c>
      <c r="L686" s="56" t="s">
        <v>1856</v>
      </c>
      <c r="M686" s="97" t="s">
        <v>167</v>
      </c>
      <c r="N686" s="28" t="s">
        <v>5187</v>
      </c>
      <c r="O686" s="32">
        <v>53168.800000000003</v>
      </c>
      <c r="P686" s="56">
        <v>41330</v>
      </c>
    </row>
    <row r="687" spans="1:32" ht="12" customHeight="1">
      <c r="A687" s="25">
        <v>41297</v>
      </c>
      <c r="B687" s="225" t="s">
        <v>1999</v>
      </c>
      <c r="C687" s="219" t="s">
        <v>163</v>
      </c>
      <c r="D687" s="225" t="s">
        <v>1929</v>
      </c>
      <c r="E687" s="196">
        <v>6800</v>
      </c>
      <c r="F687" s="131">
        <v>18</v>
      </c>
      <c r="G687" s="203" t="s">
        <v>1843</v>
      </c>
      <c r="H687" s="31">
        <v>434</v>
      </c>
      <c r="I687" s="27">
        <f t="shared" si="22"/>
        <v>7812</v>
      </c>
      <c r="J687" s="28" t="s">
        <v>4911</v>
      </c>
      <c r="K687" s="25">
        <v>41303</v>
      </c>
      <c r="L687" s="56" t="s">
        <v>1856</v>
      </c>
      <c r="M687" s="97" t="s">
        <v>167</v>
      </c>
      <c r="N687" s="28" t="s">
        <v>5187</v>
      </c>
      <c r="O687" s="32">
        <v>53168.800000000003</v>
      </c>
      <c r="P687" s="56">
        <v>41330</v>
      </c>
    </row>
    <row r="688" spans="1:32" ht="12" customHeight="1">
      <c r="A688" s="25">
        <v>41297</v>
      </c>
      <c r="B688" s="225" t="s">
        <v>1999</v>
      </c>
      <c r="C688" s="220" t="s">
        <v>7</v>
      </c>
      <c r="D688" s="225" t="s">
        <v>1988</v>
      </c>
      <c r="E688" s="203" t="s">
        <v>1844</v>
      </c>
      <c r="F688" s="203">
        <v>6</v>
      </c>
      <c r="G688" s="203" t="s">
        <v>1845</v>
      </c>
      <c r="H688" s="31">
        <v>57</v>
      </c>
      <c r="I688" s="27">
        <f t="shared" si="22"/>
        <v>342</v>
      </c>
      <c r="J688" s="28" t="s">
        <v>4911</v>
      </c>
      <c r="K688" s="25">
        <v>41303</v>
      </c>
      <c r="L688" s="56" t="s">
        <v>1856</v>
      </c>
      <c r="M688" s="97" t="s">
        <v>167</v>
      </c>
      <c r="N688" s="28" t="s">
        <v>5187</v>
      </c>
      <c r="O688" s="32">
        <v>53168.800000000003</v>
      </c>
      <c r="P688" s="56">
        <v>41330</v>
      </c>
    </row>
    <row r="689" spans="1:32" ht="12" customHeight="1">
      <c r="A689" s="25">
        <v>41298</v>
      </c>
      <c r="B689" s="225" t="s">
        <v>229</v>
      </c>
      <c r="C689" s="219" t="s">
        <v>680</v>
      </c>
      <c r="D689" s="225" t="s">
        <v>233</v>
      </c>
      <c r="E689" s="205" t="s">
        <v>1846</v>
      </c>
      <c r="F689" s="205">
        <v>4000</v>
      </c>
      <c r="G689" s="205" t="s">
        <v>1847</v>
      </c>
      <c r="H689" s="31">
        <v>1.54</v>
      </c>
      <c r="I689" s="27">
        <f t="shared" si="22"/>
        <v>6160</v>
      </c>
      <c r="J689" s="28" t="s">
        <v>1851</v>
      </c>
      <c r="K689" s="25">
        <v>41298</v>
      </c>
      <c r="L689" s="56">
        <v>41310</v>
      </c>
      <c r="M689" s="29" t="s">
        <v>167</v>
      </c>
      <c r="N689" s="28" t="s">
        <v>5330</v>
      </c>
      <c r="O689" s="32">
        <v>52934.25</v>
      </c>
      <c r="P689" s="56">
        <v>41333</v>
      </c>
    </row>
    <row r="690" spans="1:32" ht="12" customHeight="1">
      <c r="A690" s="25">
        <v>41299</v>
      </c>
      <c r="B690" s="225" t="s">
        <v>1993</v>
      </c>
      <c r="C690" s="219" t="s">
        <v>163</v>
      </c>
      <c r="D690" s="225" t="s">
        <v>289</v>
      </c>
      <c r="E690" s="196">
        <v>10434</v>
      </c>
      <c r="F690" s="205">
        <v>30</v>
      </c>
      <c r="G690" s="223" t="s">
        <v>1860</v>
      </c>
      <c r="H690" s="31">
        <v>14.2</v>
      </c>
      <c r="I690" s="27">
        <f t="shared" si="22"/>
        <v>426</v>
      </c>
      <c r="J690" s="28" t="s">
        <v>1861</v>
      </c>
      <c r="K690" s="25">
        <v>41299</v>
      </c>
      <c r="L690" s="56">
        <v>41305</v>
      </c>
      <c r="M690" s="29" t="s">
        <v>167</v>
      </c>
      <c r="N690" s="28" t="s">
        <v>1573</v>
      </c>
    </row>
    <row r="691" spans="1:32" ht="12" customHeight="1">
      <c r="A691" s="25">
        <v>41299</v>
      </c>
      <c r="B691" s="225" t="s">
        <v>2022</v>
      </c>
      <c r="C691" s="219" t="s">
        <v>163</v>
      </c>
      <c r="D691" s="225" t="s">
        <v>1887</v>
      </c>
      <c r="E691" s="204" t="s">
        <v>1874</v>
      </c>
      <c r="F691" s="225">
        <v>260</v>
      </c>
      <c r="G691" s="225" t="s">
        <v>1872</v>
      </c>
      <c r="H691" s="31">
        <v>9.1</v>
      </c>
      <c r="I691" s="27">
        <f t="shared" si="22"/>
        <v>2366</v>
      </c>
      <c r="J691" s="28" t="s">
        <v>1875</v>
      </c>
      <c r="K691" s="25">
        <v>41302</v>
      </c>
      <c r="L691" s="56">
        <v>41299</v>
      </c>
      <c r="M691" s="29" t="s">
        <v>1873</v>
      </c>
      <c r="N691" s="322" t="s">
        <v>5405</v>
      </c>
      <c r="O691" s="321">
        <v>10660.4</v>
      </c>
      <c r="P691" s="56">
        <v>41338</v>
      </c>
      <c r="Q691" s="225"/>
      <c r="R691" s="225"/>
      <c r="S691" s="225"/>
      <c r="T691" s="225"/>
      <c r="U691" s="225"/>
      <c r="V691" s="225"/>
      <c r="W691" s="225"/>
      <c r="X691" s="225"/>
      <c r="Y691" s="225"/>
      <c r="Z691" s="225"/>
      <c r="AA691" s="225"/>
      <c r="AB691" s="225"/>
      <c r="AC691" s="225"/>
      <c r="AD691" s="225"/>
      <c r="AE691" s="225"/>
      <c r="AF691" s="225"/>
    </row>
    <row r="692" spans="1:32" ht="12" customHeight="1">
      <c r="A692" s="25">
        <v>41299</v>
      </c>
      <c r="B692" s="225" t="s">
        <v>2022</v>
      </c>
      <c r="C692" s="219" t="s">
        <v>163</v>
      </c>
      <c r="D692" s="225" t="s">
        <v>1928</v>
      </c>
      <c r="E692" s="301" t="s">
        <v>1871</v>
      </c>
      <c r="F692" s="225">
        <v>436</v>
      </c>
      <c r="G692" s="225" t="s">
        <v>1870</v>
      </c>
      <c r="H692" s="31">
        <v>24.2</v>
      </c>
      <c r="I692" s="27">
        <f t="shared" si="22"/>
        <v>10551.199999999999</v>
      </c>
      <c r="J692" s="28" t="s">
        <v>1875</v>
      </c>
      <c r="K692" s="25">
        <v>41302</v>
      </c>
      <c r="L692" s="56">
        <v>41299</v>
      </c>
      <c r="M692" s="29" t="s">
        <v>1873</v>
      </c>
      <c r="N692" s="322" t="s">
        <v>5405</v>
      </c>
      <c r="O692" s="321">
        <v>10660.4</v>
      </c>
      <c r="P692" s="56">
        <v>41338</v>
      </c>
      <c r="Q692" s="225"/>
      <c r="R692" s="225"/>
      <c r="S692" s="225"/>
      <c r="T692" s="225"/>
      <c r="U692" s="225"/>
      <c r="V692" s="225"/>
      <c r="W692" s="225"/>
      <c r="X692" s="225"/>
      <c r="Y692" s="225"/>
      <c r="Z692" s="225"/>
      <c r="AA692" s="225"/>
      <c r="AB692" s="225"/>
      <c r="AC692" s="225"/>
      <c r="AD692" s="225"/>
      <c r="AE692" s="225"/>
      <c r="AF692" s="225"/>
    </row>
    <row r="693" spans="1:32" ht="12" customHeight="1">
      <c r="A693" s="25">
        <v>41302</v>
      </c>
      <c r="B693" s="225" t="s">
        <v>229</v>
      </c>
      <c r="C693" s="219" t="s">
        <v>163</v>
      </c>
      <c r="D693" s="1" t="s">
        <v>1216</v>
      </c>
      <c r="E693" s="224">
        <v>3200</v>
      </c>
      <c r="F693" s="205">
        <v>100</v>
      </c>
      <c r="G693" s="224" t="s">
        <v>171</v>
      </c>
      <c r="H693" s="31">
        <v>23.94</v>
      </c>
      <c r="I693" s="27">
        <f t="shared" si="22"/>
        <v>2394</v>
      </c>
      <c r="J693" s="28" t="s">
        <v>1868</v>
      </c>
      <c r="K693" s="25">
        <v>41302</v>
      </c>
      <c r="L693" s="56">
        <v>41310</v>
      </c>
      <c r="M693" s="29" t="s">
        <v>167</v>
      </c>
      <c r="N693" s="28" t="s">
        <v>5330</v>
      </c>
      <c r="O693" s="32">
        <v>52934.25</v>
      </c>
      <c r="P693" s="56">
        <v>41333</v>
      </c>
    </row>
    <row r="694" spans="1:32" ht="12" customHeight="1">
      <c r="A694" s="25">
        <v>41302</v>
      </c>
      <c r="B694" s="225" t="s">
        <v>229</v>
      </c>
      <c r="C694" s="219" t="s">
        <v>163</v>
      </c>
      <c r="D694" s="225" t="s">
        <v>1944</v>
      </c>
      <c r="E694" s="224">
        <v>3700</v>
      </c>
      <c r="F694" s="224">
        <v>100</v>
      </c>
      <c r="G694" s="224" t="s">
        <v>171</v>
      </c>
      <c r="H694" s="31">
        <v>3.09</v>
      </c>
      <c r="I694" s="27">
        <f>H694*F694</f>
        <v>309</v>
      </c>
      <c r="J694" s="28" t="s">
        <v>1868</v>
      </c>
      <c r="K694" s="25">
        <v>41302</v>
      </c>
      <c r="L694" s="56">
        <v>41310</v>
      </c>
      <c r="M694" s="29" t="s">
        <v>167</v>
      </c>
      <c r="N694" s="28" t="s">
        <v>5330</v>
      </c>
      <c r="O694" s="32">
        <v>52934.25</v>
      </c>
      <c r="P694" s="56">
        <v>41333</v>
      </c>
    </row>
    <row r="695" spans="1:32" ht="12" customHeight="1">
      <c r="A695" s="25">
        <v>41302</v>
      </c>
      <c r="B695" s="225" t="s">
        <v>229</v>
      </c>
      <c r="C695" s="219" t="s">
        <v>163</v>
      </c>
      <c r="D695" s="225" t="s">
        <v>233</v>
      </c>
      <c r="E695" s="224" t="s">
        <v>187</v>
      </c>
      <c r="F695" s="205">
        <v>500</v>
      </c>
      <c r="G695" s="224" t="s">
        <v>172</v>
      </c>
      <c r="H695" s="31">
        <v>1.54</v>
      </c>
      <c r="I695" s="27">
        <f t="shared" si="22"/>
        <v>770</v>
      </c>
      <c r="J695" s="28" t="s">
        <v>1868</v>
      </c>
      <c r="K695" s="25">
        <v>41302</v>
      </c>
      <c r="L695" s="56">
        <v>41310</v>
      </c>
      <c r="M695" s="29" t="s">
        <v>167</v>
      </c>
      <c r="N695" s="28" t="s">
        <v>5330</v>
      </c>
      <c r="O695" s="32">
        <v>52934.25</v>
      </c>
      <c r="P695" s="56">
        <v>41333</v>
      </c>
    </row>
    <row r="696" spans="1:32" ht="12" customHeight="1">
      <c r="A696" s="25">
        <v>41302</v>
      </c>
      <c r="B696" s="225" t="s">
        <v>229</v>
      </c>
      <c r="C696" s="219" t="s">
        <v>163</v>
      </c>
      <c r="D696" s="225" t="s">
        <v>307</v>
      </c>
      <c r="E696" s="196">
        <v>1270</v>
      </c>
      <c r="F696" s="205">
        <v>200</v>
      </c>
      <c r="G696" s="224" t="s">
        <v>173</v>
      </c>
      <c r="H696" s="31">
        <v>4.3099999999999996</v>
      </c>
      <c r="I696" s="27">
        <f t="shared" si="22"/>
        <v>861.99999999999989</v>
      </c>
      <c r="J696" s="28" t="s">
        <v>1868</v>
      </c>
      <c r="K696" s="25">
        <v>41302</v>
      </c>
      <c r="L696" s="56">
        <v>41310</v>
      </c>
      <c r="M696" s="29" t="s">
        <v>167</v>
      </c>
      <c r="N696" s="28" t="s">
        <v>5330</v>
      </c>
      <c r="O696" s="32">
        <v>52934.25</v>
      </c>
      <c r="P696" s="56">
        <v>41333</v>
      </c>
    </row>
    <row r="697" spans="1:32" ht="12" customHeight="1">
      <c r="A697" s="25">
        <v>41302</v>
      </c>
      <c r="B697" s="225" t="s">
        <v>2014</v>
      </c>
      <c r="C697" s="219" t="s">
        <v>163</v>
      </c>
      <c r="D697" s="5" t="s">
        <v>1227</v>
      </c>
      <c r="E697" s="225" t="s">
        <v>147</v>
      </c>
      <c r="F697" s="205">
        <v>20</v>
      </c>
      <c r="G697" s="225" t="s">
        <v>1870</v>
      </c>
      <c r="H697" s="31">
        <v>40</v>
      </c>
      <c r="I697" s="27">
        <f t="shared" si="22"/>
        <v>800</v>
      </c>
      <c r="J697" s="28" t="s">
        <v>5034</v>
      </c>
      <c r="K697" s="25">
        <v>41309</v>
      </c>
      <c r="L697" s="56">
        <v>41303</v>
      </c>
      <c r="M697" s="29" t="s">
        <v>1876</v>
      </c>
    </row>
    <row r="698" spans="1:32" ht="12" customHeight="1">
      <c r="A698" s="25">
        <v>41303</v>
      </c>
      <c r="B698" s="225" t="s">
        <v>229</v>
      </c>
      <c r="C698" s="219" t="s">
        <v>163</v>
      </c>
      <c r="D698" s="225" t="s">
        <v>352</v>
      </c>
      <c r="E698" s="196">
        <v>7502</v>
      </c>
      <c r="F698" s="205">
        <v>15</v>
      </c>
      <c r="G698" s="225" t="s">
        <v>1870</v>
      </c>
      <c r="H698" s="31">
        <v>122.8</v>
      </c>
      <c r="I698" s="27">
        <f t="shared" si="22"/>
        <v>1842</v>
      </c>
      <c r="J698" s="28" t="s">
        <v>4910</v>
      </c>
      <c r="K698" s="25">
        <v>41303</v>
      </c>
      <c r="L698" s="56">
        <v>41331</v>
      </c>
      <c r="M698" s="29" t="s">
        <v>167</v>
      </c>
      <c r="N698" s="28" t="s">
        <v>5330</v>
      </c>
      <c r="O698" s="32">
        <v>52934.25</v>
      </c>
      <c r="P698" s="56">
        <v>41333</v>
      </c>
    </row>
    <row r="699" spans="1:32" ht="12" customHeight="1">
      <c r="A699" s="25">
        <v>41303</v>
      </c>
      <c r="B699" s="225" t="s">
        <v>229</v>
      </c>
      <c r="C699" s="219" t="s">
        <v>163</v>
      </c>
      <c r="D699" s="225" t="s">
        <v>264</v>
      </c>
      <c r="E699" s="225" t="s">
        <v>4908</v>
      </c>
      <c r="F699" s="205">
        <v>100</v>
      </c>
      <c r="G699" s="225" t="s">
        <v>1870</v>
      </c>
      <c r="H699" s="31">
        <v>1.58</v>
      </c>
      <c r="I699" s="27">
        <f t="shared" si="22"/>
        <v>158</v>
      </c>
      <c r="J699" s="28" t="s">
        <v>4910</v>
      </c>
      <c r="K699" s="25">
        <v>41303</v>
      </c>
      <c r="L699" s="56">
        <v>41331</v>
      </c>
      <c r="M699" s="29" t="s">
        <v>167</v>
      </c>
      <c r="N699" s="28" t="s">
        <v>5330</v>
      </c>
      <c r="O699" s="32">
        <v>52934.25</v>
      </c>
      <c r="P699" s="56">
        <v>41333</v>
      </c>
    </row>
    <row r="700" spans="1:32" ht="12" customHeight="1">
      <c r="A700" s="25">
        <v>41303</v>
      </c>
      <c r="B700" s="225" t="s">
        <v>229</v>
      </c>
      <c r="C700" s="219" t="s">
        <v>163</v>
      </c>
      <c r="D700" s="225" t="s">
        <v>289</v>
      </c>
      <c r="E700" s="196">
        <v>10434</v>
      </c>
      <c r="F700" s="205">
        <v>120</v>
      </c>
      <c r="G700" s="225" t="s">
        <v>4909</v>
      </c>
      <c r="H700" s="31">
        <v>16.079999999999998</v>
      </c>
      <c r="I700" s="27">
        <f t="shared" si="22"/>
        <v>1929.6</v>
      </c>
      <c r="J700" s="28" t="s">
        <v>4910</v>
      </c>
      <c r="K700" s="25">
        <v>41303</v>
      </c>
      <c r="L700" s="56">
        <v>41331</v>
      </c>
      <c r="M700" s="29" t="s">
        <v>167</v>
      </c>
      <c r="N700" s="28" t="s">
        <v>5330</v>
      </c>
      <c r="O700" s="32">
        <v>52934.25</v>
      </c>
      <c r="P700" s="56">
        <v>41333</v>
      </c>
    </row>
    <row r="701" spans="1:32" ht="12" customHeight="1">
      <c r="A701" s="25">
        <v>41304</v>
      </c>
      <c r="B701" s="283" t="s">
        <v>229</v>
      </c>
      <c r="C701" s="219" t="s">
        <v>163</v>
      </c>
      <c r="D701" s="1" t="s">
        <v>1216</v>
      </c>
      <c r="E701" s="196">
        <v>3200</v>
      </c>
      <c r="F701" s="205">
        <v>40</v>
      </c>
      <c r="G701" s="283" t="s">
        <v>4922</v>
      </c>
      <c r="H701" s="31">
        <v>23.94</v>
      </c>
      <c r="I701" s="27">
        <f t="shared" si="22"/>
        <v>957.6</v>
      </c>
      <c r="J701" s="28" t="s">
        <v>4927</v>
      </c>
      <c r="K701" s="25">
        <v>41304</v>
      </c>
      <c r="L701" s="56">
        <v>41331</v>
      </c>
      <c r="M701" s="29" t="s">
        <v>167</v>
      </c>
      <c r="N701" s="28" t="s">
        <v>5330</v>
      </c>
      <c r="O701" s="32">
        <v>52934.25</v>
      </c>
      <c r="P701" s="56">
        <v>41333</v>
      </c>
    </row>
    <row r="702" spans="1:32" ht="12" customHeight="1">
      <c r="A702" s="25">
        <v>41304</v>
      </c>
      <c r="B702" s="283" t="s">
        <v>229</v>
      </c>
      <c r="C702" s="219" t="s">
        <v>163</v>
      </c>
      <c r="D702" s="283" t="s">
        <v>355</v>
      </c>
      <c r="E702" s="283" t="s">
        <v>22</v>
      </c>
      <c r="F702" s="205">
        <v>120</v>
      </c>
      <c r="G702" s="283" t="s">
        <v>4922</v>
      </c>
      <c r="H702" s="31">
        <v>10.94</v>
      </c>
      <c r="I702" s="27">
        <f t="shared" ref="I702:I707" si="23">H702*F702</f>
        <v>1312.8</v>
      </c>
      <c r="J702" s="28" t="s">
        <v>4927</v>
      </c>
      <c r="K702" s="25">
        <v>41304</v>
      </c>
      <c r="L702" s="56">
        <v>41331</v>
      </c>
      <c r="M702" s="29" t="s">
        <v>167</v>
      </c>
      <c r="N702" s="28" t="s">
        <v>5330</v>
      </c>
      <c r="O702" s="32">
        <v>52934.25</v>
      </c>
      <c r="P702" s="56">
        <v>41333</v>
      </c>
    </row>
    <row r="703" spans="1:32" ht="12" customHeight="1">
      <c r="A703" s="25">
        <v>41305</v>
      </c>
      <c r="B703" s="296" t="s">
        <v>229</v>
      </c>
      <c r="C703" s="219" t="s">
        <v>163</v>
      </c>
      <c r="D703" s="5" t="s">
        <v>2023</v>
      </c>
      <c r="E703" s="296" t="s">
        <v>4960</v>
      </c>
      <c r="F703" s="205">
        <v>10</v>
      </c>
      <c r="G703" s="296" t="s">
        <v>4961</v>
      </c>
      <c r="H703" s="31">
        <v>30.15</v>
      </c>
      <c r="I703" s="27">
        <f t="shared" si="23"/>
        <v>301.5</v>
      </c>
      <c r="J703" s="28" t="s">
        <v>4963</v>
      </c>
      <c r="K703" s="25">
        <v>41305</v>
      </c>
      <c r="L703" s="56">
        <v>41331</v>
      </c>
      <c r="M703" s="29" t="s">
        <v>167</v>
      </c>
      <c r="N703" s="28" t="s">
        <v>5330</v>
      </c>
      <c r="O703" s="32">
        <v>52934.25</v>
      </c>
      <c r="P703" s="56">
        <v>41333</v>
      </c>
    </row>
    <row r="704" spans="1:32" ht="12" customHeight="1">
      <c r="A704" s="25">
        <v>41306</v>
      </c>
      <c r="B704" s="297" t="s">
        <v>229</v>
      </c>
      <c r="C704" s="219" t="s">
        <v>163</v>
      </c>
      <c r="D704" s="1" t="s">
        <v>1759</v>
      </c>
      <c r="E704" s="196">
        <v>1621</v>
      </c>
      <c r="F704" s="205">
        <v>5</v>
      </c>
      <c r="G704" s="297" t="s">
        <v>173</v>
      </c>
      <c r="H704" s="31">
        <v>8.84</v>
      </c>
      <c r="I704" s="27">
        <f t="shared" si="23"/>
        <v>44.2</v>
      </c>
      <c r="J704" s="28" t="s">
        <v>4974</v>
      </c>
      <c r="K704" s="25">
        <v>41306</v>
      </c>
      <c r="L704" s="56">
        <v>41331</v>
      </c>
      <c r="M704" s="29" t="s">
        <v>167</v>
      </c>
      <c r="N704" s="28" t="s">
        <v>5330</v>
      </c>
      <c r="O704" s="32">
        <v>52934.25</v>
      </c>
      <c r="P704" s="56">
        <v>41333</v>
      </c>
    </row>
    <row r="705" spans="1:16" ht="12" customHeight="1">
      <c r="A705" s="25">
        <v>41306</v>
      </c>
      <c r="B705" s="297" t="s">
        <v>1993</v>
      </c>
      <c r="C705" s="219" t="s">
        <v>163</v>
      </c>
      <c r="D705" s="5" t="s">
        <v>1895</v>
      </c>
      <c r="E705" s="297" t="s">
        <v>4975</v>
      </c>
      <c r="F705" s="205">
        <v>14</v>
      </c>
      <c r="G705" s="297" t="s">
        <v>4969</v>
      </c>
      <c r="H705" s="31">
        <v>17.2</v>
      </c>
      <c r="I705" s="27">
        <f t="shared" si="23"/>
        <v>240.79999999999998</v>
      </c>
      <c r="J705" s="28" t="s">
        <v>4976</v>
      </c>
      <c r="K705" s="25">
        <v>41306</v>
      </c>
      <c r="L705" s="56">
        <v>41374</v>
      </c>
      <c r="M705" s="29" t="s">
        <v>167</v>
      </c>
      <c r="N705" s="28" t="s">
        <v>6173</v>
      </c>
      <c r="O705" s="32">
        <v>35658.1</v>
      </c>
      <c r="P705" s="56">
        <v>41374</v>
      </c>
    </row>
    <row r="706" spans="1:16" ht="12" customHeight="1">
      <c r="A706" s="25">
        <v>41306</v>
      </c>
      <c r="B706" s="298" t="s">
        <v>1999</v>
      </c>
      <c r="C706" s="219" t="s">
        <v>163</v>
      </c>
      <c r="D706" s="298" t="s">
        <v>1904</v>
      </c>
      <c r="E706" s="298" t="s">
        <v>1327</v>
      </c>
      <c r="F706" s="205">
        <v>22</v>
      </c>
      <c r="G706" s="298" t="s">
        <v>193</v>
      </c>
      <c r="H706" s="31">
        <v>111.72</v>
      </c>
      <c r="I706" s="27">
        <f t="shared" si="23"/>
        <v>2457.84</v>
      </c>
      <c r="J706" s="28" t="s">
        <v>5008</v>
      </c>
      <c r="K706" s="25">
        <v>41309</v>
      </c>
      <c r="L706" s="56">
        <v>41306</v>
      </c>
      <c r="M706" s="29" t="s">
        <v>167</v>
      </c>
      <c r="N706" s="28" t="s">
        <v>5187</v>
      </c>
      <c r="O706" s="32">
        <v>53168.800000000003</v>
      </c>
      <c r="P706" s="56">
        <v>41330</v>
      </c>
    </row>
    <row r="707" spans="1:16" ht="12" customHeight="1">
      <c r="A707" s="25">
        <v>41306</v>
      </c>
      <c r="B707" s="298" t="s">
        <v>1999</v>
      </c>
      <c r="C707" s="219" t="s">
        <v>163</v>
      </c>
      <c r="D707" s="5" t="s">
        <v>2023</v>
      </c>
      <c r="E707" s="298" t="s">
        <v>5005</v>
      </c>
      <c r="F707" s="205">
        <v>60</v>
      </c>
      <c r="G707" s="298" t="s">
        <v>5012</v>
      </c>
      <c r="H707" s="31">
        <v>29.3</v>
      </c>
      <c r="I707" s="27">
        <f t="shared" si="23"/>
        <v>1758</v>
      </c>
      <c r="J707" s="28" t="s">
        <v>5008</v>
      </c>
      <c r="K707" s="25">
        <v>41309</v>
      </c>
      <c r="L707" s="56">
        <v>41306</v>
      </c>
      <c r="M707" s="29" t="s">
        <v>167</v>
      </c>
      <c r="N707" s="28" t="s">
        <v>5187</v>
      </c>
      <c r="O707" s="32">
        <v>53168.800000000003</v>
      </c>
      <c r="P707" s="56">
        <v>41330</v>
      </c>
    </row>
    <row r="708" spans="1:16" ht="12" customHeight="1">
      <c r="A708" s="25">
        <v>41306</v>
      </c>
      <c r="B708" s="298" t="s">
        <v>1999</v>
      </c>
      <c r="C708" s="220" t="s">
        <v>7</v>
      </c>
      <c r="D708" s="298" t="s">
        <v>5009</v>
      </c>
      <c r="E708" s="298" t="s">
        <v>5006</v>
      </c>
      <c r="F708" s="205">
        <v>4800</v>
      </c>
      <c r="G708" s="298" t="s">
        <v>5011</v>
      </c>
      <c r="H708" s="31">
        <v>1.32</v>
      </c>
      <c r="I708" s="27">
        <f t="shared" ref="I708:I730" si="24">H708*F708</f>
        <v>6336</v>
      </c>
      <c r="J708" s="28" t="s">
        <v>5008</v>
      </c>
      <c r="K708" s="25">
        <v>41309</v>
      </c>
      <c r="L708" s="56">
        <v>41306</v>
      </c>
      <c r="M708" s="29" t="s">
        <v>167</v>
      </c>
      <c r="N708" s="28" t="s">
        <v>5187</v>
      </c>
      <c r="O708" s="32">
        <v>53168.800000000003</v>
      </c>
      <c r="P708" s="56">
        <v>41330</v>
      </c>
    </row>
    <row r="709" spans="1:16" ht="12" customHeight="1">
      <c r="A709" s="25">
        <v>41306</v>
      </c>
      <c r="B709" s="298" t="s">
        <v>1999</v>
      </c>
      <c r="C709" s="220" t="s">
        <v>7</v>
      </c>
      <c r="D709" s="298" t="s">
        <v>5010</v>
      </c>
      <c r="E709" s="298" t="s">
        <v>5007</v>
      </c>
      <c r="F709" s="205">
        <v>100</v>
      </c>
      <c r="G709" s="298" t="s">
        <v>5011</v>
      </c>
      <c r="H709" s="31">
        <v>13.39</v>
      </c>
      <c r="I709" s="27">
        <f t="shared" si="24"/>
        <v>1339</v>
      </c>
      <c r="J709" s="28" t="s">
        <v>5008</v>
      </c>
      <c r="K709" s="25">
        <v>41309</v>
      </c>
      <c r="L709" s="56">
        <v>41306</v>
      </c>
      <c r="M709" s="29" t="s">
        <v>167</v>
      </c>
      <c r="N709" s="28" t="s">
        <v>5187</v>
      </c>
      <c r="O709" s="32">
        <v>53168.800000000003</v>
      </c>
      <c r="P709" s="56">
        <v>41330</v>
      </c>
    </row>
    <row r="710" spans="1:16" ht="12" customHeight="1">
      <c r="A710" s="25">
        <v>41306</v>
      </c>
      <c r="B710" s="298" t="s">
        <v>1999</v>
      </c>
      <c r="C710" s="219" t="s">
        <v>864</v>
      </c>
      <c r="D710" s="314" t="s">
        <v>5242</v>
      </c>
      <c r="E710" s="95" t="s">
        <v>1070</v>
      </c>
      <c r="F710" s="205">
        <v>5</v>
      </c>
      <c r="G710" s="377" t="s">
        <v>193</v>
      </c>
      <c r="H710" s="31">
        <v>221</v>
      </c>
      <c r="I710" s="27">
        <f t="shared" si="24"/>
        <v>1105</v>
      </c>
      <c r="J710" s="28" t="s">
        <v>5019</v>
      </c>
      <c r="K710" s="25">
        <v>41309</v>
      </c>
      <c r="L710" s="56">
        <v>41322</v>
      </c>
      <c r="M710" s="29" t="s">
        <v>167</v>
      </c>
      <c r="N710" s="28" t="s">
        <v>5187</v>
      </c>
      <c r="O710" s="32">
        <v>53168.800000000003</v>
      </c>
      <c r="P710" s="56">
        <v>41330</v>
      </c>
    </row>
    <row r="711" spans="1:16" ht="12" customHeight="1">
      <c r="A711" s="25">
        <v>41322</v>
      </c>
      <c r="B711" s="302" t="s">
        <v>229</v>
      </c>
      <c r="C711" s="219" t="s">
        <v>163</v>
      </c>
      <c r="D711" s="302" t="s">
        <v>1984</v>
      </c>
      <c r="E711" s="302" t="s">
        <v>5031</v>
      </c>
      <c r="F711" s="205">
        <v>500</v>
      </c>
      <c r="G711" s="302" t="s">
        <v>5033</v>
      </c>
      <c r="H711" s="31">
        <v>1.55</v>
      </c>
      <c r="I711" s="27">
        <f t="shared" si="24"/>
        <v>775</v>
      </c>
      <c r="J711" s="28" t="s">
        <v>5036</v>
      </c>
      <c r="K711" s="25">
        <v>41322</v>
      </c>
      <c r="L711" s="56">
        <v>41331</v>
      </c>
      <c r="M711" s="29" t="s">
        <v>167</v>
      </c>
      <c r="N711" s="28" t="s">
        <v>5330</v>
      </c>
      <c r="O711" s="32">
        <v>52934.25</v>
      </c>
      <c r="P711" s="56">
        <v>41333</v>
      </c>
    </row>
    <row r="712" spans="1:16" ht="12" customHeight="1">
      <c r="A712" s="25">
        <v>41322</v>
      </c>
      <c r="B712" s="302" t="s">
        <v>229</v>
      </c>
      <c r="C712" s="219" t="s">
        <v>163</v>
      </c>
      <c r="D712" s="303" t="s">
        <v>5080</v>
      </c>
      <c r="E712" s="225">
        <v>8210</v>
      </c>
      <c r="F712" s="205">
        <v>70</v>
      </c>
      <c r="G712" s="302" t="s">
        <v>5033</v>
      </c>
      <c r="H712" s="31">
        <v>4.45</v>
      </c>
      <c r="I712" s="27">
        <f t="shared" si="24"/>
        <v>311.5</v>
      </c>
      <c r="J712" s="28" t="s">
        <v>5036</v>
      </c>
      <c r="K712" s="25">
        <v>41322</v>
      </c>
      <c r="L712" s="56">
        <v>41331</v>
      </c>
      <c r="M712" s="29" t="s">
        <v>167</v>
      </c>
      <c r="N712" s="28" t="s">
        <v>5330</v>
      </c>
      <c r="O712" s="32">
        <v>52934.25</v>
      </c>
      <c r="P712" s="56">
        <v>41333</v>
      </c>
    </row>
    <row r="713" spans="1:16" ht="12" customHeight="1">
      <c r="A713" s="25">
        <v>41322</v>
      </c>
      <c r="B713" s="302" t="s">
        <v>1999</v>
      </c>
      <c r="C713" s="219" t="s">
        <v>163</v>
      </c>
      <c r="D713" s="302" t="s">
        <v>355</v>
      </c>
      <c r="E713" s="302" t="s">
        <v>5039</v>
      </c>
      <c r="F713" s="205">
        <v>460</v>
      </c>
      <c r="G713" s="302" t="s">
        <v>5033</v>
      </c>
      <c r="H713" s="31">
        <v>18.37</v>
      </c>
      <c r="I713" s="27">
        <f t="shared" si="24"/>
        <v>8450.2000000000007</v>
      </c>
      <c r="J713" s="28" t="s">
        <v>5170</v>
      </c>
      <c r="K713" s="25">
        <v>41327</v>
      </c>
      <c r="L713" s="56">
        <v>41322</v>
      </c>
      <c r="M713" s="29" t="s">
        <v>167</v>
      </c>
      <c r="N713" s="28" t="s">
        <v>5187</v>
      </c>
      <c r="O713" s="32">
        <v>53168.800000000003</v>
      </c>
      <c r="P713" s="56">
        <v>41330</v>
      </c>
    </row>
    <row r="714" spans="1:16" ht="12" customHeight="1">
      <c r="A714" s="25">
        <v>41322</v>
      </c>
      <c r="B714" s="302" t="s">
        <v>1999</v>
      </c>
      <c r="C714" s="219" t="s">
        <v>163</v>
      </c>
      <c r="D714" s="302" t="s">
        <v>183</v>
      </c>
      <c r="E714" s="302" t="s">
        <v>5037</v>
      </c>
      <c r="F714" s="205">
        <v>2500</v>
      </c>
      <c r="G714" s="302" t="s">
        <v>5038</v>
      </c>
      <c r="H714" s="31">
        <v>5.0599999999999996</v>
      </c>
      <c r="I714" s="27">
        <f t="shared" si="24"/>
        <v>12649.999999999998</v>
      </c>
      <c r="J714" s="28" t="s">
        <v>5170</v>
      </c>
      <c r="K714" s="25">
        <v>41327</v>
      </c>
      <c r="L714" s="56">
        <v>41322</v>
      </c>
      <c r="M714" s="29" t="s">
        <v>167</v>
      </c>
      <c r="N714" s="28" t="s">
        <v>5187</v>
      </c>
      <c r="O714" s="32">
        <v>53168.800000000003</v>
      </c>
      <c r="P714" s="56">
        <v>41330</v>
      </c>
    </row>
    <row r="715" spans="1:16" ht="12" customHeight="1">
      <c r="A715" s="25">
        <v>41322</v>
      </c>
      <c r="B715" s="302" t="s">
        <v>1999</v>
      </c>
      <c r="C715" s="219" t="s">
        <v>163</v>
      </c>
      <c r="D715" s="302" t="s">
        <v>264</v>
      </c>
      <c r="E715" s="196">
        <v>501</v>
      </c>
      <c r="F715" s="205">
        <v>220</v>
      </c>
      <c r="G715" s="302" t="s">
        <v>5033</v>
      </c>
      <c r="H715" s="31">
        <v>1.43</v>
      </c>
      <c r="I715" s="27">
        <f t="shared" si="24"/>
        <v>314.59999999999997</v>
      </c>
      <c r="J715" s="28" t="s">
        <v>5170</v>
      </c>
      <c r="K715" s="25">
        <v>41327</v>
      </c>
      <c r="L715" s="56">
        <v>41322</v>
      </c>
      <c r="M715" s="29" t="s">
        <v>167</v>
      </c>
      <c r="N715" s="28" t="s">
        <v>5187</v>
      </c>
      <c r="O715" s="32">
        <v>53168.800000000003</v>
      </c>
      <c r="P715" s="56">
        <v>41330</v>
      </c>
    </row>
    <row r="716" spans="1:16" ht="12" customHeight="1">
      <c r="A716" s="25">
        <v>41323</v>
      </c>
      <c r="B716" s="303" t="s">
        <v>229</v>
      </c>
      <c r="C716" s="219" t="s">
        <v>163</v>
      </c>
      <c r="D716" s="303" t="s">
        <v>5064</v>
      </c>
      <c r="E716" s="196">
        <v>85078</v>
      </c>
      <c r="F716" s="205">
        <v>10</v>
      </c>
      <c r="G716" s="303" t="s">
        <v>171</v>
      </c>
      <c r="H716" s="31">
        <v>27</v>
      </c>
      <c r="I716" s="27">
        <f t="shared" si="24"/>
        <v>270</v>
      </c>
      <c r="J716" s="28" t="s">
        <v>5065</v>
      </c>
      <c r="K716" s="25">
        <v>41323</v>
      </c>
      <c r="L716" s="56">
        <v>41331</v>
      </c>
      <c r="M716" s="29" t="s">
        <v>167</v>
      </c>
      <c r="N716" s="28" t="s">
        <v>5330</v>
      </c>
      <c r="O716" s="32">
        <v>52934.25</v>
      </c>
      <c r="P716" s="56">
        <v>41333</v>
      </c>
    </row>
    <row r="717" spans="1:16" ht="12" customHeight="1">
      <c r="A717" s="25">
        <v>41323</v>
      </c>
      <c r="B717" s="303" t="s">
        <v>1993</v>
      </c>
      <c r="C717" s="219" t="s">
        <v>163</v>
      </c>
      <c r="D717" s="342" t="s">
        <v>241</v>
      </c>
      <c r="E717" s="196">
        <v>6200</v>
      </c>
      <c r="F717" s="205">
        <v>504</v>
      </c>
      <c r="G717" s="303" t="s">
        <v>171</v>
      </c>
      <c r="H717" s="31">
        <v>44.5</v>
      </c>
      <c r="I717" s="27">
        <f t="shared" si="24"/>
        <v>22428</v>
      </c>
      <c r="J717" s="28" t="s">
        <v>5068</v>
      </c>
      <c r="K717" s="25">
        <v>41323</v>
      </c>
      <c r="L717" s="56">
        <v>41374</v>
      </c>
      <c r="M717" s="29" t="s">
        <v>167</v>
      </c>
      <c r="N717" s="28" t="s">
        <v>6173</v>
      </c>
      <c r="O717" s="32">
        <v>35658.1</v>
      </c>
      <c r="P717" s="56">
        <v>41374</v>
      </c>
    </row>
    <row r="718" spans="1:16" ht="12" customHeight="1">
      <c r="A718" s="25">
        <v>41323</v>
      </c>
      <c r="B718" s="303" t="s">
        <v>1999</v>
      </c>
      <c r="C718" s="219" t="s">
        <v>163</v>
      </c>
      <c r="D718" s="303" t="s">
        <v>355</v>
      </c>
      <c r="E718" s="303" t="s">
        <v>146</v>
      </c>
      <c r="F718" s="205">
        <v>120</v>
      </c>
      <c r="G718" s="303" t="s">
        <v>171</v>
      </c>
      <c r="H718" s="31">
        <v>18.37</v>
      </c>
      <c r="I718" s="27">
        <f t="shared" si="24"/>
        <v>2204.4</v>
      </c>
      <c r="J718" s="28" t="s">
        <v>5170</v>
      </c>
      <c r="K718" s="25">
        <v>41327</v>
      </c>
      <c r="L718" s="56">
        <v>41326</v>
      </c>
      <c r="M718" s="29" t="s">
        <v>167</v>
      </c>
      <c r="N718" s="28" t="s">
        <v>5187</v>
      </c>
      <c r="O718" s="32">
        <v>53168.800000000003</v>
      </c>
      <c r="P718" s="56">
        <v>41330</v>
      </c>
    </row>
    <row r="719" spans="1:16" ht="12" customHeight="1">
      <c r="A719" s="25">
        <v>41323</v>
      </c>
      <c r="B719" s="303" t="s">
        <v>1999</v>
      </c>
      <c r="C719" s="219" t="s">
        <v>163</v>
      </c>
      <c r="D719" s="318" t="s">
        <v>5080</v>
      </c>
      <c r="E719" s="196">
        <v>8210</v>
      </c>
      <c r="F719" s="205">
        <v>320</v>
      </c>
      <c r="G719" s="303" t="s">
        <v>171</v>
      </c>
      <c r="H719" s="31">
        <v>3.78</v>
      </c>
      <c r="I719" s="27">
        <f t="shared" si="24"/>
        <v>1209.5999999999999</v>
      </c>
      <c r="J719" s="28" t="s">
        <v>5170</v>
      </c>
      <c r="K719" s="25">
        <v>41327</v>
      </c>
      <c r="L719" s="56">
        <v>41326</v>
      </c>
      <c r="M719" s="29" t="s">
        <v>167</v>
      </c>
      <c r="N719" s="28" t="s">
        <v>5187</v>
      </c>
      <c r="O719" s="32">
        <v>53168.800000000003</v>
      </c>
      <c r="P719" s="56">
        <v>41330</v>
      </c>
    </row>
    <row r="720" spans="1:16" ht="12" customHeight="1">
      <c r="A720" s="25">
        <v>41324</v>
      </c>
      <c r="B720" s="304" t="s">
        <v>229</v>
      </c>
      <c r="C720" s="219" t="s">
        <v>163</v>
      </c>
      <c r="D720" s="5" t="s">
        <v>5102</v>
      </c>
      <c r="E720" s="304" t="s">
        <v>5101</v>
      </c>
      <c r="F720" s="205">
        <v>42</v>
      </c>
      <c r="G720" s="304" t="s">
        <v>5096</v>
      </c>
      <c r="H720" s="31">
        <v>12.06</v>
      </c>
      <c r="I720" s="27">
        <f t="shared" si="24"/>
        <v>506.52000000000004</v>
      </c>
      <c r="J720" s="28" t="s">
        <v>5104</v>
      </c>
      <c r="K720" s="25">
        <v>41324</v>
      </c>
      <c r="L720" s="56">
        <v>41331</v>
      </c>
      <c r="M720" s="29" t="s">
        <v>167</v>
      </c>
      <c r="N720" s="28" t="s">
        <v>5330</v>
      </c>
      <c r="O720" s="32">
        <v>52934.25</v>
      </c>
      <c r="P720" s="56">
        <v>41333</v>
      </c>
    </row>
    <row r="721" spans="1:32" ht="12" customHeight="1">
      <c r="A721" s="25">
        <v>41324</v>
      </c>
      <c r="B721" s="304" t="s">
        <v>5105</v>
      </c>
      <c r="C721" s="220" t="s">
        <v>7</v>
      </c>
      <c r="D721" s="95" t="s">
        <v>5040</v>
      </c>
      <c r="E721" s="304" t="s">
        <v>5106</v>
      </c>
      <c r="F721" s="205">
        <v>288</v>
      </c>
      <c r="G721" s="319" t="s">
        <v>830</v>
      </c>
      <c r="H721" s="31">
        <v>10</v>
      </c>
      <c r="I721" s="27">
        <f t="shared" si="24"/>
        <v>2880</v>
      </c>
      <c r="J721" s="28" t="s">
        <v>5113</v>
      </c>
      <c r="K721" s="25">
        <v>41324</v>
      </c>
      <c r="L721" s="56">
        <v>41324</v>
      </c>
      <c r="M721" s="29" t="s">
        <v>167</v>
      </c>
      <c r="N721" s="28" t="s">
        <v>5114</v>
      </c>
      <c r="O721" s="32">
        <v>2880</v>
      </c>
      <c r="P721" s="56">
        <v>41324</v>
      </c>
    </row>
    <row r="722" spans="1:32" ht="12" customHeight="1">
      <c r="A722" s="25">
        <v>41324</v>
      </c>
      <c r="B722" s="304" t="s">
        <v>5107</v>
      </c>
      <c r="C722" s="219" t="s">
        <v>163</v>
      </c>
      <c r="D722" s="304" t="s">
        <v>5108</v>
      </c>
      <c r="E722" s="304">
        <v>52000166497</v>
      </c>
      <c r="F722" s="205">
        <v>25</v>
      </c>
      <c r="G722" s="304" t="s">
        <v>5084</v>
      </c>
      <c r="H722" s="31">
        <v>15.8</v>
      </c>
      <c r="I722" s="27">
        <f t="shared" si="24"/>
        <v>395</v>
      </c>
      <c r="J722" s="28" t="s">
        <v>5155</v>
      </c>
      <c r="K722" s="25">
        <v>41326</v>
      </c>
      <c r="L722" s="56">
        <v>41324</v>
      </c>
      <c r="M722" s="29" t="s">
        <v>167</v>
      </c>
      <c r="N722" s="28" t="s">
        <v>5156</v>
      </c>
      <c r="O722" s="32">
        <v>1250</v>
      </c>
      <c r="P722" s="56">
        <v>41326</v>
      </c>
    </row>
    <row r="723" spans="1:32" ht="12" customHeight="1">
      <c r="A723" s="25">
        <v>41324</v>
      </c>
      <c r="B723" s="304" t="s">
        <v>5107</v>
      </c>
      <c r="C723" s="219" t="s">
        <v>163</v>
      </c>
      <c r="D723" s="304" t="s">
        <v>5109</v>
      </c>
      <c r="E723" s="304">
        <v>52000183666</v>
      </c>
      <c r="F723" s="205">
        <v>50</v>
      </c>
      <c r="G723" s="304" t="s">
        <v>5084</v>
      </c>
      <c r="H723" s="31">
        <v>17.100000000000001</v>
      </c>
      <c r="I723" s="27">
        <f t="shared" si="24"/>
        <v>855.00000000000011</v>
      </c>
      <c r="J723" s="28" t="s">
        <v>5155</v>
      </c>
      <c r="K723" s="25">
        <v>41326</v>
      </c>
      <c r="L723" s="56">
        <v>41324</v>
      </c>
      <c r="M723" s="29" t="s">
        <v>167</v>
      </c>
      <c r="N723" s="28" t="s">
        <v>5156</v>
      </c>
      <c r="O723" s="32">
        <v>1250</v>
      </c>
      <c r="P723" s="56">
        <v>41326</v>
      </c>
    </row>
    <row r="724" spans="1:32" ht="12" customHeight="1">
      <c r="A724" s="25">
        <v>41324</v>
      </c>
      <c r="B724" s="304" t="s">
        <v>5110</v>
      </c>
      <c r="C724" s="219" t="s">
        <v>163</v>
      </c>
      <c r="D724" s="1" t="s">
        <v>1880</v>
      </c>
      <c r="E724" s="196">
        <v>6006</v>
      </c>
      <c r="F724" s="205">
        <v>70</v>
      </c>
      <c r="G724" s="304" t="s">
        <v>5083</v>
      </c>
      <c r="H724" s="31">
        <v>56</v>
      </c>
      <c r="I724" s="27">
        <f t="shared" si="24"/>
        <v>3920</v>
      </c>
      <c r="J724" s="28" t="s">
        <v>5182</v>
      </c>
      <c r="K724" s="25">
        <v>41327</v>
      </c>
      <c r="L724" s="56">
        <v>41340</v>
      </c>
      <c r="M724" s="29" t="s">
        <v>167</v>
      </c>
      <c r="N724" s="28" t="s">
        <v>6268</v>
      </c>
      <c r="O724" s="32">
        <v>37744</v>
      </c>
      <c r="P724" s="56">
        <v>41375</v>
      </c>
    </row>
    <row r="725" spans="1:32" ht="12" customHeight="1">
      <c r="A725" s="25">
        <v>41324</v>
      </c>
      <c r="B725" s="305" t="s">
        <v>1999</v>
      </c>
      <c r="C725" s="219" t="s">
        <v>163</v>
      </c>
      <c r="D725" s="305" t="s">
        <v>828</v>
      </c>
      <c r="E725" s="305" t="s">
        <v>5123</v>
      </c>
      <c r="F725" s="205">
        <v>1000</v>
      </c>
      <c r="G725" s="305" t="s">
        <v>172</v>
      </c>
      <c r="H725" s="31">
        <v>4.9000000000000004</v>
      </c>
      <c r="I725" s="27">
        <f t="shared" si="24"/>
        <v>4900</v>
      </c>
      <c r="J725" s="28" t="s">
        <v>5170</v>
      </c>
      <c r="K725" s="25">
        <v>41327</v>
      </c>
      <c r="L725" s="56">
        <v>41326</v>
      </c>
      <c r="M725" s="29" t="s">
        <v>167</v>
      </c>
      <c r="N725" s="28" t="s">
        <v>6205</v>
      </c>
      <c r="O725" s="32">
        <v>15880.44</v>
      </c>
      <c r="P725" s="56">
        <v>41375</v>
      </c>
    </row>
    <row r="726" spans="1:32" ht="12" customHeight="1">
      <c r="A726" s="25">
        <v>41326</v>
      </c>
      <c r="B726" s="306" t="s">
        <v>229</v>
      </c>
      <c r="C726" s="219" t="s">
        <v>163</v>
      </c>
      <c r="D726" s="1" t="s">
        <v>1216</v>
      </c>
      <c r="E726" s="196">
        <v>3200</v>
      </c>
      <c r="F726" s="205">
        <v>20</v>
      </c>
      <c r="G726" s="306" t="s">
        <v>5158</v>
      </c>
      <c r="H726" s="31">
        <v>23.94</v>
      </c>
      <c r="I726" s="27">
        <f t="shared" si="24"/>
        <v>478.8</v>
      </c>
      <c r="J726" s="28" t="s">
        <v>5159</v>
      </c>
      <c r="K726" s="25">
        <v>41326</v>
      </c>
      <c r="L726" s="56">
        <v>41331</v>
      </c>
      <c r="M726" s="29" t="s">
        <v>167</v>
      </c>
      <c r="N726" s="28" t="s">
        <v>5330</v>
      </c>
      <c r="O726" s="32">
        <v>52934.25</v>
      </c>
      <c r="P726" s="56">
        <v>41333</v>
      </c>
    </row>
    <row r="727" spans="1:32" ht="12" customHeight="1">
      <c r="A727" s="25">
        <v>41326</v>
      </c>
      <c r="B727" s="312" t="s">
        <v>5167</v>
      </c>
      <c r="C727" s="219" t="s">
        <v>163</v>
      </c>
      <c r="D727" s="342" t="s">
        <v>289</v>
      </c>
      <c r="E727" s="196">
        <v>10434</v>
      </c>
      <c r="F727" s="205">
        <v>30</v>
      </c>
      <c r="G727" s="310" t="s">
        <v>5169</v>
      </c>
      <c r="H727" s="31">
        <v>14.2</v>
      </c>
      <c r="I727" s="375">
        <f t="shared" si="24"/>
        <v>426</v>
      </c>
      <c r="J727" s="28" t="s">
        <v>5200</v>
      </c>
      <c r="K727" s="25">
        <v>41330</v>
      </c>
      <c r="L727" s="25">
        <v>41326</v>
      </c>
      <c r="M727" s="29" t="s">
        <v>167</v>
      </c>
      <c r="N727" s="28" t="s">
        <v>6374</v>
      </c>
      <c r="O727" s="32">
        <v>33014</v>
      </c>
      <c r="P727" s="56">
        <v>41380</v>
      </c>
    </row>
    <row r="728" spans="1:32" ht="12" customHeight="1">
      <c r="A728" s="25">
        <v>41326</v>
      </c>
      <c r="B728" s="312" t="s">
        <v>5167</v>
      </c>
      <c r="C728" s="219" t="s">
        <v>163</v>
      </c>
      <c r="D728" s="5" t="s">
        <v>2023</v>
      </c>
      <c r="E728" s="310" t="s">
        <v>5168</v>
      </c>
      <c r="F728" s="310">
        <v>50</v>
      </c>
      <c r="G728" s="310" t="s">
        <v>5169</v>
      </c>
      <c r="H728" s="31">
        <v>27</v>
      </c>
      <c r="I728" s="375">
        <f t="shared" si="24"/>
        <v>1350</v>
      </c>
      <c r="J728" s="28" t="s">
        <v>5200</v>
      </c>
      <c r="K728" s="25">
        <v>41330</v>
      </c>
      <c r="L728" s="25">
        <v>41326</v>
      </c>
      <c r="M728" s="29" t="s">
        <v>167</v>
      </c>
      <c r="N728" s="28" t="s">
        <v>6374</v>
      </c>
      <c r="O728" s="32">
        <v>33014</v>
      </c>
      <c r="P728" s="56">
        <v>41380</v>
      </c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10"/>
      <c r="AB728" s="310"/>
      <c r="AC728" s="310"/>
      <c r="AD728" s="310"/>
      <c r="AE728" s="310"/>
      <c r="AF728" s="310"/>
    </row>
    <row r="729" spans="1:32" ht="12" customHeight="1">
      <c r="A729" s="25">
        <v>41326</v>
      </c>
      <c r="B729" s="312" t="s">
        <v>5167</v>
      </c>
      <c r="C729" s="219" t="s">
        <v>163</v>
      </c>
      <c r="D729" s="310" t="s">
        <v>307</v>
      </c>
      <c r="E729" s="310">
        <v>1270</v>
      </c>
      <c r="F729" s="310">
        <v>100</v>
      </c>
      <c r="G729" s="310" t="s">
        <v>5169</v>
      </c>
      <c r="H729" s="31">
        <v>4.2</v>
      </c>
      <c r="I729" s="375">
        <f t="shared" si="24"/>
        <v>420</v>
      </c>
      <c r="J729" s="28" t="s">
        <v>5200</v>
      </c>
      <c r="K729" s="25">
        <v>41330</v>
      </c>
      <c r="L729" s="25">
        <v>41326</v>
      </c>
      <c r="M729" s="29" t="s">
        <v>167</v>
      </c>
      <c r="N729" s="28" t="s">
        <v>6374</v>
      </c>
      <c r="O729" s="32">
        <v>33014</v>
      </c>
      <c r="P729" s="56">
        <v>41380</v>
      </c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10"/>
      <c r="AB729" s="310"/>
      <c r="AC729" s="310"/>
      <c r="AD729" s="310"/>
      <c r="AE729" s="310"/>
      <c r="AF729" s="310"/>
    </row>
    <row r="730" spans="1:32" ht="12" customHeight="1">
      <c r="A730" s="25">
        <v>41326</v>
      </c>
      <c r="B730" s="312" t="s">
        <v>5167</v>
      </c>
      <c r="C730" s="219" t="s">
        <v>163</v>
      </c>
      <c r="D730" s="310" t="s">
        <v>1838</v>
      </c>
      <c r="E730" s="310">
        <v>502</v>
      </c>
      <c r="F730" s="310">
        <v>20</v>
      </c>
      <c r="G730" s="310" t="s">
        <v>5166</v>
      </c>
      <c r="H730" s="31">
        <v>12.5</v>
      </c>
      <c r="I730" s="375">
        <f t="shared" si="24"/>
        <v>250</v>
      </c>
      <c r="J730" s="28" t="s">
        <v>5200</v>
      </c>
      <c r="K730" s="25">
        <v>41330</v>
      </c>
      <c r="L730" s="25">
        <v>41326</v>
      </c>
      <c r="M730" s="29" t="s">
        <v>167</v>
      </c>
      <c r="N730" s="28" t="s">
        <v>6374</v>
      </c>
      <c r="O730" s="32">
        <v>33014</v>
      </c>
      <c r="P730" s="56">
        <v>41380</v>
      </c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10"/>
      <c r="AB730" s="310"/>
      <c r="AC730" s="310"/>
      <c r="AD730" s="310"/>
      <c r="AE730" s="310"/>
      <c r="AF730" s="310"/>
    </row>
    <row r="731" spans="1:32" ht="12" customHeight="1">
      <c r="A731" s="25">
        <v>41327</v>
      </c>
      <c r="B731" s="310" t="s">
        <v>1999</v>
      </c>
      <c r="C731" s="219" t="s">
        <v>163</v>
      </c>
      <c r="D731" s="314" t="s">
        <v>5230</v>
      </c>
      <c r="E731" s="196">
        <v>9132</v>
      </c>
      <c r="F731" s="367">
        <v>30</v>
      </c>
      <c r="G731" s="310" t="s">
        <v>171</v>
      </c>
      <c r="H731" s="31">
        <v>2.92</v>
      </c>
      <c r="I731" s="27">
        <f>H731*F731</f>
        <v>87.6</v>
      </c>
      <c r="J731" s="28" t="s">
        <v>5189</v>
      </c>
      <c r="K731" s="25">
        <v>41330</v>
      </c>
      <c r="L731" s="56">
        <v>41353</v>
      </c>
      <c r="M731" s="29" t="s">
        <v>167</v>
      </c>
      <c r="N731" s="28" t="s">
        <v>6205</v>
      </c>
      <c r="O731" s="32">
        <v>15880.44</v>
      </c>
      <c r="P731" s="56">
        <v>41375</v>
      </c>
    </row>
    <row r="732" spans="1:32" ht="12" customHeight="1">
      <c r="A732" s="25">
        <v>41327</v>
      </c>
      <c r="B732" s="310" t="s">
        <v>2018</v>
      </c>
      <c r="C732" s="219" t="s">
        <v>163</v>
      </c>
      <c r="D732" s="310" t="s">
        <v>1886</v>
      </c>
      <c r="E732" s="310">
        <v>4941</v>
      </c>
      <c r="F732" s="5" t="s">
        <v>5070</v>
      </c>
      <c r="G732" s="310" t="s">
        <v>27</v>
      </c>
      <c r="H732" s="31">
        <v>359</v>
      </c>
      <c r="I732" s="27">
        <f>H732*10*0.8</f>
        <v>2872</v>
      </c>
      <c r="J732" s="28" t="s">
        <v>5182</v>
      </c>
      <c r="K732" s="25">
        <v>41327</v>
      </c>
      <c r="L732" s="56">
        <v>41327</v>
      </c>
      <c r="M732" s="29" t="s">
        <v>5171</v>
      </c>
    </row>
    <row r="733" spans="1:32" ht="12" customHeight="1">
      <c r="A733" s="25">
        <v>41327</v>
      </c>
      <c r="B733" s="314" t="s">
        <v>5229</v>
      </c>
      <c r="C733" s="219" t="s">
        <v>864</v>
      </c>
      <c r="D733" s="1" t="s">
        <v>5244</v>
      </c>
      <c r="E733" s="1" t="s">
        <v>5225</v>
      </c>
      <c r="F733" s="5">
        <v>50</v>
      </c>
      <c r="G733" s="377" t="s">
        <v>193</v>
      </c>
      <c r="H733" s="31">
        <v>53</v>
      </c>
      <c r="I733" s="27">
        <f>H733*F733</f>
        <v>2650</v>
      </c>
      <c r="J733" s="28" t="s">
        <v>5243</v>
      </c>
      <c r="K733" s="25">
        <v>41331</v>
      </c>
      <c r="L733" s="56">
        <v>41330</v>
      </c>
      <c r="M733" s="29" t="s">
        <v>167</v>
      </c>
      <c r="N733" s="28" t="s">
        <v>5260</v>
      </c>
      <c r="O733" s="32">
        <v>2650</v>
      </c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  <c r="AA733" s="314"/>
      <c r="AB733" s="314"/>
      <c r="AC733" s="314"/>
      <c r="AD733" s="314"/>
      <c r="AE733" s="314"/>
      <c r="AF733" s="314"/>
    </row>
    <row r="734" spans="1:32" ht="12" customHeight="1">
      <c r="A734" s="25">
        <v>41328</v>
      </c>
      <c r="B734" s="311" t="s">
        <v>229</v>
      </c>
      <c r="C734" s="219" t="s">
        <v>163</v>
      </c>
      <c r="D734" s="1" t="s">
        <v>1216</v>
      </c>
      <c r="E734" s="311">
        <v>3200</v>
      </c>
      <c r="F734" s="205">
        <v>100</v>
      </c>
      <c r="G734" s="311" t="s">
        <v>171</v>
      </c>
      <c r="H734" s="31">
        <v>23.94</v>
      </c>
      <c r="I734" s="27">
        <f t="shared" ref="I734" si="25">H734*F734</f>
        <v>2394</v>
      </c>
      <c r="J734" s="28" t="s">
        <v>5181</v>
      </c>
      <c r="K734" s="25">
        <v>41328</v>
      </c>
      <c r="L734" s="56">
        <v>41331</v>
      </c>
      <c r="M734" s="29" t="s">
        <v>167</v>
      </c>
      <c r="N734" s="28" t="s">
        <v>5330</v>
      </c>
      <c r="O734" s="32">
        <v>52934.25</v>
      </c>
      <c r="P734" s="56">
        <v>41333</v>
      </c>
    </row>
    <row r="735" spans="1:32" ht="12" customHeight="1">
      <c r="A735" s="25">
        <v>41328</v>
      </c>
      <c r="B735" s="311" t="s">
        <v>229</v>
      </c>
      <c r="C735" s="219" t="s">
        <v>163</v>
      </c>
      <c r="D735" s="311" t="s">
        <v>1944</v>
      </c>
      <c r="E735" s="196">
        <v>3700</v>
      </c>
      <c r="F735" s="205">
        <v>100</v>
      </c>
      <c r="G735" s="311" t="s">
        <v>171</v>
      </c>
      <c r="H735" s="31">
        <v>3.09</v>
      </c>
      <c r="I735" s="27">
        <f t="shared" ref="I735:I800" si="26">H735*F735</f>
        <v>309</v>
      </c>
      <c r="J735" s="28" t="s">
        <v>5181</v>
      </c>
      <c r="K735" s="25">
        <v>41328</v>
      </c>
      <c r="L735" s="56">
        <v>41331</v>
      </c>
      <c r="M735" s="29" t="s">
        <v>167</v>
      </c>
      <c r="N735" s="28" t="s">
        <v>5330</v>
      </c>
      <c r="O735" s="32">
        <v>52934.25</v>
      </c>
      <c r="P735" s="56">
        <v>41333</v>
      </c>
    </row>
    <row r="736" spans="1:32" ht="12" customHeight="1">
      <c r="A736" s="25">
        <v>41330</v>
      </c>
      <c r="B736" s="311" t="s">
        <v>229</v>
      </c>
      <c r="C736" s="219" t="s">
        <v>163</v>
      </c>
      <c r="D736" s="5" t="s">
        <v>2026</v>
      </c>
      <c r="E736" s="311" t="s">
        <v>5184</v>
      </c>
      <c r="F736" s="205">
        <v>2000</v>
      </c>
      <c r="G736" s="311" t="s">
        <v>171</v>
      </c>
      <c r="H736" s="31">
        <v>1.55</v>
      </c>
      <c r="I736" s="27">
        <f t="shared" si="26"/>
        <v>3100</v>
      </c>
      <c r="J736" s="28" t="s">
        <v>5190</v>
      </c>
      <c r="K736" s="25">
        <v>41330</v>
      </c>
      <c r="L736" s="56">
        <v>41331</v>
      </c>
      <c r="M736" s="29" t="s">
        <v>167</v>
      </c>
      <c r="N736" s="28" t="s">
        <v>5330</v>
      </c>
      <c r="O736" s="32">
        <v>52934.25</v>
      </c>
      <c r="P736" s="56">
        <v>41333</v>
      </c>
    </row>
    <row r="737" spans="1:16" ht="12" customHeight="1">
      <c r="A737" s="25">
        <v>41330</v>
      </c>
      <c r="B737" s="311" t="s">
        <v>229</v>
      </c>
      <c r="C737" s="219" t="s">
        <v>163</v>
      </c>
      <c r="D737" s="311" t="s">
        <v>1944</v>
      </c>
      <c r="E737" s="196">
        <v>3700</v>
      </c>
      <c r="F737" s="205">
        <v>100</v>
      </c>
      <c r="G737" s="311" t="s">
        <v>171</v>
      </c>
      <c r="H737" s="31">
        <v>3.09</v>
      </c>
      <c r="I737" s="27">
        <f t="shared" si="26"/>
        <v>309</v>
      </c>
      <c r="J737" s="28" t="s">
        <v>5190</v>
      </c>
      <c r="K737" s="25">
        <v>41330</v>
      </c>
      <c r="L737" s="56">
        <v>41331</v>
      </c>
      <c r="M737" s="29" t="s">
        <v>167</v>
      </c>
      <c r="N737" s="28" t="s">
        <v>5330</v>
      </c>
      <c r="O737" s="32">
        <v>52934.25</v>
      </c>
      <c r="P737" s="56">
        <v>41333</v>
      </c>
    </row>
    <row r="738" spans="1:16" ht="12" customHeight="1">
      <c r="A738" s="25">
        <v>41330</v>
      </c>
      <c r="B738" s="311" t="s">
        <v>229</v>
      </c>
      <c r="C738" s="219" t="s">
        <v>163</v>
      </c>
      <c r="D738" s="1" t="s">
        <v>1216</v>
      </c>
      <c r="E738" s="196">
        <v>3200</v>
      </c>
      <c r="F738" s="205">
        <v>100</v>
      </c>
      <c r="G738" s="311" t="s">
        <v>171</v>
      </c>
      <c r="H738" s="31">
        <v>23.94</v>
      </c>
      <c r="I738" s="27">
        <f t="shared" si="26"/>
        <v>2394</v>
      </c>
      <c r="J738" s="28" t="s">
        <v>5190</v>
      </c>
      <c r="K738" s="25">
        <v>41330</v>
      </c>
      <c r="L738" s="56">
        <v>41331</v>
      </c>
      <c r="M738" s="29" t="s">
        <v>167</v>
      </c>
      <c r="N738" s="28" t="s">
        <v>5330</v>
      </c>
      <c r="O738" s="32">
        <v>52934.25</v>
      </c>
      <c r="P738" s="56">
        <v>41333</v>
      </c>
    </row>
    <row r="739" spans="1:16" ht="12" customHeight="1">
      <c r="A739" s="25">
        <v>41330</v>
      </c>
      <c r="B739" s="313" t="s">
        <v>229</v>
      </c>
      <c r="C739" s="219" t="s">
        <v>163</v>
      </c>
      <c r="D739" s="313" t="s">
        <v>1944</v>
      </c>
      <c r="E739" s="313">
        <v>3700</v>
      </c>
      <c r="F739" s="313">
        <v>100</v>
      </c>
      <c r="G739" s="313" t="s">
        <v>171</v>
      </c>
      <c r="H739" s="31">
        <v>3.09</v>
      </c>
      <c r="I739" s="27">
        <f t="shared" si="26"/>
        <v>309</v>
      </c>
      <c r="J739" s="28" t="s">
        <v>5198</v>
      </c>
      <c r="K739" s="25">
        <v>41330</v>
      </c>
      <c r="L739" s="56">
        <v>41331</v>
      </c>
      <c r="M739" s="29" t="s">
        <v>167</v>
      </c>
      <c r="N739" s="28" t="s">
        <v>5330</v>
      </c>
      <c r="O739" s="32">
        <v>52934.25</v>
      </c>
      <c r="P739" s="56">
        <v>41333</v>
      </c>
    </row>
    <row r="740" spans="1:16" ht="12" customHeight="1">
      <c r="A740" s="25">
        <v>41330</v>
      </c>
      <c r="B740" s="313" t="s">
        <v>229</v>
      </c>
      <c r="C740" s="219" t="s">
        <v>163</v>
      </c>
      <c r="D740" s="1" t="s">
        <v>1216</v>
      </c>
      <c r="E740" s="313">
        <v>3200</v>
      </c>
      <c r="F740" s="313">
        <v>100</v>
      </c>
      <c r="G740" s="313" t="s">
        <v>171</v>
      </c>
      <c r="H740" s="31">
        <v>23.94</v>
      </c>
      <c r="I740" s="27">
        <f t="shared" si="26"/>
        <v>2394</v>
      </c>
      <c r="J740" s="28" t="s">
        <v>5198</v>
      </c>
      <c r="K740" s="25">
        <v>41330</v>
      </c>
      <c r="L740" s="56">
        <v>41331</v>
      </c>
      <c r="M740" s="29" t="s">
        <v>167</v>
      </c>
      <c r="N740" s="28" t="s">
        <v>5330</v>
      </c>
      <c r="O740" s="32">
        <v>52934.25</v>
      </c>
      <c r="P740" s="56">
        <v>41333</v>
      </c>
    </row>
    <row r="741" spans="1:16" ht="12" customHeight="1">
      <c r="A741" s="25">
        <v>41330</v>
      </c>
      <c r="B741" s="313" t="s">
        <v>229</v>
      </c>
      <c r="C741" s="219" t="s">
        <v>163</v>
      </c>
      <c r="D741" s="313" t="s">
        <v>252</v>
      </c>
      <c r="E741" s="313" t="s">
        <v>5199</v>
      </c>
      <c r="F741" s="205">
        <v>50</v>
      </c>
      <c r="G741" s="313" t="s">
        <v>5195</v>
      </c>
      <c r="H741" s="31">
        <v>1.77</v>
      </c>
      <c r="I741" s="27">
        <f t="shared" si="26"/>
        <v>88.5</v>
      </c>
      <c r="J741" s="28" t="s">
        <v>5198</v>
      </c>
      <c r="K741" s="25">
        <v>41330</v>
      </c>
      <c r="L741" s="56">
        <v>41331</v>
      </c>
      <c r="M741" s="29" t="s">
        <v>167</v>
      </c>
      <c r="N741" s="28" t="s">
        <v>5330</v>
      </c>
      <c r="O741" s="32">
        <v>52934.25</v>
      </c>
      <c r="P741" s="56">
        <v>41333</v>
      </c>
    </row>
    <row r="742" spans="1:16" ht="12" customHeight="1">
      <c r="A742" s="25">
        <v>41330</v>
      </c>
      <c r="B742" s="312" t="s">
        <v>5167</v>
      </c>
      <c r="C742" s="219" t="s">
        <v>163</v>
      </c>
      <c r="D742" s="342" t="s">
        <v>289</v>
      </c>
      <c r="E742" s="196">
        <v>10434</v>
      </c>
      <c r="F742" s="205">
        <v>70</v>
      </c>
      <c r="G742" s="314" t="s">
        <v>5213</v>
      </c>
      <c r="H742" s="31">
        <v>14.2</v>
      </c>
      <c r="I742" s="375">
        <f t="shared" si="26"/>
        <v>994</v>
      </c>
      <c r="J742" s="28" t="s">
        <v>5339</v>
      </c>
      <c r="K742" s="25">
        <v>41333</v>
      </c>
      <c r="L742" s="56">
        <v>41330</v>
      </c>
      <c r="M742" s="29" t="s">
        <v>167</v>
      </c>
      <c r="N742" s="28" t="s">
        <v>6374</v>
      </c>
      <c r="O742" s="32">
        <v>33014</v>
      </c>
      <c r="P742" s="56">
        <v>41380</v>
      </c>
    </row>
    <row r="743" spans="1:16" ht="12" customHeight="1">
      <c r="A743" s="25">
        <v>41330</v>
      </c>
      <c r="B743" s="312" t="s">
        <v>5167</v>
      </c>
      <c r="C743" s="219" t="s">
        <v>163</v>
      </c>
      <c r="D743" s="1" t="s">
        <v>5221</v>
      </c>
      <c r="E743" s="196">
        <v>2076</v>
      </c>
      <c r="F743" s="205">
        <v>200</v>
      </c>
      <c r="G743" s="314" t="s">
        <v>5222</v>
      </c>
      <c r="H743" s="31">
        <v>11</v>
      </c>
      <c r="I743" s="375">
        <f t="shared" si="26"/>
        <v>2200</v>
      </c>
      <c r="J743" s="28" t="s">
        <v>5339</v>
      </c>
      <c r="K743" s="25">
        <v>41333</v>
      </c>
      <c r="L743" s="56">
        <v>41330</v>
      </c>
      <c r="M743" s="29" t="s">
        <v>167</v>
      </c>
      <c r="N743" s="28" t="s">
        <v>6374</v>
      </c>
      <c r="O743" s="32">
        <v>33014</v>
      </c>
      <c r="P743" s="56">
        <v>41380</v>
      </c>
    </row>
    <row r="744" spans="1:16" ht="12" customHeight="1">
      <c r="A744" s="25">
        <v>41331</v>
      </c>
      <c r="B744" s="312" t="s">
        <v>2001</v>
      </c>
      <c r="C744" s="219" t="s">
        <v>5254</v>
      </c>
      <c r="D744" s="315" t="s">
        <v>5255</v>
      </c>
      <c r="E744" s="315" t="s">
        <v>5251</v>
      </c>
      <c r="F744" s="205">
        <v>10</v>
      </c>
      <c r="G744" s="315" t="s">
        <v>5252</v>
      </c>
      <c r="H744" s="31">
        <v>20.5</v>
      </c>
      <c r="I744" s="27">
        <f t="shared" si="26"/>
        <v>205</v>
      </c>
      <c r="J744" s="28" t="s">
        <v>5253</v>
      </c>
      <c r="K744" s="25">
        <v>41331</v>
      </c>
      <c r="L744" s="56">
        <v>41362</v>
      </c>
      <c r="M744" s="97" t="s">
        <v>167</v>
      </c>
      <c r="N744" s="28" t="s">
        <v>6010</v>
      </c>
      <c r="O744" s="32">
        <v>1083.5</v>
      </c>
      <c r="P744" s="56">
        <v>41366</v>
      </c>
    </row>
    <row r="745" spans="1:16" ht="12" customHeight="1">
      <c r="A745" s="25">
        <v>41331</v>
      </c>
      <c r="B745" s="315" t="s">
        <v>229</v>
      </c>
      <c r="C745" s="219" t="s">
        <v>163</v>
      </c>
      <c r="D745" s="5" t="s">
        <v>2026</v>
      </c>
      <c r="E745" s="315" t="s">
        <v>5256</v>
      </c>
      <c r="F745" s="205">
        <v>1000</v>
      </c>
      <c r="G745" s="315" t="s">
        <v>171</v>
      </c>
      <c r="H745" s="31">
        <v>1.55</v>
      </c>
      <c r="I745" s="27">
        <f t="shared" si="26"/>
        <v>1550</v>
      </c>
      <c r="J745" s="28" t="s">
        <v>5259</v>
      </c>
      <c r="K745" s="25">
        <v>41331</v>
      </c>
      <c r="L745" s="56">
        <v>41333</v>
      </c>
      <c r="M745" s="29" t="s">
        <v>167</v>
      </c>
    </row>
    <row r="746" spans="1:16" ht="12" customHeight="1">
      <c r="A746" s="25">
        <v>41331</v>
      </c>
      <c r="B746" s="315" t="s">
        <v>229</v>
      </c>
      <c r="C746" s="219" t="s">
        <v>163</v>
      </c>
      <c r="D746" s="1" t="s">
        <v>1216</v>
      </c>
      <c r="E746" s="196">
        <v>3200</v>
      </c>
      <c r="F746" s="205">
        <v>200</v>
      </c>
      <c r="G746" s="315" t="s">
        <v>171</v>
      </c>
      <c r="H746" s="31">
        <v>23.94</v>
      </c>
      <c r="I746" s="27">
        <f t="shared" si="26"/>
        <v>4788</v>
      </c>
      <c r="J746" s="28" t="s">
        <v>5259</v>
      </c>
      <c r="K746" s="25">
        <v>41331</v>
      </c>
      <c r="L746" s="56">
        <v>41333</v>
      </c>
      <c r="M746" s="29" t="s">
        <v>167</v>
      </c>
    </row>
    <row r="747" spans="1:16" ht="12" customHeight="1">
      <c r="A747" s="25">
        <v>41331</v>
      </c>
      <c r="B747" s="315" t="s">
        <v>229</v>
      </c>
      <c r="C747" s="219" t="s">
        <v>163</v>
      </c>
      <c r="D747" s="5" t="s">
        <v>348</v>
      </c>
      <c r="E747" s="196">
        <v>3700</v>
      </c>
      <c r="F747" s="205">
        <v>200</v>
      </c>
      <c r="G747" s="315" t="s">
        <v>171</v>
      </c>
      <c r="H747" s="31">
        <v>3.09</v>
      </c>
      <c r="I747" s="27">
        <f t="shared" si="26"/>
        <v>618</v>
      </c>
      <c r="J747" s="28" t="s">
        <v>5259</v>
      </c>
      <c r="K747" s="25">
        <v>41331</v>
      </c>
      <c r="L747" s="56">
        <v>41333</v>
      </c>
      <c r="M747" s="29" t="s">
        <v>167</v>
      </c>
    </row>
    <row r="748" spans="1:16" ht="12" customHeight="1">
      <c r="A748" s="25">
        <v>41331</v>
      </c>
      <c r="B748" s="315" t="s">
        <v>229</v>
      </c>
      <c r="C748" s="219" t="s">
        <v>163</v>
      </c>
      <c r="D748" s="5" t="s">
        <v>183</v>
      </c>
      <c r="E748" s="315" t="s">
        <v>5257</v>
      </c>
      <c r="F748" s="205">
        <v>2500</v>
      </c>
      <c r="G748" s="315" t="s">
        <v>5258</v>
      </c>
      <c r="H748" s="31">
        <v>1.54</v>
      </c>
      <c r="I748" s="27">
        <f t="shared" si="26"/>
        <v>3850</v>
      </c>
      <c r="J748" s="28" t="s">
        <v>5259</v>
      </c>
      <c r="K748" s="25">
        <v>41331</v>
      </c>
      <c r="L748" s="56">
        <v>41333</v>
      </c>
      <c r="M748" s="29" t="s">
        <v>167</v>
      </c>
    </row>
    <row r="749" spans="1:16" ht="12" customHeight="1">
      <c r="A749" s="25">
        <v>41332</v>
      </c>
      <c r="B749" s="316" t="s">
        <v>229</v>
      </c>
      <c r="C749" s="219" t="s">
        <v>163</v>
      </c>
      <c r="D749" s="1" t="s">
        <v>1216</v>
      </c>
      <c r="E749" s="316">
        <v>3200</v>
      </c>
      <c r="F749" s="205">
        <v>620</v>
      </c>
      <c r="G749" s="316" t="s">
        <v>171</v>
      </c>
      <c r="H749" s="31">
        <v>23.94</v>
      </c>
      <c r="I749" s="27">
        <f t="shared" si="26"/>
        <v>14842.800000000001</v>
      </c>
      <c r="J749" s="28" t="s">
        <v>5309</v>
      </c>
      <c r="K749" s="25">
        <v>41332</v>
      </c>
      <c r="L749" s="56">
        <v>41351</v>
      </c>
      <c r="M749" s="29" t="s">
        <v>167</v>
      </c>
    </row>
    <row r="750" spans="1:16" ht="12" customHeight="1">
      <c r="A750" s="25">
        <v>41332</v>
      </c>
      <c r="B750" s="316" t="s">
        <v>229</v>
      </c>
      <c r="C750" s="219" t="s">
        <v>163</v>
      </c>
      <c r="D750" s="5" t="s">
        <v>348</v>
      </c>
      <c r="E750" s="316">
        <v>3700</v>
      </c>
      <c r="F750" s="205">
        <v>600</v>
      </c>
      <c r="G750" s="316" t="s">
        <v>171</v>
      </c>
      <c r="H750" s="31">
        <v>3.09</v>
      </c>
      <c r="I750" s="27">
        <f t="shared" si="26"/>
        <v>1854</v>
      </c>
      <c r="J750" s="28" t="s">
        <v>5309</v>
      </c>
      <c r="K750" s="25">
        <v>41332</v>
      </c>
      <c r="L750" s="56">
        <v>41351</v>
      </c>
      <c r="M750" s="29" t="s">
        <v>167</v>
      </c>
    </row>
    <row r="751" spans="1:16" ht="12" customHeight="1">
      <c r="A751" s="25">
        <v>41332</v>
      </c>
      <c r="B751" s="316" t="s">
        <v>229</v>
      </c>
      <c r="C751" s="219" t="s">
        <v>163</v>
      </c>
      <c r="D751" s="5" t="s">
        <v>183</v>
      </c>
      <c r="E751" s="316" t="s">
        <v>187</v>
      </c>
      <c r="F751" s="205">
        <v>1500</v>
      </c>
      <c r="G751" s="316" t="s">
        <v>172</v>
      </c>
      <c r="H751" s="31">
        <v>1.54</v>
      </c>
      <c r="I751" s="27">
        <f t="shared" si="26"/>
        <v>2310</v>
      </c>
      <c r="J751" s="28" t="s">
        <v>5309</v>
      </c>
      <c r="K751" s="25">
        <v>41332</v>
      </c>
      <c r="L751" s="56">
        <v>41351</v>
      </c>
      <c r="M751" s="29" t="s">
        <v>167</v>
      </c>
    </row>
    <row r="752" spans="1:16" ht="12" customHeight="1">
      <c r="A752" s="25">
        <v>41332</v>
      </c>
      <c r="B752" s="316" t="s">
        <v>229</v>
      </c>
      <c r="C752" s="219" t="s">
        <v>163</v>
      </c>
      <c r="D752" s="316" t="s">
        <v>5312</v>
      </c>
      <c r="E752" s="316" t="s">
        <v>5308</v>
      </c>
      <c r="F752" s="205">
        <v>2200</v>
      </c>
      <c r="G752" s="316" t="s">
        <v>171</v>
      </c>
      <c r="H752" s="31">
        <v>1.75</v>
      </c>
      <c r="I752" s="27">
        <f t="shared" si="26"/>
        <v>3850</v>
      </c>
      <c r="J752" s="28" t="s">
        <v>5309</v>
      </c>
      <c r="K752" s="25">
        <v>41332</v>
      </c>
      <c r="L752" s="56">
        <v>41362</v>
      </c>
      <c r="M752" s="29" t="s">
        <v>166</v>
      </c>
    </row>
    <row r="753" spans="1:32" ht="12" customHeight="1">
      <c r="A753" s="25">
        <v>41332</v>
      </c>
      <c r="B753" s="312" t="s">
        <v>5167</v>
      </c>
      <c r="C753" s="219" t="s">
        <v>163</v>
      </c>
      <c r="D753" s="1" t="s">
        <v>1774</v>
      </c>
      <c r="E753" s="196">
        <v>1860</v>
      </c>
      <c r="F753" s="205">
        <v>120</v>
      </c>
      <c r="G753" s="318" t="s">
        <v>171</v>
      </c>
      <c r="H753" s="31">
        <v>9.5</v>
      </c>
      <c r="I753" s="27">
        <f>H753*F753</f>
        <v>1140</v>
      </c>
      <c r="J753" s="28" t="s">
        <v>5359</v>
      </c>
      <c r="K753" s="25">
        <v>41333</v>
      </c>
      <c r="L753" s="56">
        <v>41332</v>
      </c>
      <c r="M753" s="29" t="s">
        <v>166</v>
      </c>
      <c r="N753" s="28" t="s">
        <v>5363</v>
      </c>
    </row>
    <row r="754" spans="1:32" ht="12" customHeight="1">
      <c r="A754" s="25">
        <v>41332</v>
      </c>
      <c r="B754" s="318" t="s">
        <v>1999</v>
      </c>
      <c r="C754" s="219" t="s">
        <v>864</v>
      </c>
      <c r="D754" s="318" t="s">
        <v>5362</v>
      </c>
      <c r="E754" s="95" t="s">
        <v>1070</v>
      </c>
      <c r="F754" s="367">
        <v>4</v>
      </c>
      <c r="G754" s="377" t="s">
        <v>193</v>
      </c>
      <c r="H754" s="31">
        <v>221</v>
      </c>
      <c r="I754" s="27">
        <f>H754*F754</f>
        <v>884</v>
      </c>
      <c r="J754" s="28" t="s">
        <v>5361</v>
      </c>
      <c r="K754" s="25">
        <v>41334</v>
      </c>
      <c r="L754" s="56">
        <v>41353</v>
      </c>
      <c r="M754" s="29" t="s">
        <v>5714</v>
      </c>
      <c r="N754" s="28" t="s">
        <v>6204</v>
      </c>
      <c r="Q754" s="318"/>
      <c r="R754" s="318"/>
      <c r="S754" s="318"/>
      <c r="T754" s="318"/>
      <c r="U754" s="318"/>
      <c r="V754" s="318"/>
      <c r="W754" s="318"/>
      <c r="X754" s="318"/>
      <c r="Y754" s="318"/>
      <c r="Z754" s="318"/>
      <c r="AA754" s="318"/>
      <c r="AB754" s="318"/>
      <c r="AC754" s="318"/>
      <c r="AD754" s="318"/>
      <c r="AE754" s="318"/>
      <c r="AF754" s="318"/>
    </row>
    <row r="755" spans="1:32" ht="12" customHeight="1">
      <c r="A755" s="25">
        <v>41333</v>
      </c>
      <c r="B755" s="317" t="s">
        <v>229</v>
      </c>
      <c r="C755" s="220" t="s">
        <v>7</v>
      </c>
      <c r="D755" s="5" t="s">
        <v>1672</v>
      </c>
      <c r="E755" s="317" t="s">
        <v>5334</v>
      </c>
      <c r="F755" s="205">
        <v>1</v>
      </c>
      <c r="G755" s="317" t="s">
        <v>5335</v>
      </c>
      <c r="H755" s="31">
        <v>70</v>
      </c>
      <c r="I755" s="27">
        <f t="shared" si="26"/>
        <v>70</v>
      </c>
      <c r="J755" s="28" t="s">
        <v>5336</v>
      </c>
      <c r="K755" s="25">
        <v>41333</v>
      </c>
      <c r="L755" s="56">
        <v>41362</v>
      </c>
      <c r="M755" s="29" t="s">
        <v>166</v>
      </c>
    </row>
    <row r="756" spans="1:32" ht="12" customHeight="1">
      <c r="A756" s="25">
        <v>41333</v>
      </c>
      <c r="B756" s="317" t="s">
        <v>229</v>
      </c>
      <c r="C756" s="219" t="s">
        <v>163</v>
      </c>
      <c r="D756" s="1" t="s">
        <v>1216</v>
      </c>
      <c r="E756" s="317">
        <v>3200</v>
      </c>
      <c r="F756" s="205">
        <v>120</v>
      </c>
      <c r="G756" s="317" t="s">
        <v>171</v>
      </c>
      <c r="H756" s="31">
        <v>23.94</v>
      </c>
      <c r="I756" s="27">
        <f t="shared" si="26"/>
        <v>2872.8</v>
      </c>
      <c r="J756" s="28" t="s">
        <v>5388</v>
      </c>
      <c r="K756" s="25">
        <v>41333</v>
      </c>
      <c r="L756" s="56">
        <v>41362</v>
      </c>
      <c r="M756" s="29" t="s">
        <v>166</v>
      </c>
    </row>
    <row r="757" spans="1:32" ht="12" customHeight="1">
      <c r="A757" s="25">
        <v>41333</v>
      </c>
      <c r="B757" s="317" t="s">
        <v>229</v>
      </c>
      <c r="C757" s="219" t="s">
        <v>163</v>
      </c>
      <c r="D757" s="5" t="s">
        <v>348</v>
      </c>
      <c r="E757" s="317">
        <v>3700</v>
      </c>
      <c r="F757" s="205">
        <v>100</v>
      </c>
      <c r="G757" s="317" t="s">
        <v>171</v>
      </c>
      <c r="H757" s="31">
        <v>3.09</v>
      </c>
      <c r="I757" s="27">
        <f t="shared" si="26"/>
        <v>309</v>
      </c>
      <c r="J757" s="28" t="s">
        <v>5388</v>
      </c>
      <c r="K757" s="25">
        <v>41333</v>
      </c>
      <c r="L757" s="56">
        <v>41362</v>
      </c>
      <c r="M757" s="29" t="s">
        <v>166</v>
      </c>
    </row>
    <row r="758" spans="1:32" ht="12" customHeight="1">
      <c r="A758" s="25">
        <v>41333</v>
      </c>
      <c r="B758" s="318" t="s">
        <v>229</v>
      </c>
      <c r="C758" s="219" t="s">
        <v>163</v>
      </c>
      <c r="D758" s="318" t="s">
        <v>352</v>
      </c>
      <c r="E758" s="196">
        <v>7502</v>
      </c>
      <c r="F758" s="205">
        <v>30</v>
      </c>
      <c r="G758" s="318" t="s">
        <v>171</v>
      </c>
      <c r="H758" s="31">
        <v>122.8</v>
      </c>
      <c r="I758" s="27">
        <f t="shared" si="26"/>
        <v>3684</v>
      </c>
      <c r="J758" s="28" t="s">
        <v>5388</v>
      </c>
      <c r="K758" s="25">
        <v>41333</v>
      </c>
      <c r="L758" s="56">
        <v>41362</v>
      </c>
      <c r="M758" s="29" t="s">
        <v>166</v>
      </c>
    </row>
    <row r="759" spans="1:32" ht="12" customHeight="1">
      <c r="A759" s="25">
        <v>41333</v>
      </c>
      <c r="B759" s="324" t="s">
        <v>1996</v>
      </c>
      <c r="C759" s="219" t="s">
        <v>163</v>
      </c>
      <c r="D759" s="324" t="s">
        <v>1902</v>
      </c>
      <c r="E759" s="330" t="s">
        <v>1327</v>
      </c>
      <c r="F759" s="205">
        <v>350</v>
      </c>
      <c r="G759" s="324" t="s">
        <v>193</v>
      </c>
      <c r="H759" s="31">
        <v>107.64</v>
      </c>
      <c r="I759" s="27">
        <f t="shared" ref="I759:I762" si="27">H759*F759</f>
        <v>37674</v>
      </c>
      <c r="J759" s="28" t="s">
        <v>5441</v>
      </c>
      <c r="K759" s="25">
        <v>41339</v>
      </c>
      <c r="L759" s="56">
        <v>41333</v>
      </c>
      <c r="M759" s="29" t="s">
        <v>167</v>
      </c>
      <c r="N759" s="28" t="s">
        <v>5634</v>
      </c>
      <c r="O759" s="32">
        <v>37674</v>
      </c>
      <c r="P759" s="56">
        <v>41348</v>
      </c>
    </row>
    <row r="760" spans="1:32" ht="12" customHeight="1">
      <c r="A760" s="25">
        <v>41333</v>
      </c>
      <c r="B760" s="333" t="s">
        <v>1997</v>
      </c>
      <c r="C760" s="219" t="s">
        <v>163</v>
      </c>
      <c r="D760" s="5" t="s">
        <v>1915</v>
      </c>
      <c r="E760" s="196">
        <v>1270</v>
      </c>
      <c r="F760" s="205">
        <v>500</v>
      </c>
      <c r="G760" s="324" t="s">
        <v>5440</v>
      </c>
      <c r="H760" s="30">
        <v>4.5162000000000004</v>
      </c>
      <c r="I760" s="27">
        <f t="shared" si="27"/>
        <v>2258.1000000000004</v>
      </c>
      <c r="J760" s="28" t="s">
        <v>5441</v>
      </c>
      <c r="K760" s="25">
        <v>41339</v>
      </c>
      <c r="L760" s="56">
        <v>41333</v>
      </c>
      <c r="M760" s="29" t="s">
        <v>167</v>
      </c>
      <c r="N760" s="28" t="s">
        <v>5637</v>
      </c>
      <c r="O760" s="32">
        <v>2258.1</v>
      </c>
      <c r="P760" s="56">
        <v>41351</v>
      </c>
    </row>
    <row r="761" spans="1:32" ht="12" customHeight="1">
      <c r="A761" s="25">
        <v>41333</v>
      </c>
      <c r="B761" s="324" t="s">
        <v>1996</v>
      </c>
      <c r="C761" s="219" t="s">
        <v>163</v>
      </c>
      <c r="D761" s="324" t="s">
        <v>48</v>
      </c>
      <c r="E761" s="324" t="s">
        <v>49</v>
      </c>
      <c r="F761" s="205">
        <v>50</v>
      </c>
      <c r="G761" s="324" t="s">
        <v>193</v>
      </c>
      <c r="H761" s="31">
        <v>181.35</v>
      </c>
      <c r="I761" s="27">
        <f t="shared" si="27"/>
        <v>9067.5</v>
      </c>
      <c r="J761" s="28" t="s">
        <v>5441</v>
      </c>
      <c r="K761" s="25">
        <v>41362</v>
      </c>
      <c r="L761" s="56">
        <v>41333</v>
      </c>
      <c r="M761" s="29" t="s">
        <v>167</v>
      </c>
      <c r="N761" s="28" t="s">
        <v>5947</v>
      </c>
      <c r="O761" s="32">
        <v>9067.5</v>
      </c>
      <c r="P761" s="56">
        <v>41365</v>
      </c>
    </row>
    <row r="762" spans="1:32" ht="12" customHeight="1">
      <c r="A762" s="25">
        <v>41333</v>
      </c>
      <c r="B762" s="324" t="s">
        <v>1996</v>
      </c>
      <c r="C762" s="219" t="s">
        <v>163</v>
      </c>
      <c r="D762" s="324" t="s">
        <v>52</v>
      </c>
      <c r="E762" s="324">
        <v>9032</v>
      </c>
      <c r="F762" s="205">
        <v>15000</v>
      </c>
      <c r="G762" s="324" t="s">
        <v>5439</v>
      </c>
      <c r="H762" s="30">
        <v>1.4928999999999999</v>
      </c>
      <c r="I762" s="27">
        <f t="shared" si="27"/>
        <v>22393.5</v>
      </c>
      <c r="J762" s="28" t="s">
        <v>5441</v>
      </c>
      <c r="K762" s="25">
        <v>41344</v>
      </c>
      <c r="L762" s="56">
        <v>41333</v>
      </c>
      <c r="M762" s="29" t="s">
        <v>167</v>
      </c>
      <c r="N762" s="28" t="s">
        <v>5620</v>
      </c>
      <c r="O762" s="32">
        <v>22393.8</v>
      </c>
      <c r="P762" s="56">
        <v>41348</v>
      </c>
    </row>
    <row r="763" spans="1:32" ht="12" customHeight="1">
      <c r="A763" s="25">
        <v>41334</v>
      </c>
      <c r="B763" s="318" t="s">
        <v>5382</v>
      </c>
      <c r="C763" s="219" t="s">
        <v>163</v>
      </c>
      <c r="D763" s="5" t="s">
        <v>2026</v>
      </c>
      <c r="E763" s="318" t="s">
        <v>5381</v>
      </c>
      <c r="F763" s="205">
        <v>10000</v>
      </c>
      <c r="G763" s="318" t="s">
        <v>171</v>
      </c>
      <c r="H763" s="31">
        <v>1.48</v>
      </c>
      <c r="I763" s="27">
        <f t="shared" si="26"/>
        <v>14800</v>
      </c>
      <c r="J763" s="28" t="s">
        <v>5388</v>
      </c>
      <c r="K763" s="25">
        <v>41338</v>
      </c>
      <c r="L763" s="56">
        <v>41334</v>
      </c>
      <c r="M763" s="29" t="s">
        <v>167</v>
      </c>
      <c r="N763" s="28" t="s">
        <v>5635</v>
      </c>
      <c r="O763" s="32">
        <v>15236</v>
      </c>
      <c r="P763" s="56">
        <v>41351</v>
      </c>
    </row>
    <row r="764" spans="1:32" ht="12" customHeight="1">
      <c r="A764" s="25">
        <v>41334</v>
      </c>
      <c r="B764" s="326" t="s">
        <v>5382</v>
      </c>
      <c r="C764" s="219" t="s">
        <v>163</v>
      </c>
      <c r="D764" s="326" t="s">
        <v>1929</v>
      </c>
      <c r="E764" s="326">
        <v>6800</v>
      </c>
      <c r="F764" s="326">
        <v>1</v>
      </c>
      <c r="G764" s="326" t="s">
        <v>171</v>
      </c>
      <c r="H764" s="31">
        <v>436</v>
      </c>
      <c r="I764" s="27">
        <f t="shared" si="26"/>
        <v>436</v>
      </c>
      <c r="J764" s="28" t="s">
        <v>168</v>
      </c>
      <c r="K764" s="25">
        <v>41338</v>
      </c>
      <c r="L764" s="56">
        <v>41334</v>
      </c>
      <c r="M764" s="29" t="s">
        <v>167</v>
      </c>
      <c r="N764" s="28" t="s">
        <v>5635</v>
      </c>
      <c r="O764" s="32">
        <v>15236</v>
      </c>
      <c r="P764" s="56">
        <v>41351</v>
      </c>
      <c r="Q764" s="326"/>
      <c r="R764" s="326"/>
      <c r="S764" s="326"/>
      <c r="T764" s="326"/>
      <c r="U764" s="326"/>
      <c r="V764" s="326"/>
      <c r="W764" s="326"/>
      <c r="X764" s="326"/>
      <c r="Y764" s="326"/>
      <c r="Z764" s="326"/>
      <c r="AA764" s="326"/>
      <c r="AB764" s="326"/>
      <c r="AC764" s="326"/>
      <c r="AD764" s="326"/>
      <c r="AE764" s="326"/>
      <c r="AF764" s="326"/>
    </row>
    <row r="765" spans="1:32" ht="12" customHeight="1">
      <c r="A765" s="25">
        <v>41334</v>
      </c>
      <c r="B765" s="318" t="s">
        <v>5383</v>
      </c>
      <c r="C765" s="219" t="s">
        <v>163</v>
      </c>
      <c r="D765" s="5" t="s">
        <v>309</v>
      </c>
      <c r="E765" s="196">
        <v>1110</v>
      </c>
      <c r="F765" s="205">
        <v>3000</v>
      </c>
      <c r="G765" s="318" t="s">
        <v>5384</v>
      </c>
      <c r="H765" s="31">
        <v>0.6</v>
      </c>
      <c r="I765" s="27">
        <f t="shared" si="26"/>
        <v>1800</v>
      </c>
      <c r="J765" s="28" t="s">
        <v>5397</v>
      </c>
      <c r="K765" s="25">
        <v>41337</v>
      </c>
      <c r="L765" s="56">
        <v>41360</v>
      </c>
      <c r="M765" s="29" t="s">
        <v>167</v>
      </c>
    </row>
    <row r="766" spans="1:32" ht="12" customHeight="1">
      <c r="A766" s="25">
        <v>41337</v>
      </c>
      <c r="B766" s="312" t="s">
        <v>5167</v>
      </c>
      <c r="C766" s="219" t="s">
        <v>163</v>
      </c>
      <c r="D766" s="342" t="s">
        <v>241</v>
      </c>
      <c r="E766" s="196">
        <v>6200</v>
      </c>
      <c r="F766" s="205">
        <v>240</v>
      </c>
      <c r="G766" s="319" t="s">
        <v>171</v>
      </c>
      <c r="H766" s="31">
        <v>44.5</v>
      </c>
      <c r="I766" s="375">
        <f t="shared" si="26"/>
        <v>10680</v>
      </c>
      <c r="J766" s="28" t="s">
        <v>168</v>
      </c>
      <c r="K766" s="25">
        <v>41345</v>
      </c>
      <c r="L766" s="56">
        <v>41339</v>
      </c>
      <c r="M766" s="29" t="s">
        <v>166</v>
      </c>
      <c r="N766" s="28" t="s">
        <v>6374</v>
      </c>
      <c r="O766" s="32">
        <v>33014</v>
      </c>
      <c r="P766" s="56">
        <v>41380</v>
      </c>
    </row>
    <row r="767" spans="1:32" ht="12" customHeight="1">
      <c r="A767" s="25">
        <v>41337</v>
      </c>
      <c r="B767" s="312" t="s">
        <v>5167</v>
      </c>
      <c r="C767" s="219" t="s">
        <v>163</v>
      </c>
      <c r="D767" s="319" t="s">
        <v>183</v>
      </c>
      <c r="E767" s="319" t="s">
        <v>5393</v>
      </c>
      <c r="F767" s="205">
        <v>1000</v>
      </c>
      <c r="G767" s="319" t="s">
        <v>172</v>
      </c>
      <c r="H767" s="31">
        <v>4.75</v>
      </c>
      <c r="I767" s="375">
        <f t="shared" si="26"/>
        <v>4750</v>
      </c>
      <c r="J767" s="28" t="s">
        <v>168</v>
      </c>
      <c r="K767" s="25">
        <v>41345</v>
      </c>
      <c r="L767" s="56">
        <v>41339</v>
      </c>
      <c r="M767" s="29" t="s">
        <v>166</v>
      </c>
      <c r="N767" s="28" t="s">
        <v>6374</v>
      </c>
      <c r="O767" s="32">
        <v>33014</v>
      </c>
      <c r="P767" s="56">
        <v>41380</v>
      </c>
    </row>
    <row r="768" spans="1:32" ht="12" customHeight="1">
      <c r="A768" s="25">
        <v>41337</v>
      </c>
      <c r="B768" s="312" t="s">
        <v>5167</v>
      </c>
      <c r="C768" s="219" t="s">
        <v>163</v>
      </c>
      <c r="D768" s="319" t="s">
        <v>355</v>
      </c>
      <c r="E768" s="319" t="s">
        <v>146</v>
      </c>
      <c r="F768" s="205">
        <v>180</v>
      </c>
      <c r="G768" s="319" t="s">
        <v>171</v>
      </c>
      <c r="H768" s="31">
        <v>17.25</v>
      </c>
      <c r="I768" s="375">
        <f t="shared" si="26"/>
        <v>3105</v>
      </c>
      <c r="J768" s="28" t="s">
        <v>168</v>
      </c>
      <c r="K768" s="25">
        <v>41345</v>
      </c>
      <c r="L768" s="56">
        <v>41339</v>
      </c>
      <c r="M768" s="29" t="s">
        <v>166</v>
      </c>
      <c r="N768" s="28" t="s">
        <v>6374</v>
      </c>
      <c r="O768" s="32">
        <v>33014</v>
      </c>
      <c r="P768" s="56">
        <v>41380</v>
      </c>
    </row>
    <row r="769" spans="1:32" ht="12" customHeight="1">
      <c r="A769" s="25">
        <v>41337</v>
      </c>
      <c r="B769" s="312" t="s">
        <v>5167</v>
      </c>
      <c r="C769" s="219" t="s">
        <v>163</v>
      </c>
      <c r="D769" s="319" t="s">
        <v>1929</v>
      </c>
      <c r="E769" s="196">
        <v>6800</v>
      </c>
      <c r="F769" s="205">
        <v>12</v>
      </c>
      <c r="G769" s="319" t="s">
        <v>171</v>
      </c>
      <c r="H769" s="31">
        <v>420</v>
      </c>
      <c r="I769" s="375">
        <f t="shared" si="26"/>
        <v>5040</v>
      </c>
      <c r="J769" s="28" t="s">
        <v>168</v>
      </c>
      <c r="K769" s="25">
        <v>41345</v>
      </c>
      <c r="L769" s="56">
        <v>41339</v>
      </c>
      <c r="M769" s="29" t="s">
        <v>166</v>
      </c>
      <c r="N769" s="28" t="s">
        <v>6374</v>
      </c>
      <c r="O769" s="32">
        <v>33014</v>
      </c>
      <c r="P769" s="56">
        <v>41380</v>
      </c>
    </row>
    <row r="770" spans="1:32" ht="12" customHeight="1">
      <c r="A770" s="25">
        <v>41337</v>
      </c>
      <c r="B770" s="312" t="s">
        <v>5167</v>
      </c>
      <c r="C770" s="219" t="s">
        <v>163</v>
      </c>
      <c r="D770" s="319" t="s">
        <v>1954</v>
      </c>
      <c r="E770" s="319">
        <v>12308</v>
      </c>
      <c r="F770" s="319">
        <v>20</v>
      </c>
      <c r="G770" s="319" t="s">
        <v>173</v>
      </c>
      <c r="H770" s="31">
        <v>18.8</v>
      </c>
      <c r="I770" s="375">
        <f t="shared" si="26"/>
        <v>376</v>
      </c>
      <c r="J770" s="28" t="s">
        <v>168</v>
      </c>
      <c r="K770" s="25">
        <v>41345</v>
      </c>
      <c r="L770" s="56">
        <v>41339</v>
      </c>
      <c r="M770" s="29" t="s">
        <v>166</v>
      </c>
      <c r="N770" s="28" t="s">
        <v>6374</v>
      </c>
      <c r="O770" s="32">
        <v>33014</v>
      </c>
      <c r="P770" s="56">
        <v>41380</v>
      </c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  <c r="AA770" s="319"/>
      <c r="AB770" s="319"/>
      <c r="AC770" s="319"/>
      <c r="AD770" s="319"/>
      <c r="AE770" s="319"/>
      <c r="AF770" s="319"/>
    </row>
    <row r="771" spans="1:32" ht="12" customHeight="1">
      <c r="A771" s="25">
        <v>41337</v>
      </c>
      <c r="B771" s="319" t="s">
        <v>229</v>
      </c>
      <c r="C771" s="219" t="s">
        <v>163</v>
      </c>
      <c r="D771" s="1" t="s">
        <v>1216</v>
      </c>
      <c r="E771" s="319">
        <v>3200</v>
      </c>
      <c r="F771" s="205">
        <v>60</v>
      </c>
      <c r="G771" s="319" t="s">
        <v>171</v>
      </c>
      <c r="H771" s="31">
        <v>23.94</v>
      </c>
      <c r="I771" s="27">
        <f t="shared" si="26"/>
        <v>1436.4</v>
      </c>
      <c r="J771" s="28" t="s">
        <v>5398</v>
      </c>
      <c r="K771" s="25">
        <v>41337</v>
      </c>
      <c r="L771" s="56">
        <v>41362</v>
      </c>
      <c r="M771" s="29" t="s">
        <v>166</v>
      </c>
    </row>
    <row r="772" spans="1:32" ht="12" customHeight="1">
      <c r="A772" s="25">
        <v>41338</v>
      </c>
      <c r="B772" s="319" t="s">
        <v>1994</v>
      </c>
      <c r="C772" s="220" t="s">
        <v>7</v>
      </c>
      <c r="D772" s="95" t="s">
        <v>5040</v>
      </c>
      <c r="E772" s="319" t="s">
        <v>5401</v>
      </c>
      <c r="F772" s="205">
        <v>288</v>
      </c>
      <c r="G772" s="319" t="s">
        <v>830</v>
      </c>
      <c r="H772" s="31">
        <v>10</v>
      </c>
      <c r="I772" s="27">
        <f t="shared" si="26"/>
        <v>2880</v>
      </c>
      <c r="J772" s="28" t="s">
        <v>5388</v>
      </c>
      <c r="K772" s="25">
        <v>41338</v>
      </c>
      <c r="L772" s="56">
        <v>41338</v>
      </c>
      <c r="M772" s="29" t="s">
        <v>167</v>
      </c>
      <c r="N772" s="28" t="s">
        <v>5404</v>
      </c>
      <c r="O772" s="32">
        <v>3850.24</v>
      </c>
      <c r="P772" s="56">
        <v>41338</v>
      </c>
    </row>
    <row r="773" spans="1:32" ht="12" customHeight="1">
      <c r="A773" s="25">
        <v>41338</v>
      </c>
      <c r="B773" s="319" t="s">
        <v>1994</v>
      </c>
      <c r="C773" s="219" t="s">
        <v>163</v>
      </c>
      <c r="D773" s="1" t="s">
        <v>2339</v>
      </c>
      <c r="E773" s="319" t="s">
        <v>5402</v>
      </c>
      <c r="F773" s="205">
        <v>32</v>
      </c>
      <c r="G773" s="319" t="s">
        <v>5403</v>
      </c>
      <c r="H773" s="31">
        <v>30.32</v>
      </c>
      <c r="I773" s="27">
        <f t="shared" si="26"/>
        <v>970.24</v>
      </c>
      <c r="J773" s="28" t="s">
        <v>5388</v>
      </c>
      <c r="K773" s="25">
        <v>41338</v>
      </c>
      <c r="L773" s="56">
        <v>41338</v>
      </c>
      <c r="M773" s="29" t="s">
        <v>167</v>
      </c>
      <c r="N773" s="28" t="s">
        <v>5404</v>
      </c>
      <c r="O773" s="32">
        <v>3850.24</v>
      </c>
      <c r="P773" s="56">
        <v>41338</v>
      </c>
    </row>
    <row r="774" spans="1:32" ht="12" customHeight="1">
      <c r="A774" s="25">
        <v>41338</v>
      </c>
      <c r="B774" s="319" t="s">
        <v>5408</v>
      </c>
      <c r="C774" s="219" t="s">
        <v>163</v>
      </c>
      <c r="D774" s="5" t="s">
        <v>2026</v>
      </c>
      <c r="E774" s="319" t="s">
        <v>5394</v>
      </c>
      <c r="F774" s="205">
        <v>5000</v>
      </c>
      <c r="G774" s="319" t="s">
        <v>5403</v>
      </c>
      <c r="H774" s="31">
        <v>1.48</v>
      </c>
      <c r="I774" s="27">
        <f t="shared" si="26"/>
        <v>7400</v>
      </c>
      <c r="J774" s="28" t="s">
        <v>168</v>
      </c>
      <c r="K774" s="25">
        <v>41341</v>
      </c>
      <c r="L774" s="56">
        <v>41338</v>
      </c>
      <c r="M774" s="29" t="s">
        <v>167</v>
      </c>
      <c r="N774" s="28" t="s">
        <v>5636</v>
      </c>
      <c r="O774" s="32">
        <v>38032</v>
      </c>
      <c r="P774" s="56">
        <v>41351</v>
      </c>
    </row>
    <row r="775" spans="1:32" ht="12" customHeight="1">
      <c r="A775" s="25">
        <v>41338</v>
      </c>
      <c r="B775" s="319" t="s">
        <v>5408</v>
      </c>
      <c r="C775" s="219" t="s">
        <v>163</v>
      </c>
      <c r="D775" s="319" t="s">
        <v>274</v>
      </c>
      <c r="E775" s="1" t="s">
        <v>275</v>
      </c>
      <c r="F775" s="205">
        <v>960</v>
      </c>
      <c r="G775" s="319" t="s">
        <v>5403</v>
      </c>
      <c r="H775" s="31">
        <v>31.7</v>
      </c>
      <c r="I775" s="27">
        <f t="shared" si="26"/>
        <v>30432</v>
      </c>
      <c r="J775" s="28" t="s">
        <v>168</v>
      </c>
      <c r="K775" s="25">
        <v>41341</v>
      </c>
      <c r="L775" s="56">
        <v>41338</v>
      </c>
      <c r="M775" s="29" t="s">
        <v>167</v>
      </c>
      <c r="N775" s="28" t="s">
        <v>5636</v>
      </c>
      <c r="O775" s="32">
        <v>38032</v>
      </c>
      <c r="P775" s="56">
        <v>41351</v>
      </c>
    </row>
    <row r="776" spans="1:32" ht="12" customHeight="1">
      <c r="A776" s="25">
        <v>41341</v>
      </c>
      <c r="B776" s="325" t="s">
        <v>2022</v>
      </c>
      <c r="C776" s="219" t="s">
        <v>163</v>
      </c>
      <c r="D776" s="325" t="s">
        <v>1984</v>
      </c>
      <c r="E776" s="325" t="s">
        <v>5464</v>
      </c>
      <c r="F776" s="205">
        <v>10000</v>
      </c>
      <c r="G776" s="325" t="s">
        <v>171</v>
      </c>
      <c r="H776" s="31">
        <v>1.55</v>
      </c>
      <c r="I776" s="27">
        <f t="shared" si="26"/>
        <v>15500</v>
      </c>
      <c r="J776" s="28" t="s">
        <v>168</v>
      </c>
      <c r="K776" s="25">
        <v>41344</v>
      </c>
      <c r="L776" s="56">
        <v>41341</v>
      </c>
      <c r="M776" s="29" t="s">
        <v>167</v>
      </c>
      <c r="N776" s="28" t="s">
        <v>5678</v>
      </c>
      <c r="O776" s="32">
        <v>15500</v>
      </c>
      <c r="P776" s="56">
        <v>41352</v>
      </c>
    </row>
    <row r="777" spans="1:32" ht="12" customHeight="1">
      <c r="A777" s="25">
        <v>41341</v>
      </c>
      <c r="B777" s="312" t="s">
        <v>5167</v>
      </c>
      <c r="C777" s="219" t="s">
        <v>163</v>
      </c>
      <c r="D777" s="342" t="s">
        <v>289</v>
      </c>
      <c r="E777" s="325">
        <v>10434</v>
      </c>
      <c r="F777" s="205">
        <v>100</v>
      </c>
      <c r="G777" s="325" t="s">
        <v>5466</v>
      </c>
      <c r="H777" s="31">
        <v>14.2</v>
      </c>
      <c r="I777" s="27">
        <f t="shared" si="26"/>
        <v>1420</v>
      </c>
      <c r="J777" s="28" t="s">
        <v>168</v>
      </c>
      <c r="K777" s="25">
        <v>41345</v>
      </c>
      <c r="L777" s="56">
        <v>41345</v>
      </c>
      <c r="M777" s="29" t="s">
        <v>167</v>
      </c>
    </row>
    <row r="778" spans="1:32" ht="12" customHeight="1">
      <c r="A778" s="25">
        <v>41341</v>
      </c>
      <c r="B778" s="312" t="s">
        <v>5167</v>
      </c>
      <c r="C778" s="219" t="s">
        <v>163</v>
      </c>
      <c r="D778" s="325" t="s">
        <v>1895</v>
      </c>
      <c r="E778" s="325" t="s">
        <v>146</v>
      </c>
      <c r="F778" s="205">
        <v>480</v>
      </c>
      <c r="G778" s="325" t="s">
        <v>5465</v>
      </c>
      <c r="H778" s="31">
        <v>17.25</v>
      </c>
      <c r="I778" s="27">
        <f t="shared" si="26"/>
        <v>8280</v>
      </c>
      <c r="J778" s="28" t="s">
        <v>168</v>
      </c>
      <c r="K778" s="25">
        <v>41345</v>
      </c>
      <c r="L778" s="56">
        <v>41345</v>
      </c>
      <c r="M778" s="29" t="s">
        <v>167</v>
      </c>
    </row>
    <row r="779" spans="1:32" ht="12" customHeight="1">
      <c r="A779" s="25">
        <v>41341</v>
      </c>
      <c r="B779" s="312" t="s">
        <v>5167</v>
      </c>
      <c r="C779" s="219" t="s">
        <v>163</v>
      </c>
      <c r="D779" s="325" t="s">
        <v>264</v>
      </c>
      <c r="E779" s="325">
        <v>501</v>
      </c>
      <c r="F779" s="205">
        <v>400</v>
      </c>
      <c r="G779" s="325" t="s">
        <v>5465</v>
      </c>
      <c r="H779" s="31">
        <v>1.4</v>
      </c>
      <c r="I779" s="27">
        <f t="shared" si="26"/>
        <v>560</v>
      </c>
      <c r="J779" s="28" t="s">
        <v>168</v>
      </c>
      <c r="K779" s="25">
        <v>41373</v>
      </c>
      <c r="L779" s="56">
        <v>41345</v>
      </c>
      <c r="M779" s="29" t="s">
        <v>167</v>
      </c>
    </row>
    <row r="780" spans="1:32" ht="12" customHeight="1">
      <c r="A780" s="25">
        <v>41341</v>
      </c>
      <c r="B780" s="326" t="s">
        <v>1993</v>
      </c>
      <c r="C780" s="219" t="s">
        <v>163</v>
      </c>
      <c r="D780" s="342" t="s">
        <v>241</v>
      </c>
      <c r="E780" s="325">
        <v>6200</v>
      </c>
      <c r="F780" s="205">
        <v>192</v>
      </c>
      <c r="G780" s="326" t="s">
        <v>171</v>
      </c>
      <c r="H780" s="31">
        <v>45.5</v>
      </c>
      <c r="I780" s="27">
        <f t="shared" si="26"/>
        <v>8736</v>
      </c>
      <c r="J780" s="28" t="s">
        <v>5468</v>
      </c>
      <c r="K780" s="25">
        <v>41341</v>
      </c>
      <c r="L780" s="56">
        <v>41374</v>
      </c>
      <c r="M780" s="29" t="s">
        <v>167</v>
      </c>
      <c r="N780" s="28" t="s">
        <v>6173</v>
      </c>
      <c r="O780" s="32">
        <v>35658.1</v>
      </c>
      <c r="P780" s="56">
        <v>41374</v>
      </c>
    </row>
    <row r="781" spans="1:32" ht="12" customHeight="1">
      <c r="A781" s="25">
        <v>41344</v>
      </c>
      <c r="B781" s="326" t="s">
        <v>229</v>
      </c>
      <c r="C781" s="219" t="s">
        <v>163</v>
      </c>
      <c r="D781" s="326" t="s">
        <v>355</v>
      </c>
      <c r="E781" s="326" t="s">
        <v>22</v>
      </c>
      <c r="F781" s="326">
        <v>120</v>
      </c>
      <c r="G781" s="326" t="s">
        <v>171</v>
      </c>
      <c r="H781" s="31">
        <v>10.94</v>
      </c>
      <c r="I781" s="27">
        <f t="shared" si="26"/>
        <v>1312.8</v>
      </c>
      <c r="J781" s="28" t="s">
        <v>5477</v>
      </c>
      <c r="K781" s="25">
        <v>41344</v>
      </c>
      <c r="L781" s="56">
        <v>41362</v>
      </c>
      <c r="M781" s="29" t="s">
        <v>166</v>
      </c>
    </row>
    <row r="782" spans="1:32" ht="12" customHeight="1">
      <c r="A782" s="25">
        <v>41344</v>
      </c>
      <c r="B782" s="326" t="s">
        <v>229</v>
      </c>
      <c r="C782" s="219" t="s">
        <v>163</v>
      </c>
      <c r="D782" s="1" t="s">
        <v>269</v>
      </c>
      <c r="E782" s="1" t="s">
        <v>178</v>
      </c>
      <c r="F782" s="205">
        <v>200</v>
      </c>
      <c r="G782" s="326" t="s">
        <v>5473</v>
      </c>
      <c r="H782" s="31">
        <v>1.17</v>
      </c>
      <c r="I782" s="27">
        <f t="shared" si="26"/>
        <v>234</v>
      </c>
      <c r="J782" s="28" t="s">
        <v>5477</v>
      </c>
      <c r="K782" s="25">
        <v>41344</v>
      </c>
      <c r="L782" s="56">
        <v>41362</v>
      </c>
      <c r="M782" s="29" t="s">
        <v>166</v>
      </c>
    </row>
    <row r="783" spans="1:32" ht="12" customHeight="1">
      <c r="A783" s="25">
        <v>41344</v>
      </c>
      <c r="B783" s="326" t="s">
        <v>229</v>
      </c>
      <c r="C783" s="219" t="s">
        <v>163</v>
      </c>
      <c r="D783" s="326" t="s">
        <v>5475</v>
      </c>
      <c r="E783" s="326" t="s">
        <v>5474</v>
      </c>
      <c r="F783" s="205">
        <v>200</v>
      </c>
      <c r="G783" s="326" t="s">
        <v>5476</v>
      </c>
      <c r="H783" s="31">
        <v>2.1</v>
      </c>
      <c r="I783" s="27">
        <f t="shared" si="26"/>
        <v>420</v>
      </c>
      <c r="J783" s="28" t="s">
        <v>5477</v>
      </c>
      <c r="K783" s="25">
        <v>41344</v>
      </c>
      <c r="L783" s="56">
        <v>41362</v>
      </c>
      <c r="M783" s="29" t="s">
        <v>166</v>
      </c>
    </row>
    <row r="784" spans="1:32" ht="12" customHeight="1">
      <c r="A784" s="25">
        <v>41344</v>
      </c>
      <c r="B784" s="326" t="s">
        <v>5487</v>
      </c>
      <c r="C784" s="219" t="s">
        <v>163</v>
      </c>
      <c r="D784" s="1" t="s">
        <v>1720</v>
      </c>
      <c r="E784" s="196">
        <v>8210</v>
      </c>
      <c r="F784" s="205">
        <v>1600</v>
      </c>
      <c r="G784" s="326" t="s">
        <v>5488</v>
      </c>
      <c r="H784" s="31">
        <v>3.78</v>
      </c>
      <c r="I784" s="27">
        <f t="shared" si="26"/>
        <v>6048</v>
      </c>
      <c r="J784" s="28" t="s">
        <v>5529</v>
      </c>
      <c r="K784" s="25">
        <v>41346</v>
      </c>
      <c r="L784" s="56">
        <v>41344</v>
      </c>
      <c r="M784" s="29" t="s">
        <v>167</v>
      </c>
      <c r="N784" s="28" t="s">
        <v>5544</v>
      </c>
      <c r="O784" s="32">
        <v>21640</v>
      </c>
      <c r="P784" s="56">
        <v>41346</v>
      </c>
    </row>
    <row r="785" spans="1:32" ht="12" customHeight="1">
      <c r="A785" s="25">
        <v>41344</v>
      </c>
      <c r="B785" s="326" t="s">
        <v>5487</v>
      </c>
      <c r="C785" s="219" t="s">
        <v>163</v>
      </c>
      <c r="D785" s="342" t="s">
        <v>289</v>
      </c>
      <c r="E785" s="196">
        <v>10434</v>
      </c>
      <c r="F785" s="205">
        <v>240</v>
      </c>
      <c r="G785" s="326" t="s">
        <v>5481</v>
      </c>
      <c r="H785" s="31">
        <v>14.8</v>
      </c>
      <c r="I785" s="27">
        <f t="shared" si="26"/>
        <v>3552</v>
      </c>
      <c r="J785" s="28" t="s">
        <v>5529</v>
      </c>
      <c r="K785" s="25">
        <v>41346</v>
      </c>
      <c r="L785" s="56">
        <v>41344</v>
      </c>
      <c r="M785" s="29" t="s">
        <v>167</v>
      </c>
      <c r="N785" s="28" t="s">
        <v>5544</v>
      </c>
      <c r="O785" s="32">
        <v>21640</v>
      </c>
      <c r="P785" s="56">
        <v>41346</v>
      </c>
    </row>
    <row r="786" spans="1:32" ht="12" customHeight="1">
      <c r="A786" s="25">
        <v>41344</v>
      </c>
      <c r="B786" s="326" t="s">
        <v>5487</v>
      </c>
      <c r="C786" s="219" t="s">
        <v>163</v>
      </c>
      <c r="D786" s="326" t="s">
        <v>1929</v>
      </c>
      <c r="E786" s="196">
        <v>6800</v>
      </c>
      <c r="F786" s="205">
        <v>28</v>
      </c>
      <c r="G786" s="326" t="s">
        <v>5488</v>
      </c>
      <c r="H786" s="31">
        <v>430</v>
      </c>
      <c r="I786" s="27">
        <f t="shared" si="26"/>
        <v>12040</v>
      </c>
      <c r="J786" s="28" t="s">
        <v>5529</v>
      </c>
      <c r="K786" s="25">
        <v>41346</v>
      </c>
      <c r="L786" s="56">
        <v>41344</v>
      </c>
      <c r="M786" s="29" t="s">
        <v>167</v>
      </c>
      <c r="N786" s="28" t="s">
        <v>5544</v>
      </c>
      <c r="O786" s="32">
        <v>21640</v>
      </c>
      <c r="P786" s="56">
        <v>41346</v>
      </c>
    </row>
    <row r="787" spans="1:32" ht="12" customHeight="1">
      <c r="A787" s="25">
        <v>41344</v>
      </c>
      <c r="B787" s="327" t="s">
        <v>229</v>
      </c>
      <c r="C787" s="219" t="s">
        <v>163</v>
      </c>
      <c r="D787" s="1" t="s">
        <v>1216</v>
      </c>
      <c r="E787" s="327">
        <v>3200</v>
      </c>
      <c r="F787" s="205">
        <v>200</v>
      </c>
      <c r="G787" s="327" t="s">
        <v>171</v>
      </c>
      <c r="H787" s="31">
        <v>23.94</v>
      </c>
      <c r="I787" s="27">
        <f t="shared" si="26"/>
        <v>4788</v>
      </c>
      <c r="J787" s="28" t="s">
        <v>5490</v>
      </c>
      <c r="K787" s="25">
        <v>41344</v>
      </c>
      <c r="L787" s="56">
        <v>41362</v>
      </c>
      <c r="M787" s="29" t="s">
        <v>166</v>
      </c>
    </row>
    <row r="788" spans="1:32" ht="12" customHeight="1">
      <c r="A788" s="25">
        <v>41344</v>
      </c>
      <c r="B788" s="327" t="s">
        <v>229</v>
      </c>
      <c r="C788" s="219" t="s">
        <v>163</v>
      </c>
      <c r="D788" s="5" t="s">
        <v>348</v>
      </c>
      <c r="E788" s="327">
        <v>3700</v>
      </c>
      <c r="F788" s="205">
        <v>200</v>
      </c>
      <c r="G788" s="327" t="s">
        <v>172</v>
      </c>
      <c r="H788" s="31">
        <v>3.09</v>
      </c>
      <c r="I788" s="27">
        <f t="shared" si="26"/>
        <v>618</v>
      </c>
      <c r="J788" s="28" t="s">
        <v>5490</v>
      </c>
      <c r="K788" s="25">
        <v>41344</v>
      </c>
      <c r="L788" s="56">
        <v>41362</v>
      </c>
      <c r="M788" s="29" t="s">
        <v>166</v>
      </c>
    </row>
    <row r="789" spans="1:32" ht="12" customHeight="1">
      <c r="A789" s="25">
        <v>41344</v>
      </c>
      <c r="B789" s="327" t="s">
        <v>229</v>
      </c>
      <c r="C789" s="219" t="s">
        <v>163</v>
      </c>
      <c r="D789" s="1" t="s">
        <v>269</v>
      </c>
      <c r="E789" s="1" t="s">
        <v>178</v>
      </c>
      <c r="F789" s="205">
        <v>300</v>
      </c>
      <c r="G789" s="327" t="s">
        <v>172</v>
      </c>
      <c r="H789" s="31">
        <v>1.17</v>
      </c>
      <c r="I789" s="27">
        <f t="shared" si="26"/>
        <v>351</v>
      </c>
      <c r="J789" s="28" t="s">
        <v>5490</v>
      </c>
      <c r="K789" s="25">
        <v>41344</v>
      </c>
      <c r="L789" s="56">
        <v>41362</v>
      </c>
      <c r="M789" s="29" t="s">
        <v>166</v>
      </c>
    </row>
    <row r="790" spans="1:32" ht="12" customHeight="1">
      <c r="A790" s="25">
        <v>41345</v>
      </c>
      <c r="B790" s="312" t="s">
        <v>5167</v>
      </c>
      <c r="C790" s="219" t="s">
        <v>163</v>
      </c>
      <c r="D790" s="5" t="s">
        <v>4801</v>
      </c>
      <c r="E790" s="1">
        <v>2078</v>
      </c>
      <c r="F790" s="332">
        <v>200</v>
      </c>
      <c r="G790" s="332" t="s">
        <v>5626</v>
      </c>
      <c r="H790" s="31">
        <v>10.7</v>
      </c>
      <c r="I790" s="375">
        <f t="shared" si="26"/>
        <v>2140</v>
      </c>
      <c r="J790" s="28" t="s">
        <v>5627</v>
      </c>
      <c r="K790" s="25">
        <v>41351</v>
      </c>
      <c r="L790" s="56">
        <v>41345</v>
      </c>
      <c r="M790" s="29" t="s">
        <v>167</v>
      </c>
      <c r="N790" s="28" t="s">
        <v>6374</v>
      </c>
      <c r="O790" s="32">
        <v>33014</v>
      </c>
      <c r="P790" s="56">
        <v>41380</v>
      </c>
      <c r="Q790" s="332"/>
      <c r="R790" s="332"/>
      <c r="S790" s="332"/>
      <c r="T790" s="332"/>
      <c r="U790" s="332"/>
      <c r="V790" s="332"/>
      <c r="W790" s="332"/>
      <c r="X790" s="332"/>
      <c r="Y790" s="332"/>
      <c r="Z790" s="332"/>
      <c r="AA790" s="332"/>
      <c r="AB790" s="332"/>
      <c r="AC790" s="332"/>
      <c r="AD790" s="332"/>
      <c r="AE790" s="332"/>
      <c r="AF790" s="332"/>
    </row>
    <row r="791" spans="1:32" ht="12" customHeight="1">
      <c r="A791" s="25">
        <v>41346</v>
      </c>
      <c r="B791" s="95" t="s">
        <v>1993</v>
      </c>
      <c r="C791" s="221" t="s">
        <v>163</v>
      </c>
      <c r="D791" s="328" t="s">
        <v>672</v>
      </c>
      <c r="E791" s="328" t="s">
        <v>1086</v>
      </c>
      <c r="F791" s="205">
        <v>180</v>
      </c>
      <c r="G791" s="328" t="s">
        <v>171</v>
      </c>
      <c r="H791" s="31">
        <v>3.59</v>
      </c>
      <c r="I791" s="27">
        <f t="shared" si="26"/>
        <v>646.19999999999993</v>
      </c>
      <c r="J791" s="28" t="s">
        <v>5525</v>
      </c>
      <c r="K791" s="25">
        <v>41346</v>
      </c>
      <c r="L791" s="56">
        <v>41374</v>
      </c>
      <c r="M791" s="29" t="s">
        <v>167</v>
      </c>
      <c r="N791" s="28" t="s">
        <v>6173</v>
      </c>
      <c r="O791" s="32">
        <v>35658.1</v>
      </c>
      <c r="P791" s="56">
        <v>41374</v>
      </c>
    </row>
    <row r="792" spans="1:32" ht="12" customHeight="1">
      <c r="A792" s="25">
        <v>41346</v>
      </c>
      <c r="B792" s="329" t="s">
        <v>229</v>
      </c>
      <c r="C792" s="221" t="s">
        <v>163</v>
      </c>
      <c r="D792" s="329" t="s">
        <v>5311</v>
      </c>
      <c r="E792" s="329" t="s">
        <v>5539</v>
      </c>
      <c r="F792" s="205">
        <v>100</v>
      </c>
      <c r="G792" s="329" t="s">
        <v>171</v>
      </c>
      <c r="H792" s="31">
        <v>1.75</v>
      </c>
      <c r="I792" s="27">
        <f t="shared" si="26"/>
        <v>175</v>
      </c>
      <c r="J792" s="28" t="s">
        <v>5540</v>
      </c>
      <c r="K792" s="25">
        <v>41346</v>
      </c>
      <c r="L792" s="56">
        <v>41362</v>
      </c>
      <c r="M792" s="29" t="s">
        <v>166</v>
      </c>
    </row>
    <row r="793" spans="1:32" ht="12" customHeight="1">
      <c r="A793" s="25">
        <v>41346</v>
      </c>
      <c r="B793" s="329" t="s">
        <v>229</v>
      </c>
      <c r="C793" s="221" t="s">
        <v>163</v>
      </c>
      <c r="D793" s="329" t="s">
        <v>704</v>
      </c>
      <c r="E793" s="329" t="s">
        <v>5538</v>
      </c>
      <c r="F793" s="205">
        <v>3172</v>
      </c>
      <c r="G793" s="329" t="s">
        <v>171</v>
      </c>
      <c r="H793" s="31">
        <v>2.36</v>
      </c>
      <c r="I793" s="27">
        <f t="shared" si="26"/>
        <v>7485.9199999999992</v>
      </c>
      <c r="J793" s="28" t="s">
        <v>5540</v>
      </c>
      <c r="K793" s="25">
        <v>41346</v>
      </c>
      <c r="L793" s="56">
        <v>41376</v>
      </c>
      <c r="M793" s="29" t="s">
        <v>167</v>
      </c>
    </row>
    <row r="794" spans="1:32" ht="12" customHeight="1">
      <c r="A794" s="25">
        <v>41346</v>
      </c>
      <c r="B794" s="329" t="s">
        <v>5487</v>
      </c>
      <c r="C794" s="219" t="s">
        <v>163</v>
      </c>
      <c r="D794" s="1" t="s">
        <v>1726</v>
      </c>
      <c r="E794" s="329">
        <v>10435</v>
      </c>
      <c r="F794" s="205">
        <v>20</v>
      </c>
      <c r="G794" s="329" t="s">
        <v>173</v>
      </c>
      <c r="H794" s="31">
        <v>14.8</v>
      </c>
      <c r="I794" s="27">
        <f t="shared" si="26"/>
        <v>296</v>
      </c>
      <c r="J794" s="28" t="s">
        <v>5640</v>
      </c>
      <c r="K794" s="25">
        <v>41351</v>
      </c>
      <c r="L794" s="56">
        <v>41346</v>
      </c>
      <c r="M794" s="29" t="s">
        <v>167</v>
      </c>
      <c r="N794" s="28" t="s">
        <v>5633</v>
      </c>
      <c r="O794" s="32">
        <v>7496</v>
      </c>
      <c r="P794" s="56">
        <v>41351</v>
      </c>
    </row>
    <row r="795" spans="1:32" ht="12" customHeight="1">
      <c r="A795" s="25">
        <v>41346</v>
      </c>
      <c r="B795" s="329" t="s">
        <v>5487</v>
      </c>
      <c r="C795" s="219" t="s">
        <v>163</v>
      </c>
      <c r="D795" s="329" t="s">
        <v>1921</v>
      </c>
      <c r="E795" s="329">
        <v>8246</v>
      </c>
      <c r="F795" s="205">
        <v>600</v>
      </c>
      <c r="G795" s="329" t="s">
        <v>171</v>
      </c>
      <c r="H795" s="31">
        <v>12</v>
      </c>
      <c r="I795" s="27">
        <f t="shared" si="26"/>
        <v>7200</v>
      </c>
      <c r="J795" s="28" t="s">
        <v>5640</v>
      </c>
      <c r="K795" s="25">
        <v>41351</v>
      </c>
      <c r="L795" s="56">
        <v>41346</v>
      </c>
      <c r="M795" s="29" t="s">
        <v>167</v>
      </c>
      <c r="N795" s="28" t="s">
        <v>5633</v>
      </c>
      <c r="O795" s="32">
        <v>7496</v>
      </c>
      <c r="P795" s="56">
        <v>41351</v>
      </c>
    </row>
    <row r="796" spans="1:32" ht="12" customHeight="1">
      <c r="A796" s="25">
        <v>41346</v>
      </c>
      <c r="B796" s="329" t="s">
        <v>5408</v>
      </c>
      <c r="C796" s="219" t="s">
        <v>163</v>
      </c>
      <c r="D796" s="329" t="s">
        <v>352</v>
      </c>
      <c r="E796" s="329">
        <v>7502</v>
      </c>
      <c r="F796" s="205">
        <v>10</v>
      </c>
      <c r="G796" s="329" t="s">
        <v>171</v>
      </c>
      <c r="H796" s="31">
        <v>110</v>
      </c>
      <c r="I796" s="27">
        <f t="shared" si="26"/>
        <v>1100</v>
      </c>
      <c r="J796" s="28" t="s">
        <v>5627</v>
      </c>
      <c r="K796" s="25">
        <v>41351</v>
      </c>
      <c r="L796" s="56">
        <v>41346</v>
      </c>
      <c r="M796" s="29" t="s">
        <v>167</v>
      </c>
      <c r="N796" s="28" t="s">
        <v>6425</v>
      </c>
      <c r="O796" s="32">
        <v>3073</v>
      </c>
      <c r="P796" s="56">
        <v>41383</v>
      </c>
    </row>
    <row r="797" spans="1:32" ht="12" customHeight="1">
      <c r="A797" s="25">
        <v>41346</v>
      </c>
      <c r="B797" s="329" t="s">
        <v>5408</v>
      </c>
      <c r="C797" s="219" t="s">
        <v>163</v>
      </c>
      <c r="D797" s="329" t="s">
        <v>274</v>
      </c>
      <c r="E797" s="1" t="s">
        <v>275</v>
      </c>
      <c r="F797" s="205">
        <v>60</v>
      </c>
      <c r="G797" s="329" t="s">
        <v>171</v>
      </c>
      <c r="H797" s="31">
        <v>31.7</v>
      </c>
      <c r="I797" s="27">
        <f t="shared" si="26"/>
        <v>1902</v>
      </c>
      <c r="J797" s="28" t="s">
        <v>5627</v>
      </c>
      <c r="K797" s="25">
        <v>41351</v>
      </c>
      <c r="L797" s="56">
        <v>41346</v>
      </c>
      <c r="M797" s="29" t="s">
        <v>167</v>
      </c>
      <c r="N797" s="28" t="s">
        <v>6425</v>
      </c>
      <c r="O797" s="32">
        <v>3073</v>
      </c>
      <c r="P797" s="56">
        <v>41383</v>
      </c>
    </row>
    <row r="798" spans="1:32" ht="12" customHeight="1">
      <c r="A798" s="25">
        <v>41346</v>
      </c>
      <c r="B798" s="329" t="s">
        <v>2018</v>
      </c>
      <c r="C798" s="219" t="s">
        <v>5552</v>
      </c>
      <c r="D798" s="1" t="s">
        <v>5429</v>
      </c>
      <c r="E798" s="1">
        <v>7475</v>
      </c>
      <c r="F798" s="1">
        <v>10</v>
      </c>
      <c r="G798" s="1" t="s">
        <v>5428</v>
      </c>
      <c r="H798" s="31">
        <v>280</v>
      </c>
      <c r="I798" s="27">
        <f t="shared" si="26"/>
        <v>2800</v>
      </c>
      <c r="J798" s="28" t="s">
        <v>5529</v>
      </c>
      <c r="K798" s="25">
        <v>41346</v>
      </c>
      <c r="L798" s="56">
        <v>41346</v>
      </c>
      <c r="M798" s="29" t="s">
        <v>5553</v>
      </c>
    </row>
    <row r="799" spans="1:32" ht="12" customHeight="1">
      <c r="A799" s="25">
        <v>41347</v>
      </c>
      <c r="B799" s="330" t="s">
        <v>2000</v>
      </c>
      <c r="C799" s="219" t="s">
        <v>163</v>
      </c>
      <c r="D799" s="5" t="s">
        <v>2026</v>
      </c>
      <c r="E799" s="330" t="s">
        <v>5564</v>
      </c>
      <c r="F799" s="205">
        <v>3500</v>
      </c>
      <c r="G799" s="330" t="s">
        <v>5565</v>
      </c>
      <c r="H799" s="31">
        <v>1.44</v>
      </c>
      <c r="I799" s="27">
        <f t="shared" si="26"/>
        <v>5040</v>
      </c>
      <c r="J799" s="28" t="s">
        <v>5640</v>
      </c>
      <c r="K799" s="25">
        <v>41351</v>
      </c>
      <c r="L799" s="56">
        <v>41347</v>
      </c>
      <c r="M799" s="29" t="s">
        <v>167</v>
      </c>
      <c r="N799" s="28" t="s">
        <v>5829</v>
      </c>
      <c r="O799" s="32">
        <v>5040</v>
      </c>
      <c r="P799" s="56">
        <v>41358</v>
      </c>
    </row>
    <row r="800" spans="1:32" ht="12" customHeight="1">
      <c r="A800" s="25">
        <v>41347</v>
      </c>
      <c r="B800" s="330" t="s">
        <v>229</v>
      </c>
      <c r="C800" s="221" t="s">
        <v>163</v>
      </c>
      <c r="D800" s="1" t="s">
        <v>1216</v>
      </c>
      <c r="E800" s="330">
        <v>3200</v>
      </c>
      <c r="F800" s="205">
        <v>2060</v>
      </c>
      <c r="G800" s="330" t="s">
        <v>5565</v>
      </c>
      <c r="H800" s="31">
        <v>23.94</v>
      </c>
      <c r="I800" s="27">
        <f t="shared" si="26"/>
        <v>49316.4</v>
      </c>
      <c r="J800" s="28" t="s">
        <v>5583</v>
      </c>
      <c r="K800" s="25">
        <v>41347</v>
      </c>
      <c r="L800" s="56">
        <v>41362</v>
      </c>
      <c r="M800" s="29" t="s">
        <v>167</v>
      </c>
    </row>
    <row r="801" spans="1:16" ht="12" customHeight="1">
      <c r="A801" s="25">
        <v>41347</v>
      </c>
      <c r="B801" s="330" t="s">
        <v>229</v>
      </c>
      <c r="C801" s="221" t="s">
        <v>163</v>
      </c>
      <c r="D801" s="5" t="s">
        <v>183</v>
      </c>
      <c r="E801" s="330" t="s">
        <v>187</v>
      </c>
      <c r="F801" s="205">
        <v>500</v>
      </c>
      <c r="G801" s="330" t="s">
        <v>5582</v>
      </c>
      <c r="H801" s="31">
        <v>1.54</v>
      </c>
      <c r="I801" s="27">
        <f t="shared" ref="I801:I802" si="28">H801*F801</f>
        <v>770</v>
      </c>
      <c r="J801" s="28" t="s">
        <v>5583</v>
      </c>
      <c r="K801" s="25">
        <v>41347</v>
      </c>
      <c r="L801" s="56">
        <v>41362</v>
      </c>
      <c r="M801" s="29" t="s">
        <v>167</v>
      </c>
    </row>
    <row r="802" spans="1:16" ht="12" customHeight="1">
      <c r="A802" s="25">
        <v>41348</v>
      </c>
      <c r="B802" s="331" t="s">
        <v>229</v>
      </c>
      <c r="C802" s="221" t="s">
        <v>163</v>
      </c>
      <c r="D802" s="331" t="s">
        <v>34</v>
      </c>
      <c r="E802" s="196">
        <v>12235</v>
      </c>
      <c r="F802" s="205">
        <v>20</v>
      </c>
      <c r="G802" s="331" t="s">
        <v>5593</v>
      </c>
      <c r="H802" s="31">
        <v>40.200000000000003</v>
      </c>
      <c r="I802" s="27">
        <f t="shared" si="28"/>
        <v>804</v>
      </c>
      <c r="J802" s="28" t="s">
        <v>5604</v>
      </c>
      <c r="K802" s="25">
        <v>41348</v>
      </c>
      <c r="L802" s="56">
        <v>41376</v>
      </c>
      <c r="M802" s="29" t="s">
        <v>167</v>
      </c>
    </row>
    <row r="803" spans="1:16" ht="12" customHeight="1">
      <c r="A803" s="25">
        <v>41348</v>
      </c>
      <c r="B803" s="331" t="s">
        <v>229</v>
      </c>
      <c r="C803" s="221" t="s">
        <v>163</v>
      </c>
      <c r="D803" s="331" t="s">
        <v>1493</v>
      </c>
      <c r="E803" s="196">
        <v>1426</v>
      </c>
      <c r="F803" s="205">
        <v>11</v>
      </c>
      <c r="G803" s="331" t="s">
        <v>173</v>
      </c>
      <c r="H803" s="31">
        <v>18.510000000000002</v>
      </c>
      <c r="I803" s="27">
        <f t="shared" ref="I803:I804" si="29">H803*F803</f>
        <v>203.61</v>
      </c>
      <c r="J803" s="28" t="s">
        <v>5604</v>
      </c>
      <c r="K803" s="25">
        <v>41348</v>
      </c>
      <c r="L803" s="56">
        <v>41376</v>
      </c>
      <c r="M803" s="29" t="s">
        <v>167</v>
      </c>
    </row>
    <row r="804" spans="1:16" ht="12" customHeight="1">
      <c r="A804" s="25">
        <v>41348</v>
      </c>
      <c r="B804" s="331" t="s">
        <v>5610</v>
      </c>
      <c r="C804" s="221" t="s">
        <v>163</v>
      </c>
      <c r="D804" s="1" t="s">
        <v>1225</v>
      </c>
      <c r="E804" s="331" t="s">
        <v>5605</v>
      </c>
      <c r="F804" s="205">
        <v>100</v>
      </c>
      <c r="G804" s="331" t="s">
        <v>5606</v>
      </c>
      <c r="H804" s="31">
        <v>3.96</v>
      </c>
      <c r="I804" s="27">
        <f t="shared" si="29"/>
        <v>396</v>
      </c>
      <c r="J804" s="28" t="s">
        <v>5627</v>
      </c>
      <c r="K804" s="25">
        <v>41348</v>
      </c>
      <c r="L804" s="56">
        <v>41348</v>
      </c>
      <c r="M804" s="29" t="s">
        <v>167</v>
      </c>
      <c r="N804" s="28" t="s">
        <v>5851</v>
      </c>
      <c r="O804" s="32">
        <v>1801</v>
      </c>
      <c r="P804" s="56">
        <v>41360</v>
      </c>
    </row>
    <row r="805" spans="1:16" ht="12" customHeight="1">
      <c r="A805" s="25">
        <v>41348</v>
      </c>
      <c r="B805" s="331" t="s">
        <v>229</v>
      </c>
      <c r="C805" s="221" t="s">
        <v>163</v>
      </c>
      <c r="D805" s="331" t="s">
        <v>1959</v>
      </c>
      <c r="E805" s="196">
        <v>4620</v>
      </c>
      <c r="F805" s="205">
        <v>30</v>
      </c>
      <c r="G805" s="331" t="s">
        <v>175</v>
      </c>
      <c r="H805" s="31">
        <v>17.79</v>
      </c>
      <c r="I805" s="27">
        <f>F805*H805</f>
        <v>533.69999999999993</v>
      </c>
      <c r="J805" s="28" t="s">
        <v>5611</v>
      </c>
      <c r="K805" s="25">
        <v>41348</v>
      </c>
      <c r="L805" s="56">
        <v>41376</v>
      </c>
      <c r="M805" s="29" t="s">
        <v>167</v>
      </c>
    </row>
    <row r="806" spans="1:16" ht="12" customHeight="1">
      <c r="A806" s="25">
        <v>41351</v>
      </c>
      <c r="B806" s="332" t="s">
        <v>1994</v>
      </c>
      <c r="C806" s="220" t="s">
        <v>7</v>
      </c>
      <c r="D806" s="332" t="s">
        <v>1983</v>
      </c>
      <c r="E806" s="332" t="s">
        <v>5628</v>
      </c>
      <c r="F806" s="205">
        <v>60</v>
      </c>
      <c r="G806" s="332" t="s">
        <v>830</v>
      </c>
      <c r="H806" s="31">
        <v>14.15</v>
      </c>
      <c r="I806" s="27">
        <f t="shared" ref="I806:I819" si="30">H806*F806</f>
        <v>849</v>
      </c>
      <c r="J806" s="28" t="s">
        <v>5811</v>
      </c>
      <c r="K806" s="25">
        <v>41351</v>
      </c>
      <c r="L806" s="56">
        <v>41351</v>
      </c>
      <c r="M806" s="29" t="s">
        <v>167</v>
      </c>
      <c r="N806" s="28" t="s">
        <v>5851</v>
      </c>
      <c r="O806" s="32">
        <v>1801</v>
      </c>
      <c r="P806" s="56">
        <v>41360</v>
      </c>
    </row>
    <row r="807" spans="1:16" ht="12" customHeight="1">
      <c r="A807" s="25">
        <v>41351</v>
      </c>
      <c r="B807" s="312" t="s">
        <v>5167</v>
      </c>
      <c r="C807" s="219" t="s">
        <v>163</v>
      </c>
      <c r="D807" s="5" t="s">
        <v>1726</v>
      </c>
      <c r="E807" s="196">
        <v>10435</v>
      </c>
      <c r="F807" s="205">
        <v>150</v>
      </c>
      <c r="G807" s="333" t="s">
        <v>5650</v>
      </c>
      <c r="H807" s="31">
        <v>14.2</v>
      </c>
      <c r="I807" s="27">
        <f t="shared" si="30"/>
        <v>2130</v>
      </c>
      <c r="J807" s="28" t="s">
        <v>5811</v>
      </c>
      <c r="K807" s="25">
        <v>41358</v>
      </c>
      <c r="L807" s="56">
        <v>41351</v>
      </c>
      <c r="M807" s="29" t="s">
        <v>167</v>
      </c>
    </row>
    <row r="808" spans="1:16" ht="12" customHeight="1">
      <c r="A808" s="25">
        <v>41351</v>
      </c>
      <c r="B808" s="312" t="s">
        <v>5167</v>
      </c>
      <c r="C808" s="219" t="s">
        <v>163</v>
      </c>
      <c r="D808" s="333" t="s">
        <v>183</v>
      </c>
      <c r="E808" s="333" t="s">
        <v>195</v>
      </c>
      <c r="F808" s="205">
        <v>600</v>
      </c>
      <c r="G808" s="333" t="s">
        <v>5651</v>
      </c>
      <c r="H808" s="31">
        <v>4.75</v>
      </c>
      <c r="I808" s="27">
        <f t="shared" si="30"/>
        <v>2850</v>
      </c>
      <c r="J808" s="28" t="s">
        <v>5811</v>
      </c>
      <c r="K808" s="25">
        <v>41358</v>
      </c>
      <c r="L808" s="56">
        <v>41351</v>
      </c>
      <c r="M808" s="29" t="s">
        <v>167</v>
      </c>
    </row>
    <row r="809" spans="1:16" ht="12" customHeight="1">
      <c r="A809" s="25">
        <v>41353</v>
      </c>
      <c r="B809" s="312" t="s">
        <v>5167</v>
      </c>
      <c r="C809" s="219" t="s">
        <v>163</v>
      </c>
      <c r="D809" s="5" t="s">
        <v>5102</v>
      </c>
      <c r="E809" s="335" t="s">
        <v>5688</v>
      </c>
      <c r="F809" s="205">
        <v>100</v>
      </c>
      <c r="G809" s="335" t="s">
        <v>173</v>
      </c>
      <c r="H809" s="31">
        <v>11.6</v>
      </c>
      <c r="I809" s="375">
        <f t="shared" si="30"/>
        <v>1160</v>
      </c>
      <c r="J809" s="28" t="s">
        <v>5794</v>
      </c>
      <c r="K809" s="25">
        <v>41358</v>
      </c>
      <c r="L809" s="56">
        <v>41353</v>
      </c>
      <c r="M809" s="29" t="s">
        <v>167</v>
      </c>
      <c r="N809" s="28" t="s">
        <v>6374</v>
      </c>
      <c r="O809" s="32">
        <v>33014</v>
      </c>
      <c r="P809" s="56">
        <v>41380</v>
      </c>
    </row>
    <row r="810" spans="1:16" ht="12.75" customHeight="1">
      <c r="A810" s="25">
        <v>41353</v>
      </c>
      <c r="B810" s="336" t="s">
        <v>1999</v>
      </c>
      <c r="C810" s="219" t="s">
        <v>163</v>
      </c>
      <c r="D810" s="227" t="s">
        <v>5694</v>
      </c>
      <c r="E810" s="336" t="s">
        <v>5703</v>
      </c>
      <c r="F810" s="367">
        <v>2500</v>
      </c>
      <c r="G810" s="336" t="s">
        <v>5710</v>
      </c>
      <c r="H810" s="31">
        <v>0.52</v>
      </c>
      <c r="I810" s="27">
        <f t="shared" si="30"/>
        <v>1300</v>
      </c>
      <c r="J810" s="28" t="s">
        <v>5824</v>
      </c>
      <c r="K810" s="25">
        <v>41358</v>
      </c>
      <c r="L810" s="56">
        <v>41353</v>
      </c>
      <c r="M810" s="29" t="s">
        <v>167</v>
      </c>
      <c r="N810" s="28" t="s">
        <v>6205</v>
      </c>
      <c r="O810" s="32">
        <v>15880.44</v>
      </c>
      <c r="P810" s="56">
        <v>41375</v>
      </c>
    </row>
    <row r="811" spans="1:16" ht="12" customHeight="1">
      <c r="A811" s="25">
        <v>41353</v>
      </c>
      <c r="B811" s="336" t="s">
        <v>1999</v>
      </c>
      <c r="C811" s="219" t="s">
        <v>163</v>
      </c>
      <c r="D811" s="1" t="s">
        <v>5691</v>
      </c>
      <c r="E811" s="336" t="s">
        <v>5704</v>
      </c>
      <c r="F811" s="367">
        <v>6</v>
      </c>
      <c r="G811" s="336" t="s">
        <v>5711</v>
      </c>
      <c r="H811" s="31">
        <v>275.39999999999998</v>
      </c>
      <c r="I811" s="27">
        <f t="shared" si="30"/>
        <v>1652.3999999999999</v>
      </c>
      <c r="J811" s="28" t="s">
        <v>5824</v>
      </c>
      <c r="K811" s="25">
        <v>41358</v>
      </c>
      <c r="L811" s="56">
        <v>41353</v>
      </c>
      <c r="M811" s="29" t="s">
        <v>167</v>
      </c>
      <c r="N811" s="28" t="s">
        <v>6205</v>
      </c>
      <c r="O811" s="32">
        <v>15880.44</v>
      </c>
      <c r="P811" s="56">
        <v>41375</v>
      </c>
    </row>
    <row r="812" spans="1:16" ht="12" customHeight="1">
      <c r="A812" s="25">
        <v>41353</v>
      </c>
      <c r="B812" s="336" t="s">
        <v>1999</v>
      </c>
      <c r="C812" s="219" t="s">
        <v>163</v>
      </c>
      <c r="D812" s="265" t="s">
        <v>5713</v>
      </c>
      <c r="E812" s="336" t="s">
        <v>5705</v>
      </c>
      <c r="F812" s="367">
        <v>500</v>
      </c>
      <c r="G812" s="336" t="s">
        <v>5710</v>
      </c>
      <c r="H812" s="31">
        <v>0.54</v>
      </c>
      <c r="I812" s="27">
        <f t="shared" si="30"/>
        <v>270</v>
      </c>
      <c r="J812" s="28" t="s">
        <v>5824</v>
      </c>
      <c r="K812" s="25">
        <v>41358</v>
      </c>
      <c r="L812" s="56">
        <v>41353</v>
      </c>
      <c r="M812" s="29" t="s">
        <v>167</v>
      </c>
      <c r="N812" s="28" t="s">
        <v>6205</v>
      </c>
      <c r="O812" s="32">
        <v>15880.44</v>
      </c>
      <c r="P812" s="56">
        <v>41375</v>
      </c>
    </row>
    <row r="813" spans="1:16" ht="12" customHeight="1">
      <c r="A813" s="25">
        <v>41353</v>
      </c>
      <c r="B813" s="336" t="s">
        <v>1999</v>
      </c>
      <c r="C813" s="219" t="s">
        <v>5706</v>
      </c>
      <c r="D813" s="336" t="s">
        <v>5708</v>
      </c>
      <c r="E813" s="336" t="s">
        <v>5707</v>
      </c>
      <c r="F813" s="367">
        <v>1</v>
      </c>
      <c r="G813" s="336" t="s">
        <v>5712</v>
      </c>
      <c r="H813" s="31">
        <v>22.68</v>
      </c>
      <c r="I813" s="27">
        <f t="shared" si="30"/>
        <v>22.68</v>
      </c>
      <c r="J813" s="28" t="s">
        <v>5824</v>
      </c>
      <c r="K813" s="25">
        <v>41358</v>
      </c>
      <c r="L813" s="56">
        <v>41353</v>
      </c>
      <c r="M813" s="29" t="s">
        <v>167</v>
      </c>
      <c r="N813" s="28" t="s">
        <v>6205</v>
      </c>
      <c r="O813" s="32">
        <v>15880.44</v>
      </c>
      <c r="P813" s="56">
        <v>41375</v>
      </c>
    </row>
    <row r="814" spans="1:16" ht="12" customHeight="1">
      <c r="A814" s="25">
        <v>41353</v>
      </c>
      <c r="B814" s="336" t="s">
        <v>1999</v>
      </c>
      <c r="C814" s="219" t="s">
        <v>5706</v>
      </c>
      <c r="D814" s="336" t="s">
        <v>5709</v>
      </c>
      <c r="E814" s="336" t="s">
        <v>5707</v>
      </c>
      <c r="F814" s="367">
        <v>2</v>
      </c>
      <c r="G814" s="336" t="s">
        <v>5712</v>
      </c>
      <c r="H814" s="31">
        <v>22.68</v>
      </c>
      <c r="I814" s="27">
        <f t="shared" si="30"/>
        <v>45.36</v>
      </c>
      <c r="J814" s="28" t="s">
        <v>5824</v>
      </c>
      <c r="K814" s="25">
        <v>41358</v>
      </c>
      <c r="L814" s="56">
        <v>41353</v>
      </c>
      <c r="M814" s="29" t="s">
        <v>167</v>
      </c>
      <c r="N814" s="28" t="s">
        <v>6205</v>
      </c>
      <c r="O814" s="32">
        <v>15880.44</v>
      </c>
      <c r="P814" s="56">
        <v>41375</v>
      </c>
    </row>
    <row r="815" spans="1:16" ht="12" customHeight="1">
      <c r="A815" s="25">
        <v>41353</v>
      </c>
      <c r="B815" s="336" t="s">
        <v>5715</v>
      </c>
      <c r="C815" s="1" t="s">
        <v>5682</v>
      </c>
      <c r="D815" s="1" t="s">
        <v>5685</v>
      </c>
      <c r="E815" s="1" t="s">
        <v>5684</v>
      </c>
      <c r="F815" s="1">
        <v>2</v>
      </c>
      <c r="G815" s="1" t="s">
        <v>3741</v>
      </c>
      <c r="H815" s="31">
        <v>290</v>
      </c>
      <c r="I815" s="27">
        <f t="shared" si="30"/>
        <v>580</v>
      </c>
      <c r="J815" s="28" t="s">
        <v>5899</v>
      </c>
      <c r="K815" s="25">
        <v>41361</v>
      </c>
      <c r="L815" s="56">
        <v>41353</v>
      </c>
      <c r="M815" s="29" t="s">
        <v>167</v>
      </c>
      <c r="N815" s="28" t="s">
        <v>5941</v>
      </c>
      <c r="O815" s="32">
        <v>870</v>
      </c>
      <c r="P815" s="56">
        <v>41363</v>
      </c>
    </row>
    <row r="816" spans="1:16" ht="12" customHeight="1">
      <c r="A816" s="25">
        <v>41353</v>
      </c>
      <c r="B816" s="336" t="s">
        <v>5715</v>
      </c>
      <c r="C816" s="1" t="s">
        <v>5682</v>
      </c>
      <c r="D816" s="1" t="s">
        <v>5686</v>
      </c>
      <c r="E816" s="1" t="s">
        <v>5683</v>
      </c>
      <c r="F816" s="1">
        <v>1</v>
      </c>
      <c r="G816" s="1" t="s">
        <v>3741</v>
      </c>
      <c r="H816" s="31">
        <v>290</v>
      </c>
      <c r="I816" s="27">
        <f t="shared" si="30"/>
        <v>290</v>
      </c>
      <c r="J816" s="28" t="s">
        <v>5899</v>
      </c>
      <c r="K816" s="25">
        <v>41361</v>
      </c>
      <c r="L816" s="56">
        <v>41353</v>
      </c>
      <c r="M816" s="29" t="s">
        <v>167</v>
      </c>
      <c r="N816" s="28" t="s">
        <v>5941</v>
      </c>
      <c r="O816" s="32">
        <v>870</v>
      </c>
      <c r="P816" s="56">
        <v>41363</v>
      </c>
    </row>
    <row r="817" spans="1:32" ht="12" customHeight="1">
      <c r="A817" s="25">
        <v>41353</v>
      </c>
      <c r="B817" s="336" t="s">
        <v>229</v>
      </c>
      <c r="C817" s="219" t="s">
        <v>163</v>
      </c>
      <c r="D817" s="1" t="s">
        <v>1216</v>
      </c>
      <c r="E817" s="1">
        <v>3200</v>
      </c>
      <c r="F817" s="1">
        <v>60</v>
      </c>
      <c r="G817" s="1" t="s">
        <v>5711</v>
      </c>
      <c r="H817" s="31">
        <v>23.94</v>
      </c>
      <c r="I817" s="27">
        <f t="shared" si="30"/>
        <v>1436.4</v>
      </c>
      <c r="J817" s="28" t="s">
        <v>5726</v>
      </c>
      <c r="K817" s="25">
        <v>41353</v>
      </c>
      <c r="L817" s="56">
        <v>41376</v>
      </c>
      <c r="M817" s="29" t="s">
        <v>167</v>
      </c>
      <c r="Q817" s="336"/>
      <c r="R817" s="336"/>
      <c r="S817" s="336"/>
      <c r="T817" s="336"/>
      <c r="U817" s="336"/>
      <c r="V817" s="336"/>
      <c r="W817" s="336"/>
      <c r="X817" s="336"/>
      <c r="Y817" s="336"/>
      <c r="Z817" s="336"/>
      <c r="AA817" s="336"/>
      <c r="AB817" s="336"/>
      <c r="AC817" s="336"/>
      <c r="AD817" s="336"/>
      <c r="AE817" s="336"/>
      <c r="AF817" s="336"/>
    </row>
    <row r="818" spans="1:32" ht="12" customHeight="1">
      <c r="A818" s="25">
        <v>41354</v>
      </c>
      <c r="B818" s="336" t="s">
        <v>1993</v>
      </c>
      <c r="C818" s="219" t="s">
        <v>163</v>
      </c>
      <c r="D818" s="342" t="s">
        <v>289</v>
      </c>
      <c r="E818" s="336">
        <v>10434</v>
      </c>
      <c r="F818" s="336">
        <v>-30</v>
      </c>
      <c r="G818" s="336" t="s">
        <v>173</v>
      </c>
      <c r="H818" s="31">
        <v>14.2</v>
      </c>
      <c r="I818" s="27">
        <f t="shared" si="30"/>
        <v>-426</v>
      </c>
      <c r="J818" s="28" t="s">
        <v>5716</v>
      </c>
      <c r="K818" s="25" t="s">
        <v>5716</v>
      </c>
      <c r="L818" s="56" t="s">
        <v>5725</v>
      </c>
      <c r="M818" s="29" t="s">
        <v>5725</v>
      </c>
      <c r="N818" s="28" t="s">
        <v>1573</v>
      </c>
    </row>
    <row r="819" spans="1:32" ht="12" customHeight="1">
      <c r="A819" s="25">
        <v>41354</v>
      </c>
      <c r="B819" s="336" t="s">
        <v>229</v>
      </c>
      <c r="C819" s="219" t="s">
        <v>163</v>
      </c>
      <c r="D819" s="5" t="s">
        <v>183</v>
      </c>
      <c r="E819" s="336" t="s">
        <v>187</v>
      </c>
      <c r="F819" s="336">
        <v>500</v>
      </c>
      <c r="G819" s="336" t="s">
        <v>172</v>
      </c>
      <c r="H819" s="31">
        <v>1.54</v>
      </c>
      <c r="I819" s="27">
        <f t="shared" si="30"/>
        <v>770</v>
      </c>
      <c r="J819" s="28" t="s">
        <v>5727</v>
      </c>
      <c r="K819" s="25">
        <v>41354</v>
      </c>
      <c r="L819" s="56">
        <v>41376</v>
      </c>
      <c r="M819" s="29" t="s">
        <v>167</v>
      </c>
    </row>
    <row r="820" spans="1:32" ht="12" customHeight="1">
      <c r="A820" s="25">
        <v>41354</v>
      </c>
      <c r="B820" s="337" t="s">
        <v>229</v>
      </c>
      <c r="C820" s="219" t="s">
        <v>163</v>
      </c>
      <c r="D820" s="5" t="s">
        <v>183</v>
      </c>
      <c r="E820" s="337" t="s">
        <v>187</v>
      </c>
      <c r="F820" s="337">
        <v>500</v>
      </c>
      <c r="G820" s="337" t="s">
        <v>172</v>
      </c>
      <c r="H820" s="31">
        <v>1.54</v>
      </c>
      <c r="I820" s="27">
        <f t="shared" ref="I820:I823" si="31">H820*F820</f>
        <v>770</v>
      </c>
      <c r="J820" s="28" t="s">
        <v>5767</v>
      </c>
      <c r="K820" s="25">
        <v>41354</v>
      </c>
      <c r="L820" s="56">
        <v>41376</v>
      </c>
      <c r="M820" s="29" t="s">
        <v>167</v>
      </c>
    </row>
    <row r="821" spans="1:32" ht="12" customHeight="1">
      <c r="A821" s="25">
        <v>41354</v>
      </c>
      <c r="B821" s="337" t="s">
        <v>229</v>
      </c>
      <c r="C821" s="219" t="s">
        <v>163</v>
      </c>
      <c r="D821" s="1" t="s">
        <v>1216</v>
      </c>
      <c r="E821" s="196">
        <v>3200</v>
      </c>
      <c r="F821" s="205">
        <v>400</v>
      </c>
      <c r="G821" s="337" t="s">
        <v>171</v>
      </c>
      <c r="H821" s="31">
        <v>23.94</v>
      </c>
      <c r="I821" s="27">
        <f t="shared" si="31"/>
        <v>9576</v>
      </c>
      <c r="J821" s="28" t="s">
        <v>5768</v>
      </c>
      <c r="K821" s="25">
        <v>41354</v>
      </c>
      <c r="L821" s="56">
        <v>41376</v>
      </c>
      <c r="M821" s="29" t="s">
        <v>167</v>
      </c>
    </row>
    <row r="822" spans="1:32" ht="12" customHeight="1">
      <c r="A822" s="25">
        <v>41354</v>
      </c>
      <c r="B822" s="337" t="s">
        <v>229</v>
      </c>
      <c r="C822" s="219" t="s">
        <v>163</v>
      </c>
      <c r="D822" s="337" t="s">
        <v>355</v>
      </c>
      <c r="E822" s="337" t="s">
        <v>22</v>
      </c>
      <c r="F822" s="205">
        <v>120</v>
      </c>
      <c r="G822" s="337" t="s">
        <v>171</v>
      </c>
      <c r="H822" s="31">
        <v>10.94</v>
      </c>
      <c r="I822" s="27">
        <f t="shared" si="31"/>
        <v>1312.8</v>
      </c>
      <c r="J822" s="28" t="s">
        <v>5768</v>
      </c>
      <c r="K822" s="25">
        <v>41354</v>
      </c>
      <c r="L822" s="56">
        <v>41376</v>
      </c>
      <c r="M822" s="29" t="s">
        <v>167</v>
      </c>
    </row>
    <row r="823" spans="1:32" ht="12" customHeight="1">
      <c r="A823" s="25">
        <v>41354</v>
      </c>
      <c r="B823" s="337" t="s">
        <v>229</v>
      </c>
      <c r="C823" s="219" t="s">
        <v>163</v>
      </c>
      <c r="D823" s="1" t="s">
        <v>269</v>
      </c>
      <c r="E823" s="1" t="s">
        <v>178</v>
      </c>
      <c r="F823" s="205">
        <v>500</v>
      </c>
      <c r="G823" s="337" t="s">
        <v>172</v>
      </c>
      <c r="H823" s="31">
        <v>1.17</v>
      </c>
      <c r="I823" s="27">
        <f t="shared" si="31"/>
        <v>585</v>
      </c>
      <c r="J823" s="28" t="s">
        <v>5768</v>
      </c>
      <c r="K823" s="25">
        <v>41354</v>
      </c>
      <c r="L823" s="56">
        <v>41376</v>
      </c>
      <c r="M823" s="29" t="s">
        <v>167</v>
      </c>
    </row>
    <row r="824" spans="1:32" ht="12" customHeight="1">
      <c r="A824" s="25">
        <v>41354</v>
      </c>
      <c r="B824" s="337" t="s">
        <v>229</v>
      </c>
      <c r="C824" s="219" t="s">
        <v>163</v>
      </c>
      <c r="D824" s="337" t="s">
        <v>264</v>
      </c>
      <c r="E824" s="337" t="s">
        <v>198</v>
      </c>
      <c r="F824" s="205">
        <v>100</v>
      </c>
      <c r="G824" s="337" t="s">
        <v>171</v>
      </c>
      <c r="H824" s="31">
        <v>1.58</v>
      </c>
      <c r="I824" s="27">
        <f t="shared" ref="I824:I889" si="32">H824*F824</f>
        <v>158</v>
      </c>
      <c r="J824" s="28" t="s">
        <v>5768</v>
      </c>
      <c r="K824" s="25">
        <v>41354</v>
      </c>
      <c r="L824" s="56">
        <v>41376</v>
      </c>
      <c r="M824" s="29" t="s">
        <v>167</v>
      </c>
    </row>
    <row r="825" spans="1:32" ht="12" customHeight="1">
      <c r="A825" s="25">
        <v>41355</v>
      </c>
      <c r="B825" s="337" t="s">
        <v>2022</v>
      </c>
      <c r="C825" s="219" t="s">
        <v>163</v>
      </c>
      <c r="D825" s="337" t="s">
        <v>183</v>
      </c>
      <c r="E825" s="337" t="s">
        <v>1874</v>
      </c>
      <c r="F825" s="205">
        <v>-248</v>
      </c>
      <c r="G825" s="337" t="s">
        <v>172</v>
      </c>
      <c r="H825" s="31">
        <v>9.1</v>
      </c>
      <c r="I825" s="27">
        <f t="shared" si="32"/>
        <v>-2256.7999999999997</v>
      </c>
      <c r="J825" s="28" t="s">
        <v>168</v>
      </c>
      <c r="K825" s="25" t="s">
        <v>5789</v>
      </c>
      <c r="L825" s="56" t="s">
        <v>5788</v>
      </c>
      <c r="M825" s="29" t="s">
        <v>166</v>
      </c>
      <c r="N825" s="322" t="s">
        <v>5405</v>
      </c>
      <c r="O825" s="321">
        <v>10660.4</v>
      </c>
      <c r="P825" s="56">
        <v>41338</v>
      </c>
      <c r="Q825" s="337" t="s">
        <v>5793</v>
      </c>
    </row>
    <row r="826" spans="1:32" ht="12" customHeight="1">
      <c r="A826" s="25">
        <v>41355</v>
      </c>
      <c r="B826" s="337" t="s">
        <v>229</v>
      </c>
      <c r="C826" s="219" t="s">
        <v>163</v>
      </c>
      <c r="D826" s="5" t="s">
        <v>183</v>
      </c>
      <c r="E826" s="337" t="s">
        <v>187</v>
      </c>
      <c r="F826" s="205">
        <v>1000</v>
      </c>
      <c r="G826" s="337" t="s">
        <v>172</v>
      </c>
      <c r="H826" s="31">
        <v>1.54</v>
      </c>
      <c r="I826" s="27">
        <f t="shared" si="32"/>
        <v>1540</v>
      </c>
      <c r="J826" s="28" t="s">
        <v>5790</v>
      </c>
      <c r="K826" s="25">
        <v>41355</v>
      </c>
      <c r="L826" s="56">
        <v>41376</v>
      </c>
      <c r="M826" s="29" t="s">
        <v>167</v>
      </c>
    </row>
    <row r="827" spans="1:32" ht="12" customHeight="1">
      <c r="A827" s="25">
        <v>41358</v>
      </c>
      <c r="B827" s="338" t="s">
        <v>5809</v>
      </c>
      <c r="C827" s="219" t="s">
        <v>5811</v>
      </c>
      <c r="D827" s="338" t="s">
        <v>5810</v>
      </c>
      <c r="E827" s="338" t="s">
        <v>5811</v>
      </c>
      <c r="F827" s="205">
        <v>45</v>
      </c>
      <c r="G827" s="338" t="s">
        <v>5815</v>
      </c>
      <c r="H827" s="31">
        <v>1.68</v>
      </c>
      <c r="I827" s="27">
        <f t="shared" si="32"/>
        <v>75.599999999999994</v>
      </c>
      <c r="J827" s="28" t="s">
        <v>5817</v>
      </c>
      <c r="K827" s="25">
        <v>41358</v>
      </c>
      <c r="L827" s="56">
        <v>41374</v>
      </c>
      <c r="M827" s="29" t="s">
        <v>167</v>
      </c>
      <c r="N827" s="28" t="s">
        <v>6173</v>
      </c>
      <c r="O827" s="32">
        <v>35658.1</v>
      </c>
      <c r="P827" s="56">
        <v>41374</v>
      </c>
    </row>
    <row r="828" spans="1:32" ht="12" customHeight="1">
      <c r="A828" s="25">
        <v>41358</v>
      </c>
      <c r="B828" s="338" t="s">
        <v>5809</v>
      </c>
      <c r="C828" s="219" t="s">
        <v>5811</v>
      </c>
      <c r="D828" s="338" t="s">
        <v>5812</v>
      </c>
      <c r="E828" s="338" t="s">
        <v>5811</v>
      </c>
      <c r="F828" s="205">
        <v>15</v>
      </c>
      <c r="G828" s="338" t="s">
        <v>5816</v>
      </c>
      <c r="H828" s="31">
        <v>30</v>
      </c>
      <c r="I828" s="27">
        <f t="shared" si="32"/>
        <v>450</v>
      </c>
      <c r="J828" s="28" t="s">
        <v>5817</v>
      </c>
      <c r="K828" s="25">
        <v>41358</v>
      </c>
      <c r="L828" s="56">
        <v>41374</v>
      </c>
      <c r="M828" s="29" t="s">
        <v>167</v>
      </c>
      <c r="N828" s="28" t="s">
        <v>6173</v>
      </c>
      <c r="O828" s="32">
        <v>35658.1</v>
      </c>
      <c r="P828" s="56">
        <v>41374</v>
      </c>
    </row>
    <row r="829" spans="1:32" ht="12" customHeight="1">
      <c r="A829" s="25">
        <v>41358</v>
      </c>
      <c r="B829" s="338" t="s">
        <v>5809</v>
      </c>
      <c r="C829" s="219" t="s">
        <v>5811</v>
      </c>
      <c r="D829" s="338" t="s">
        <v>5813</v>
      </c>
      <c r="E829" s="338" t="s">
        <v>5811</v>
      </c>
      <c r="F829" s="205">
        <v>400</v>
      </c>
      <c r="G829" s="338" t="s">
        <v>5815</v>
      </c>
      <c r="H829" s="31">
        <v>0.7</v>
      </c>
      <c r="I829" s="27">
        <f t="shared" si="32"/>
        <v>280</v>
      </c>
      <c r="J829" s="28" t="s">
        <v>5817</v>
      </c>
      <c r="K829" s="25">
        <v>41358</v>
      </c>
      <c r="L829" s="56">
        <v>41374</v>
      </c>
      <c r="M829" s="29" t="s">
        <v>167</v>
      </c>
      <c r="N829" s="28" t="s">
        <v>6173</v>
      </c>
      <c r="O829" s="32">
        <v>35658.1</v>
      </c>
      <c r="P829" s="56">
        <v>41374</v>
      </c>
    </row>
    <row r="830" spans="1:32" ht="12" customHeight="1">
      <c r="A830" s="25">
        <v>41358</v>
      </c>
      <c r="B830" s="338" t="s">
        <v>5809</v>
      </c>
      <c r="C830" s="219" t="s">
        <v>5811</v>
      </c>
      <c r="D830" s="338" t="s">
        <v>5814</v>
      </c>
      <c r="E830" s="338" t="s">
        <v>5811</v>
      </c>
      <c r="F830" s="205">
        <v>40</v>
      </c>
      <c r="G830" s="338" t="s">
        <v>5816</v>
      </c>
      <c r="H830" s="31">
        <v>3.8</v>
      </c>
      <c r="I830" s="27">
        <f t="shared" si="32"/>
        <v>152</v>
      </c>
      <c r="J830" s="28" t="s">
        <v>5817</v>
      </c>
      <c r="K830" s="25">
        <v>41358</v>
      </c>
      <c r="L830" s="56">
        <v>41374</v>
      </c>
      <c r="M830" s="29" t="s">
        <v>167</v>
      </c>
      <c r="N830" s="28" t="s">
        <v>6173</v>
      </c>
      <c r="O830" s="32">
        <v>35658.1</v>
      </c>
      <c r="P830" s="56">
        <v>41374</v>
      </c>
    </row>
    <row r="831" spans="1:32" ht="12" customHeight="1">
      <c r="A831" s="25">
        <v>41359</v>
      </c>
      <c r="B831" s="339" t="s">
        <v>5832</v>
      </c>
      <c r="C831" s="220" t="s">
        <v>7</v>
      </c>
      <c r="D831" s="5" t="s">
        <v>1672</v>
      </c>
      <c r="E831" s="1" t="s">
        <v>1668</v>
      </c>
      <c r="F831" s="1">
        <v>8</v>
      </c>
      <c r="G831" s="339" t="s">
        <v>5833</v>
      </c>
      <c r="H831" s="31">
        <v>69.5</v>
      </c>
      <c r="I831" s="27">
        <f t="shared" si="32"/>
        <v>556</v>
      </c>
      <c r="J831" s="28" t="s">
        <v>5852</v>
      </c>
      <c r="K831" s="25">
        <v>41360</v>
      </c>
      <c r="L831" s="56">
        <v>41359</v>
      </c>
      <c r="M831" s="29" t="s">
        <v>167</v>
      </c>
      <c r="N831" s="28" t="s">
        <v>5851</v>
      </c>
      <c r="O831" s="32">
        <v>1801</v>
      </c>
      <c r="P831" s="56">
        <v>41360</v>
      </c>
    </row>
    <row r="832" spans="1:32" ht="12" customHeight="1">
      <c r="A832" s="25">
        <v>41359</v>
      </c>
      <c r="B832" s="339" t="s">
        <v>229</v>
      </c>
      <c r="C832" s="219" t="s">
        <v>163</v>
      </c>
      <c r="D832" s="339" t="s">
        <v>5842</v>
      </c>
      <c r="E832" s="339" t="s">
        <v>5831</v>
      </c>
      <c r="F832" s="205">
        <v>3</v>
      </c>
      <c r="G832" s="339" t="s">
        <v>5838</v>
      </c>
      <c r="H832" s="31">
        <v>60</v>
      </c>
      <c r="I832" s="27">
        <f t="shared" si="32"/>
        <v>180</v>
      </c>
      <c r="J832" s="28" t="s">
        <v>5843</v>
      </c>
      <c r="K832" s="25">
        <v>41359</v>
      </c>
      <c r="L832" s="56">
        <v>41376</v>
      </c>
      <c r="M832" s="29" t="s">
        <v>167</v>
      </c>
    </row>
    <row r="833" spans="1:32" ht="12" customHeight="1">
      <c r="A833" s="25">
        <v>41360</v>
      </c>
      <c r="B833" s="340" t="s">
        <v>5863</v>
      </c>
      <c r="C833" s="219" t="s">
        <v>163</v>
      </c>
      <c r="D833" s="340" t="s">
        <v>352</v>
      </c>
      <c r="E833" s="196">
        <v>7502</v>
      </c>
      <c r="F833" s="205">
        <v>10</v>
      </c>
      <c r="G833" s="340" t="s">
        <v>5855</v>
      </c>
      <c r="H833" s="31">
        <v>121.16</v>
      </c>
      <c r="I833" s="27">
        <f t="shared" si="32"/>
        <v>1211.5999999999999</v>
      </c>
      <c r="J833" s="28" t="s">
        <v>5999</v>
      </c>
      <c r="K833" s="25">
        <v>41365</v>
      </c>
      <c r="L833" s="56">
        <v>41360</v>
      </c>
      <c r="M833" s="29" t="s">
        <v>167</v>
      </c>
    </row>
    <row r="834" spans="1:32" ht="12" customHeight="1">
      <c r="A834" s="25">
        <v>41360</v>
      </c>
      <c r="B834" s="342" t="s">
        <v>5863</v>
      </c>
      <c r="C834" s="219" t="s">
        <v>163</v>
      </c>
      <c r="D834" s="1" t="s">
        <v>1720</v>
      </c>
      <c r="E834" s="342">
        <v>8210</v>
      </c>
      <c r="F834" s="342">
        <v>1280</v>
      </c>
      <c r="G834" s="342" t="s">
        <v>5910</v>
      </c>
      <c r="H834" s="31">
        <v>3.78</v>
      </c>
      <c r="I834" s="27">
        <f t="shared" si="32"/>
        <v>4838.3999999999996</v>
      </c>
      <c r="J834" s="28" t="s">
        <v>5999</v>
      </c>
      <c r="K834" s="25">
        <v>41365</v>
      </c>
      <c r="L834" s="56">
        <v>41360</v>
      </c>
      <c r="M834" s="29" t="s">
        <v>167</v>
      </c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  <c r="AA834" s="342"/>
      <c r="AB834" s="342"/>
      <c r="AC834" s="342"/>
      <c r="AD834" s="342"/>
      <c r="AE834" s="342"/>
      <c r="AF834" s="342"/>
    </row>
    <row r="835" spans="1:32" ht="12" customHeight="1">
      <c r="A835" s="25">
        <v>41361</v>
      </c>
      <c r="B835" s="341" t="s">
        <v>1994</v>
      </c>
      <c r="C835" s="220" t="s">
        <v>7</v>
      </c>
      <c r="D835" s="95" t="s">
        <v>5040</v>
      </c>
      <c r="E835" s="341" t="s">
        <v>5870</v>
      </c>
      <c r="F835" s="205">
        <v>144</v>
      </c>
      <c r="G835" s="341" t="s">
        <v>830</v>
      </c>
      <c r="H835" s="31">
        <v>10</v>
      </c>
      <c r="I835" s="27">
        <f t="shared" si="32"/>
        <v>1440</v>
      </c>
      <c r="J835" s="28" t="s">
        <v>5871</v>
      </c>
      <c r="K835" s="25">
        <v>41361</v>
      </c>
      <c r="L835" s="56">
        <v>41362</v>
      </c>
      <c r="M835" s="29" t="s">
        <v>167</v>
      </c>
      <c r="N835" s="28" t="s">
        <v>5872</v>
      </c>
      <c r="O835" s="32">
        <v>6240</v>
      </c>
      <c r="P835" s="56">
        <v>41361</v>
      </c>
    </row>
    <row r="836" spans="1:32" ht="12" customHeight="1">
      <c r="A836" s="25">
        <v>41361</v>
      </c>
      <c r="B836" s="341" t="s">
        <v>1994</v>
      </c>
      <c r="C836" s="219" t="s">
        <v>163</v>
      </c>
      <c r="D836" s="5" t="s">
        <v>2029</v>
      </c>
      <c r="E836" s="341">
        <v>7502</v>
      </c>
      <c r="F836" s="205">
        <v>40</v>
      </c>
      <c r="G836" s="341" t="s">
        <v>5878</v>
      </c>
      <c r="H836" s="31">
        <v>120</v>
      </c>
      <c r="I836" s="27">
        <f t="shared" si="32"/>
        <v>4800</v>
      </c>
      <c r="J836" s="28" t="s">
        <v>5871</v>
      </c>
      <c r="K836" s="25">
        <v>41361</v>
      </c>
      <c r="L836" s="56">
        <v>41362</v>
      </c>
      <c r="M836" s="29" t="s">
        <v>167</v>
      </c>
      <c r="N836" s="28" t="s">
        <v>5872</v>
      </c>
      <c r="O836" s="32">
        <v>6240</v>
      </c>
      <c r="P836" s="56">
        <v>41361</v>
      </c>
    </row>
    <row r="837" spans="1:32" ht="12" customHeight="1">
      <c r="A837" s="25">
        <v>41361</v>
      </c>
      <c r="B837" s="341" t="s">
        <v>1994</v>
      </c>
      <c r="C837" s="219" t="s">
        <v>163</v>
      </c>
      <c r="D837" s="341" t="s">
        <v>5883</v>
      </c>
      <c r="E837" s="196">
        <v>1110</v>
      </c>
      <c r="F837" s="205">
        <v>3000</v>
      </c>
      <c r="G837" s="341" t="s">
        <v>5882</v>
      </c>
      <c r="H837" s="31">
        <v>0.71</v>
      </c>
      <c r="I837" s="27">
        <f t="shared" si="32"/>
        <v>2130</v>
      </c>
      <c r="J837" s="28" t="s">
        <v>5871</v>
      </c>
      <c r="K837" s="25">
        <v>41361</v>
      </c>
      <c r="L837" s="56">
        <v>41362</v>
      </c>
      <c r="M837" s="29" t="s">
        <v>167</v>
      </c>
      <c r="N837" s="28" t="s">
        <v>6108</v>
      </c>
      <c r="O837" s="32">
        <v>18643</v>
      </c>
      <c r="P837" s="56">
        <v>41372</v>
      </c>
    </row>
    <row r="838" spans="1:32" ht="12" customHeight="1">
      <c r="A838" s="25">
        <v>41361</v>
      </c>
      <c r="B838" s="341" t="s">
        <v>229</v>
      </c>
      <c r="C838" s="219" t="s">
        <v>163</v>
      </c>
      <c r="D838" s="341" t="s">
        <v>355</v>
      </c>
      <c r="E838" s="341" t="s">
        <v>22</v>
      </c>
      <c r="F838" s="341">
        <v>300</v>
      </c>
      <c r="G838" s="341" t="s">
        <v>171</v>
      </c>
      <c r="H838" s="31">
        <v>10.94</v>
      </c>
      <c r="I838" s="27">
        <f t="shared" si="32"/>
        <v>3282</v>
      </c>
      <c r="J838" s="28" t="s">
        <v>5875</v>
      </c>
      <c r="K838" s="25">
        <v>41361</v>
      </c>
      <c r="L838" s="56">
        <v>41376</v>
      </c>
      <c r="M838" s="29" t="s">
        <v>167</v>
      </c>
    </row>
    <row r="839" spans="1:32" ht="12" customHeight="1">
      <c r="A839" s="25">
        <v>41361</v>
      </c>
      <c r="B839" s="341" t="s">
        <v>229</v>
      </c>
      <c r="C839" s="219" t="s">
        <v>163</v>
      </c>
      <c r="D839" s="1" t="s">
        <v>269</v>
      </c>
      <c r="E839" s="1" t="s">
        <v>178</v>
      </c>
      <c r="F839" s="341">
        <v>500</v>
      </c>
      <c r="G839" s="341" t="s">
        <v>172</v>
      </c>
      <c r="H839" s="31">
        <v>1.17</v>
      </c>
      <c r="I839" s="27">
        <f t="shared" si="32"/>
        <v>585</v>
      </c>
      <c r="J839" s="28" t="s">
        <v>5875</v>
      </c>
      <c r="K839" s="25">
        <v>41361</v>
      </c>
      <c r="L839" s="56">
        <v>41376</v>
      </c>
      <c r="M839" s="29" t="s">
        <v>167</v>
      </c>
    </row>
    <row r="840" spans="1:32" ht="12" customHeight="1">
      <c r="A840" s="25">
        <v>41361</v>
      </c>
      <c r="B840" s="342" t="s">
        <v>5715</v>
      </c>
      <c r="C840" s="1" t="s">
        <v>5682</v>
      </c>
      <c r="D840" s="342" t="s">
        <v>5901</v>
      </c>
      <c r="E840" s="342" t="s">
        <v>5900</v>
      </c>
      <c r="F840" s="205">
        <v>60</v>
      </c>
      <c r="G840" s="342" t="s">
        <v>5902</v>
      </c>
      <c r="H840" s="31">
        <v>250</v>
      </c>
      <c r="I840" s="27">
        <f t="shared" si="32"/>
        <v>15000</v>
      </c>
      <c r="J840" s="28" t="s">
        <v>5942</v>
      </c>
      <c r="K840" s="25">
        <v>41365</v>
      </c>
      <c r="L840" s="56">
        <v>41362</v>
      </c>
      <c r="M840" s="29" t="s">
        <v>167</v>
      </c>
      <c r="N840" s="28" t="s">
        <v>6069</v>
      </c>
      <c r="O840" s="32">
        <v>15000</v>
      </c>
      <c r="P840" s="56">
        <v>41371</v>
      </c>
    </row>
    <row r="841" spans="1:32" ht="12" customHeight="1">
      <c r="A841" s="25">
        <v>41361</v>
      </c>
      <c r="B841" s="342" t="s">
        <v>5715</v>
      </c>
      <c r="C841" s="1" t="s">
        <v>5682</v>
      </c>
      <c r="D841" s="342" t="s">
        <v>5901</v>
      </c>
      <c r="E841" s="342" t="s">
        <v>5900</v>
      </c>
      <c r="F841" s="205">
        <v>2</v>
      </c>
      <c r="G841" s="342" t="s">
        <v>5902</v>
      </c>
      <c r="H841" s="31">
        <v>0</v>
      </c>
      <c r="I841" s="27">
        <f t="shared" si="32"/>
        <v>0</v>
      </c>
      <c r="J841" s="28" t="s">
        <v>5942</v>
      </c>
      <c r="K841" s="25">
        <v>41365</v>
      </c>
      <c r="L841" s="56">
        <v>41362</v>
      </c>
      <c r="M841" s="29" t="s">
        <v>167</v>
      </c>
      <c r="N841" s="28" t="s">
        <v>6069</v>
      </c>
      <c r="O841" s="32">
        <v>15000</v>
      </c>
      <c r="P841" s="56">
        <v>41371</v>
      </c>
    </row>
    <row r="842" spans="1:32" ht="12" customHeight="1">
      <c r="A842" s="25">
        <v>41362</v>
      </c>
      <c r="B842" s="342" t="s">
        <v>5907</v>
      </c>
      <c r="C842" s="219" t="s">
        <v>163</v>
      </c>
      <c r="D842" s="342" t="s">
        <v>5908</v>
      </c>
      <c r="E842" s="342" t="s">
        <v>5909</v>
      </c>
      <c r="F842" s="205">
        <v>1</v>
      </c>
      <c r="G842" s="342" t="s">
        <v>5910</v>
      </c>
      <c r="H842" s="31">
        <v>6380.01</v>
      </c>
      <c r="I842" s="27">
        <f t="shared" si="32"/>
        <v>6380.01</v>
      </c>
      <c r="J842" s="28" t="s">
        <v>5999</v>
      </c>
      <c r="K842" s="25">
        <v>41366</v>
      </c>
      <c r="L842" s="56">
        <v>41362</v>
      </c>
      <c r="M842" s="29" t="s">
        <v>167</v>
      </c>
      <c r="N842" s="28" t="s">
        <v>6269</v>
      </c>
      <c r="O842" s="32">
        <v>12339.06</v>
      </c>
      <c r="P842" s="56">
        <v>41377</v>
      </c>
    </row>
    <row r="843" spans="1:32" ht="12" customHeight="1">
      <c r="A843" s="25">
        <v>41362</v>
      </c>
      <c r="B843" s="342" t="s">
        <v>5907</v>
      </c>
      <c r="C843" s="219" t="s">
        <v>163</v>
      </c>
      <c r="D843" s="342" t="s">
        <v>5911</v>
      </c>
      <c r="E843" s="342" t="s">
        <v>5912</v>
      </c>
      <c r="F843" s="205">
        <v>1</v>
      </c>
      <c r="G843" s="342" t="s">
        <v>5919</v>
      </c>
      <c r="H843" s="31">
        <v>1228.5</v>
      </c>
      <c r="I843" s="27">
        <f t="shared" si="32"/>
        <v>1228.5</v>
      </c>
      <c r="J843" s="28" t="s">
        <v>5999</v>
      </c>
      <c r="K843" s="25">
        <v>41366</v>
      </c>
      <c r="L843" s="56">
        <v>41362</v>
      </c>
      <c r="M843" s="29" t="s">
        <v>167</v>
      </c>
      <c r="N843" s="28" t="s">
        <v>6269</v>
      </c>
      <c r="O843" s="32">
        <v>12339.06</v>
      </c>
      <c r="P843" s="56">
        <v>41377</v>
      </c>
    </row>
    <row r="844" spans="1:32" ht="12" customHeight="1">
      <c r="A844" s="25">
        <v>41362</v>
      </c>
      <c r="B844" s="342" t="s">
        <v>5907</v>
      </c>
      <c r="C844" s="219" t="s">
        <v>163</v>
      </c>
      <c r="D844" s="342" t="s">
        <v>5916</v>
      </c>
      <c r="E844" s="342" t="s">
        <v>5913</v>
      </c>
      <c r="F844" s="205">
        <v>1</v>
      </c>
      <c r="G844" s="342" t="s">
        <v>5910</v>
      </c>
      <c r="H844" s="31">
        <v>1310.4000000000001</v>
      </c>
      <c r="I844" s="27">
        <f t="shared" si="32"/>
        <v>1310.4000000000001</v>
      </c>
      <c r="J844" s="28" t="s">
        <v>5999</v>
      </c>
      <c r="K844" s="25">
        <v>41366</v>
      </c>
      <c r="L844" s="56">
        <v>41362</v>
      </c>
      <c r="M844" s="29" t="s">
        <v>167</v>
      </c>
      <c r="N844" s="28" t="s">
        <v>6269</v>
      </c>
      <c r="O844" s="32">
        <v>12339.06</v>
      </c>
      <c r="P844" s="56">
        <v>41377</v>
      </c>
    </row>
    <row r="845" spans="1:32" ht="12" customHeight="1">
      <c r="A845" s="25">
        <v>41362</v>
      </c>
      <c r="B845" s="342" t="s">
        <v>5907</v>
      </c>
      <c r="C845" s="219" t="s">
        <v>163</v>
      </c>
      <c r="D845" s="342" t="s">
        <v>5917</v>
      </c>
      <c r="E845" s="342" t="s">
        <v>5914</v>
      </c>
      <c r="F845" s="205">
        <v>3</v>
      </c>
      <c r="G845" s="342" t="s">
        <v>5919</v>
      </c>
      <c r="H845" s="31">
        <v>367.73</v>
      </c>
      <c r="I845" s="27">
        <f t="shared" si="32"/>
        <v>1103.19</v>
      </c>
      <c r="J845" s="28" t="s">
        <v>5999</v>
      </c>
      <c r="K845" s="25">
        <v>41366</v>
      </c>
      <c r="L845" s="56">
        <v>41362</v>
      </c>
      <c r="M845" s="29" t="s">
        <v>167</v>
      </c>
      <c r="N845" s="28" t="s">
        <v>6269</v>
      </c>
      <c r="O845" s="32">
        <v>12339.06</v>
      </c>
      <c r="P845" s="56">
        <v>41377</v>
      </c>
    </row>
    <row r="846" spans="1:32" ht="12" customHeight="1">
      <c r="A846" s="25">
        <v>41362</v>
      </c>
      <c r="B846" s="342" t="s">
        <v>5907</v>
      </c>
      <c r="C846" s="219" t="s">
        <v>163</v>
      </c>
      <c r="D846" s="342" t="s">
        <v>5918</v>
      </c>
      <c r="E846" s="342" t="s">
        <v>5915</v>
      </c>
      <c r="F846" s="205">
        <v>3</v>
      </c>
      <c r="G846" s="342" t="s">
        <v>5910</v>
      </c>
      <c r="H846" s="31">
        <v>772.32</v>
      </c>
      <c r="I846" s="27">
        <f t="shared" si="32"/>
        <v>2316.96</v>
      </c>
      <c r="J846" s="28" t="s">
        <v>5999</v>
      </c>
      <c r="K846" s="25">
        <v>41366</v>
      </c>
      <c r="L846" s="56">
        <v>41362</v>
      </c>
      <c r="M846" s="29" t="s">
        <v>167</v>
      </c>
      <c r="N846" s="28" t="s">
        <v>6269</v>
      </c>
      <c r="O846" s="32">
        <v>12339.06</v>
      </c>
      <c r="P846" s="56">
        <v>41377</v>
      </c>
    </row>
    <row r="847" spans="1:32" ht="12" customHeight="1">
      <c r="A847" s="25">
        <v>41362</v>
      </c>
      <c r="B847" s="342" t="s">
        <v>5907</v>
      </c>
      <c r="C847" s="219" t="s">
        <v>163</v>
      </c>
      <c r="D847" s="342" t="s">
        <v>5911</v>
      </c>
      <c r="E847" s="342" t="s">
        <v>5912</v>
      </c>
      <c r="F847" s="205">
        <v>2</v>
      </c>
      <c r="G847" s="342" t="s">
        <v>5919</v>
      </c>
      <c r="H847" s="31">
        <v>1246.05</v>
      </c>
      <c r="I847" s="27">
        <f t="shared" si="32"/>
        <v>2492.1</v>
      </c>
      <c r="L847" s="56">
        <v>41380</v>
      </c>
      <c r="M847" s="29" t="s">
        <v>167</v>
      </c>
    </row>
    <row r="848" spans="1:32" ht="12" customHeight="1">
      <c r="A848" s="25">
        <v>41362</v>
      </c>
      <c r="B848" s="342" t="s">
        <v>5907</v>
      </c>
      <c r="C848" s="219" t="s">
        <v>163</v>
      </c>
      <c r="D848" s="342" t="s">
        <v>5916</v>
      </c>
      <c r="E848" s="342" t="s">
        <v>5920</v>
      </c>
      <c r="F848" s="205">
        <v>2</v>
      </c>
      <c r="G848" s="342" t="s">
        <v>5910</v>
      </c>
      <c r="H848" s="31">
        <v>2649.93</v>
      </c>
      <c r="I848" s="27">
        <f t="shared" si="32"/>
        <v>5299.86</v>
      </c>
      <c r="L848" s="56">
        <v>41380</v>
      </c>
      <c r="M848" s="29" t="s">
        <v>167</v>
      </c>
    </row>
    <row r="849" spans="1:16" ht="12" customHeight="1">
      <c r="A849" s="25">
        <v>41362</v>
      </c>
      <c r="B849" s="342" t="s">
        <v>5907</v>
      </c>
      <c r="C849" s="219" t="s">
        <v>163</v>
      </c>
      <c r="D849" s="342" t="s">
        <v>5921</v>
      </c>
      <c r="E849" s="342" t="s">
        <v>5923</v>
      </c>
      <c r="F849" s="205">
        <v>2</v>
      </c>
      <c r="G849" s="342" t="s">
        <v>5910</v>
      </c>
      <c r="H849" s="31">
        <v>6795.13</v>
      </c>
      <c r="I849" s="27">
        <f t="shared" si="32"/>
        <v>13590.26</v>
      </c>
      <c r="L849" s="56">
        <v>41380</v>
      </c>
      <c r="M849" s="29" t="s">
        <v>167</v>
      </c>
    </row>
    <row r="850" spans="1:16" ht="12" customHeight="1">
      <c r="A850" s="25">
        <v>41362</v>
      </c>
      <c r="B850" s="342" t="s">
        <v>5907</v>
      </c>
      <c r="C850" s="219" t="s">
        <v>163</v>
      </c>
      <c r="D850" s="342" t="s">
        <v>5922</v>
      </c>
      <c r="E850" s="342" t="s">
        <v>5924</v>
      </c>
      <c r="F850" s="205">
        <v>2</v>
      </c>
      <c r="G850" s="342" t="s">
        <v>5910</v>
      </c>
      <c r="H850" s="31">
        <v>597.27</v>
      </c>
      <c r="I850" s="27">
        <f t="shared" si="32"/>
        <v>1194.54</v>
      </c>
      <c r="L850" s="56">
        <v>41380</v>
      </c>
      <c r="M850" s="29" t="s">
        <v>167</v>
      </c>
    </row>
    <row r="851" spans="1:16" ht="12" customHeight="1">
      <c r="A851" s="25">
        <v>41362</v>
      </c>
      <c r="B851" s="312" t="s">
        <v>2001</v>
      </c>
      <c r="C851" s="219" t="s">
        <v>163</v>
      </c>
      <c r="D851" s="342" t="s">
        <v>1958</v>
      </c>
      <c r="E851" s="342">
        <v>52000183617</v>
      </c>
      <c r="F851" s="205">
        <v>50</v>
      </c>
      <c r="G851" s="342" t="s">
        <v>5925</v>
      </c>
      <c r="H851" s="31">
        <v>17.57</v>
      </c>
      <c r="I851" s="27">
        <f t="shared" si="32"/>
        <v>878.5</v>
      </c>
      <c r="J851" s="28" t="s">
        <v>5926</v>
      </c>
      <c r="K851" s="25">
        <v>41362</v>
      </c>
      <c r="L851" s="56">
        <v>41362</v>
      </c>
      <c r="M851" s="97" t="s">
        <v>167</v>
      </c>
      <c r="N851" s="28" t="s">
        <v>6010</v>
      </c>
      <c r="O851" s="32">
        <v>1083.5</v>
      </c>
      <c r="P851" s="56">
        <v>41366</v>
      </c>
    </row>
    <row r="852" spans="1:16" ht="12" customHeight="1">
      <c r="A852" s="25">
        <v>41362</v>
      </c>
      <c r="B852" s="312" t="s">
        <v>5167</v>
      </c>
      <c r="C852" s="219" t="s">
        <v>163</v>
      </c>
      <c r="D852" s="342" t="s">
        <v>183</v>
      </c>
      <c r="E852" s="342" t="s">
        <v>1874</v>
      </c>
      <c r="F852" s="205">
        <v>100</v>
      </c>
      <c r="G852" s="342" t="s">
        <v>5925</v>
      </c>
      <c r="H852" s="31">
        <v>8.73</v>
      </c>
      <c r="I852" s="27">
        <f t="shared" si="32"/>
        <v>873</v>
      </c>
      <c r="J852" s="28" t="s">
        <v>6142</v>
      </c>
      <c r="K852" s="25">
        <v>41373</v>
      </c>
      <c r="L852" s="56">
        <v>41362</v>
      </c>
      <c r="M852" s="97" t="s">
        <v>167</v>
      </c>
    </row>
    <row r="853" spans="1:16" ht="12" customHeight="1">
      <c r="A853" s="25">
        <v>41362</v>
      </c>
      <c r="B853" s="312" t="s">
        <v>5167</v>
      </c>
      <c r="C853" s="219" t="s">
        <v>163</v>
      </c>
      <c r="D853" s="342" t="s">
        <v>672</v>
      </c>
      <c r="E853" s="342" t="s">
        <v>5935</v>
      </c>
      <c r="F853" s="205">
        <v>500</v>
      </c>
      <c r="G853" s="342" t="s">
        <v>5910</v>
      </c>
      <c r="H853" s="31">
        <v>3.69</v>
      </c>
      <c r="I853" s="27">
        <f t="shared" si="32"/>
        <v>1845</v>
      </c>
      <c r="J853" s="28" t="s">
        <v>6142</v>
      </c>
      <c r="K853" s="25">
        <v>41373</v>
      </c>
      <c r="L853" s="56">
        <v>41362</v>
      </c>
      <c r="M853" s="97" t="s">
        <v>167</v>
      </c>
    </row>
    <row r="854" spans="1:16" ht="12" customHeight="1">
      <c r="A854" s="25">
        <v>41362</v>
      </c>
      <c r="B854" s="312" t="s">
        <v>5167</v>
      </c>
      <c r="C854" s="219" t="s">
        <v>163</v>
      </c>
      <c r="D854" s="342" t="s">
        <v>183</v>
      </c>
      <c r="E854" s="342" t="s">
        <v>195</v>
      </c>
      <c r="F854" s="205">
        <v>200</v>
      </c>
      <c r="G854" s="342" t="s">
        <v>5925</v>
      </c>
      <c r="H854" s="31">
        <v>4.75</v>
      </c>
      <c r="I854" s="27">
        <f t="shared" si="32"/>
        <v>950</v>
      </c>
      <c r="J854" s="28" t="s">
        <v>6142</v>
      </c>
      <c r="K854" s="25">
        <v>41373</v>
      </c>
      <c r="L854" s="56">
        <v>41362</v>
      </c>
      <c r="M854" s="97" t="s">
        <v>167</v>
      </c>
    </row>
    <row r="855" spans="1:16" ht="12" customHeight="1">
      <c r="A855" s="25">
        <v>41362</v>
      </c>
      <c r="B855" s="312" t="s">
        <v>5167</v>
      </c>
      <c r="C855" s="219" t="s">
        <v>163</v>
      </c>
      <c r="D855" s="342" t="s">
        <v>289</v>
      </c>
      <c r="E855" s="196">
        <v>10434</v>
      </c>
      <c r="F855" s="205">
        <v>100</v>
      </c>
      <c r="G855" s="342" t="s">
        <v>5936</v>
      </c>
      <c r="H855" s="31">
        <v>14.2</v>
      </c>
      <c r="I855" s="27">
        <f t="shared" si="32"/>
        <v>1420</v>
      </c>
      <c r="J855" s="28" t="s">
        <v>6142</v>
      </c>
      <c r="K855" s="25">
        <v>41373</v>
      </c>
      <c r="L855" s="56">
        <v>41362</v>
      </c>
      <c r="M855" s="97" t="s">
        <v>167</v>
      </c>
    </row>
    <row r="856" spans="1:16" ht="12" customHeight="1">
      <c r="A856" s="25">
        <v>41362</v>
      </c>
      <c r="B856" s="312" t="s">
        <v>5167</v>
      </c>
      <c r="C856" s="219" t="s">
        <v>163</v>
      </c>
      <c r="D856" s="5" t="s">
        <v>2029</v>
      </c>
      <c r="E856" s="196">
        <v>7502</v>
      </c>
      <c r="F856" s="205">
        <v>50</v>
      </c>
      <c r="G856" s="342" t="s">
        <v>5910</v>
      </c>
      <c r="H856" s="31">
        <v>110</v>
      </c>
      <c r="I856" s="27">
        <f t="shared" si="32"/>
        <v>5500</v>
      </c>
      <c r="J856" s="28" t="s">
        <v>6142</v>
      </c>
      <c r="K856" s="25">
        <v>41373</v>
      </c>
      <c r="L856" s="56">
        <v>41362</v>
      </c>
      <c r="M856" s="97" t="s">
        <v>167</v>
      </c>
    </row>
    <row r="857" spans="1:16" ht="12" customHeight="1">
      <c r="A857" s="25">
        <v>41362</v>
      </c>
      <c r="B857" s="342" t="s">
        <v>2000</v>
      </c>
      <c r="C857" s="219" t="s">
        <v>163</v>
      </c>
      <c r="D857" s="5" t="s">
        <v>2026</v>
      </c>
      <c r="E857" s="342" t="s">
        <v>181</v>
      </c>
      <c r="F857" s="342">
        <v>2500</v>
      </c>
      <c r="G857" s="342" t="s">
        <v>171</v>
      </c>
      <c r="H857" s="31">
        <v>1.44</v>
      </c>
      <c r="I857" s="27">
        <f t="shared" si="32"/>
        <v>3600</v>
      </c>
      <c r="J857" s="28" t="s">
        <v>6011</v>
      </c>
      <c r="K857" s="25">
        <v>41365</v>
      </c>
      <c r="L857" s="56">
        <v>41362</v>
      </c>
      <c r="M857" s="97" t="s">
        <v>167</v>
      </c>
    </row>
    <row r="858" spans="1:16" ht="12" customHeight="1">
      <c r="A858" s="25">
        <v>41362</v>
      </c>
      <c r="B858" s="342" t="s">
        <v>5937</v>
      </c>
      <c r="C858" s="219" t="s">
        <v>163</v>
      </c>
      <c r="D858" s="342" t="s">
        <v>1493</v>
      </c>
      <c r="E858" s="196">
        <v>1426</v>
      </c>
      <c r="F858" s="205">
        <v>20</v>
      </c>
      <c r="G858" s="342" t="s">
        <v>173</v>
      </c>
      <c r="H858" s="31">
        <v>19.420000000000002</v>
      </c>
      <c r="I858" s="27">
        <f t="shared" si="32"/>
        <v>388.40000000000003</v>
      </c>
      <c r="J858" s="28" t="s">
        <v>6055</v>
      </c>
      <c r="K858" s="25">
        <v>41367</v>
      </c>
      <c r="L858" s="56">
        <v>41362</v>
      </c>
      <c r="M858" s="29" t="s">
        <v>167</v>
      </c>
    </row>
    <row r="859" spans="1:16" ht="12" customHeight="1">
      <c r="A859" s="25">
        <v>41362</v>
      </c>
      <c r="B859" s="342" t="s">
        <v>5938</v>
      </c>
      <c r="C859" s="219" t="s">
        <v>163</v>
      </c>
      <c r="D859" s="342" t="s">
        <v>1885</v>
      </c>
      <c r="E859" s="342" t="s">
        <v>5939</v>
      </c>
      <c r="F859" s="205">
        <v>20</v>
      </c>
      <c r="G859" s="342" t="s">
        <v>173</v>
      </c>
      <c r="H859" s="31">
        <v>14.1</v>
      </c>
      <c r="I859" s="27">
        <f t="shared" si="32"/>
        <v>282</v>
      </c>
      <c r="J859" s="28" t="s">
        <v>6075</v>
      </c>
      <c r="K859" s="25">
        <v>41371</v>
      </c>
      <c r="L859" s="56">
        <v>41362</v>
      </c>
      <c r="M859" s="29" t="s">
        <v>167</v>
      </c>
    </row>
    <row r="860" spans="1:16" ht="12" customHeight="1">
      <c r="A860" s="25">
        <v>41362</v>
      </c>
      <c r="B860" s="342" t="s">
        <v>5938</v>
      </c>
      <c r="C860" s="219" t="s">
        <v>163</v>
      </c>
      <c r="D860" s="1" t="s">
        <v>1219</v>
      </c>
      <c r="E860" s="342" t="s">
        <v>179</v>
      </c>
      <c r="F860" s="205">
        <v>200</v>
      </c>
      <c r="G860" s="342" t="s">
        <v>173</v>
      </c>
      <c r="H860" s="31">
        <v>12.3</v>
      </c>
      <c r="I860" s="27">
        <f t="shared" si="32"/>
        <v>2460</v>
      </c>
      <c r="J860" s="28" t="s">
        <v>6075</v>
      </c>
      <c r="K860" s="25">
        <v>41371</v>
      </c>
      <c r="L860" s="56">
        <v>41362</v>
      </c>
      <c r="M860" s="29" t="s">
        <v>167</v>
      </c>
    </row>
    <row r="861" spans="1:16" ht="12" customHeight="1">
      <c r="A861" s="25">
        <v>41362</v>
      </c>
      <c r="B861" s="342" t="s">
        <v>5938</v>
      </c>
      <c r="C861" s="219" t="s">
        <v>163</v>
      </c>
      <c r="D861" s="342" t="s">
        <v>241</v>
      </c>
      <c r="E861" s="196">
        <v>6200</v>
      </c>
      <c r="F861" s="205">
        <v>60</v>
      </c>
      <c r="G861" s="342" t="s">
        <v>5910</v>
      </c>
      <c r="H861" s="31">
        <v>43.7</v>
      </c>
      <c r="I861" s="27">
        <f t="shared" si="32"/>
        <v>2622</v>
      </c>
      <c r="J861" s="28" t="s">
        <v>6075</v>
      </c>
      <c r="K861" s="25">
        <v>41371</v>
      </c>
      <c r="L861" s="56">
        <v>41362</v>
      </c>
      <c r="M861" s="29" t="s">
        <v>167</v>
      </c>
    </row>
    <row r="862" spans="1:16" ht="12" customHeight="1">
      <c r="A862" s="25">
        <v>41362</v>
      </c>
      <c r="B862" s="342" t="s">
        <v>5938</v>
      </c>
      <c r="C862" s="219" t="s">
        <v>163</v>
      </c>
      <c r="D862" s="5" t="s">
        <v>1915</v>
      </c>
      <c r="E862" s="196">
        <v>1270</v>
      </c>
      <c r="F862" s="205">
        <v>500</v>
      </c>
      <c r="G862" s="342" t="s">
        <v>173</v>
      </c>
      <c r="H862" s="31">
        <v>4.28</v>
      </c>
      <c r="I862" s="27">
        <f t="shared" si="32"/>
        <v>2140</v>
      </c>
      <c r="J862" s="28" t="s">
        <v>6075</v>
      </c>
      <c r="K862" s="25">
        <v>41371</v>
      </c>
      <c r="L862" s="56">
        <v>41362</v>
      </c>
      <c r="M862" s="29" t="s">
        <v>167</v>
      </c>
    </row>
    <row r="863" spans="1:16" ht="12" customHeight="1">
      <c r="A863" s="25">
        <v>41365</v>
      </c>
      <c r="B863" s="343" t="s">
        <v>229</v>
      </c>
      <c r="C863" s="219" t="s">
        <v>163</v>
      </c>
      <c r="D863" s="5" t="s">
        <v>70</v>
      </c>
      <c r="E863" s="196">
        <v>1100</v>
      </c>
      <c r="F863" s="205">
        <v>200</v>
      </c>
      <c r="G863" s="343" t="s">
        <v>173</v>
      </c>
      <c r="H863" s="31">
        <v>0.38</v>
      </c>
      <c r="I863" s="27">
        <f t="shared" si="32"/>
        <v>76</v>
      </c>
      <c r="J863" s="28" t="s">
        <v>5948</v>
      </c>
      <c r="K863" s="25">
        <v>41365</v>
      </c>
      <c r="L863" s="56">
        <v>41376</v>
      </c>
      <c r="M863" s="29" t="s">
        <v>167</v>
      </c>
    </row>
    <row r="864" spans="1:16" ht="12" customHeight="1">
      <c r="A864" s="25">
        <v>41365</v>
      </c>
      <c r="B864" s="343" t="s">
        <v>5957</v>
      </c>
      <c r="C864" s="219" t="s">
        <v>163</v>
      </c>
      <c r="D864" s="1" t="s">
        <v>1225</v>
      </c>
      <c r="E864" s="343" t="s">
        <v>5954</v>
      </c>
      <c r="F864" s="205">
        <v>510</v>
      </c>
      <c r="G864" s="343" t="s">
        <v>5955</v>
      </c>
      <c r="H864" s="31">
        <v>3.96</v>
      </c>
      <c r="I864" s="27">
        <f t="shared" si="32"/>
        <v>2019.6</v>
      </c>
      <c r="J864" s="28" t="s">
        <v>5942</v>
      </c>
      <c r="K864" s="25">
        <v>41365</v>
      </c>
      <c r="L864" s="56">
        <v>41365</v>
      </c>
      <c r="M864" s="29" t="s">
        <v>167</v>
      </c>
      <c r="N864" s="28" t="s">
        <v>6009</v>
      </c>
      <c r="O864" s="32">
        <v>2574.6</v>
      </c>
      <c r="P864" s="56">
        <v>41366</v>
      </c>
    </row>
    <row r="865" spans="1:17" ht="12" customHeight="1">
      <c r="A865" s="25">
        <v>41365</v>
      </c>
      <c r="B865" s="343" t="s">
        <v>5957</v>
      </c>
      <c r="C865" s="219" t="s">
        <v>163</v>
      </c>
      <c r="D865" s="343" t="s">
        <v>183</v>
      </c>
      <c r="E865" s="343" t="s">
        <v>1874</v>
      </c>
      <c r="F865" s="205">
        <v>60</v>
      </c>
      <c r="G865" s="343" t="s">
        <v>5975</v>
      </c>
      <c r="H865" s="31">
        <v>9.25</v>
      </c>
      <c r="I865" s="27">
        <f t="shared" si="32"/>
        <v>555</v>
      </c>
      <c r="J865" s="28" t="s">
        <v>5942</v>
      </c>
      <c r="K865" s="25">
        <v>41365</v>
      </c>
      <c r="L865" s="56">
        <v>41365</v>
      </c>
      <c r="M865" s="29" t="s">
        <v>167</v>
      </c>
      <c r="N865" s="28" t="s">
        <v>6009</v>
      </c>
      <c r="O865" s="32">
        <v>2574.6</v>
      </c>
      <c r="P865" s="56">
        <v>41366</v>
      </c>
    </row>
    <row r="866" spans="1:17" ht="12" customHeight="1">
      <c r="A866" s="25">
        <v>41365</v>
      </c>
      <c r="B866" s="343" t="s">
        <v>5976</v>
      </c>
      <c r="C866" s="220" t="s">
        <v>7</v>
      </c>
      <c r="D866" s="343" t="s">
        <v>5977</v>
      </c>
      <c r="E866" s="343" t="s">
        <v>5959</v>
      </c>
      <c r="F866" s="205">
        <v>288</v>
      </c>
      <c r="G866" s="343" t="s">
        <v>5960</v>
      </c>
      <c r="H866" s="31">
        <v>7.66</v>
      </c>
      <c r="I866" s="27">
        <f t="shared" si="32"/>
        <v>2206.08</v>
      </c>
      <c r="J866" s="28" t="s">
        <v>5999</v>
      </c>
      <c r="K866" s="25">
        <v>41371</v>
      </c>
      <c r="L866" s="56">
        <v>41365</v>
      </c>
      <c r="M866" s="29" t="s">
        <v>167</v>
      </c>
      <c r="N866" s="28" t="s">
        <v>6273</v>
      </c>
      <c r="O866" s="32">
        <v>2206.08</v>
      </c>
      <c r="P866" s="56">
        <v>41379</v>
      </c>
    </row>
    <row r="867" spans="1:17" ht="12" customHeight="1">
      <c r="A867" s="25">
        <v>41365</v>
      </c>
      <c r="B867" s="343" t="s">
        <v>229</v>
      </c>
      <c r="C867" s="219" t="s">
        <v>163</v>
      </c>
      <c r="D867" s="343" t="s">
        <v>672</v>
      </c>
      <c r="E867" s="343" t="s">
        <v>5962</v>
      </c>
      <c r="F867" s="205">
        <v>50</v>
      </c>
      <c r="G867" s="343" t="s">
        <v>5955</v>
      </c>
      <c r="H867" s="31">
        <v>4.0199999999999996</v>
      </c>
      <c r="I867" s="27">
        <f t="shared" si="32"/>
        <v>200.99999999999997</v>
      </c>
      <c r="J867" s="28" t="s">
        <v>5979</v>
      </c>
      <c r="K867" s="25">
        <v>41365</v>
      </c>
      <c r="L867" s="56">
        <v>41376</v>
      </c>
      <c r="M867" s="29" t="s">
        <v>167</v>
      </c>
      <c r="Q867" s="378" t="s">
        <v>6427</v>
      </c>
    </row>
    <row r="868" spans="1:17" ht="12" customHeight="1">
      <c r="A868" s="25">
        <v>41366</v>
      </c>
      <c r="B868" s="312" t="s">
        <v>2001</v>
      </c>
      <c r="C868" s="219" t="s">
        <v>163</v>
      </c>
      <c r="D868" s="344" t="s">
        <v>1958</v>
      </c>
      <c r="E868" s="344">
        <v>52000183617</v>
      </c>
      <c r="F868" s="344">
        <v>50</v>
      </c>
      <c r="G868" s="344" t="s">
        <v>172</v>
      </c>
      <c r="H868" s="31">
        <v>16.600000000000001</v>
      </c>
      <c r="I868" s="27">
        <f t="shared" si="32"/>
        <v>830.00000000000011</v>
      </c>
      <c r="J868" s="28" t="s">
        <v>6028</v>
      </c>
      <c r="K868" s="25">
        <v>41366</v>
      </c>
    </row>
    <row r="869" spans="1:17" ht="12" customHeight="1">
      <c r="A869" s="25">
        <v>41366</v>
      </c>
      <c r="B869" s="312" t="s">
        <v>2001</v>
      </c>
      <c r="C869" s="219" t="s">
        <v>163</v>
      </c>
      <c r="D869" s="344" t="s">
        <v>1914</v>
      </c>
      <c r="E869" s="344">
        <v>52000183617</v>
      </c>
      <c r="F869" s="205">
        <v>5</v>
      </c>
      <c r="G869" s="344" t="s">
        <v>6023</v>
      </c>
      <c r="H869" s="31">
        <v>870</v>
      </c>
      <c r="I869" s="27">
        <f t="shared" si="32"/>
        <v>4350</v>
      </c>
      <c r="J869" s="28" t="s">
        <v>6028</v>
      </c>
      <c r="K869" s="25">
        <v>41366</v>
      </c>
    </row>
    <row r="870" spans="1:17" ht="12" customHeight="1">
      <c r="A870" s="25">
        <v>41366</v>
      </c>
      <c r="B870" s="344" t="s">
        <v>1999</v>
      </c>
      <c r="C870" s="220" t="s">
        <v>7</v>
      </c>
      <c r="D870" s="344" t="s">
        <v>5009</v>
      </c>
      <c r="E870" s="344" t="s">
        <v>5006</v>
      </c>
      <c r="F870" s="367">
        <v>1000</v>
      </c>
      <c r="G870" s="344" t="s">
        <v>830</v>
      </c>
      <c r="H870" s="31">
        <v>1.32</v>
      </c>
      <c r="I870" s="27">
        <f t="shared" si="32"/>
        <v>1320</v>
      </c>
      <c r="J870" s="28" t="s">
        <v>6072</v>
      </c>
      <c r="K870" s="25">
        <v>41371</v>
      </c>
      <c r="L870" s="56">
        <v>41366</v>
      </c>
      <c r="M870" s="29" t="s">
        <v>167</v>
      </c>
      <c r="N870" s="28" t="s">
        <v>6205</v>
      </c>
      <c r="O870" s="32">
        <v>15880.44</v>
      </c>
      <c r="P870" s="56">
        <v>41375</v>
      </c>
    </row>
    <row r="871" spans="1:17" ht="12" customHeight="1">
      <c r="A871" s="25">
        <v>41366</v>
      </c>
      <c r="B871" s="344" t="s">
        <v>1993</v>
      </c>
      <c r="C871" s="219" t="s">
        <v>168</v>
      </c>
      <c r="D871" s="344" t="s">
        <v>6029</v>
      </c>
      <c r="E871" s="344" t="s">
        <v>168</v>
      </c>
      <c r="F871" s="205">
        <v>100</v>
      </c>
      <c r="G871" s="344" t="s">
        <v>6032</v>
      </c>
      <c r="H871" s="31">
        <v>2</v>
      </c>
      <c r="I871" s="27">
        <f t="shared" si="32"/>
        <v>200</v>
      </c>
      <c r="J871" s="28" t="s">
        <v>6033</v>
      </c>
      <c r="K871" s="25">
        <v>41366</v>
      </c>
      <c r="L871" s="56">
        <v>41374</v>
      </c>
      <c r="M871" s="29" t="s">
        <v>167</v>
      </c>
      <c r="N871" s="28" t="s">
        <v>6173</v>
      </c>
      <c r="O871" s="32">
        <v>35658.1</v>
      </c>
      <c r="P871" s="56">
        <v>41374</v>
      </c>
    </row>
    <row r="872" spans="1:17" ht="12" customHeight="1">
      <c r="A872" s="25">
        <v>41366</v>
      </c>
      <c r="B872" s="344" t="s">
        <v>1993</v>
      </c>
      <c r="C872" s="219" t="s">
        <v>168</v>
      </c>
      <c r="D872" s="344" t="s">
        <v>6030</v>
      </c>
      <c r="E872" s="344" t="s">
        <v>168</v>
      </c>
      <c r="F872" s="205">
        <v>90</v>
      </c>
      <c r="G872" s="344" t="s">
        <v>6031</v>
      </c>
      <c r="H872" s="31">
        <v>2</v>
      </c>
      <c r="I872" s="27">
        <f t="shared" si="32"/>
        <v>180</v>
      </c>
      <c r="J872" s="28" t="s">
        <v>6033</v>
      </c>
      <c r="K872" s="25">
        <v>41366</v>
      </c>
      <c r="L872" s="56">
        <v>41374</v>
      </c>
      <c r="M872" s="29" t="s">
        <v>167</v>
      </c>
      <c r="N872" s="28" t="s">
        <v>6173</v>
      </c>
      <c r="O872" s="32">
        <v>35658.1</v>
      </c>
      <c r="P872" s="56">
        <v>41374</v>
      </c>
    </row>
    <row r="873" spans="1:17" ht="12" customHeight="1">
      <c r="A873" s="25">
        <v>41366</v>
      </c>
      <c r="B873" s="344" t="s">
        <v>1994</v>
      </c>
      <c r="C873" s="219" t="s">
        <v>163</v>
      </c>
      <c r="D873" s="1" t="s">
        <v>1225</v>
      </c>
      <c r="E873" s="344" t="s">
        <v>781</v>
      </c>
      <c r="F873" s="344">
        <v>500</v>
      </c>
      <c r="G873" s="344" t="s">
        <v>171</v>
      </c>
      <c r="H873" s="31">
        <v>3.96</v>
      </c>
      <c r="I873" s="27">
        <f t="shared" si="32"/>
        <v>1980</v>
      </c>
      <c r="J873" s="28" t="s">
        <v>6072</v>
      </c>
      <c r="K873" s="25">
        <v>41366</v>
      </c>
      <c r="L873" s="56">
        <v>41366</v>
      </c>
      <c r="M873" s="29" t="s">
        <v>167</v>
      </c>
      <c r="N873" s="28" t="s">
        <v>6043</v>
      </c>
      <c r="O873" s="32">
        <v>8033.5</v>
      </c>
      <c r="P873" s="56">
        <v>41366</v>
      </c>
    </row>
    <row r="874" spans="1:17" ht="12" customHeight="1">
      <c r="A874" s="25">
        <v>41366</v>
      </c>
      <c r="B874" s="344" t="s">
        <v>1994</v>
      </c>
      <c r="C874" s="220" t="s">
        <v>7</v>
      </c>
      <c r="D874" s="5" t="s">
        <v>1672</v>
      </c>
      <c r="E874" s="1" t="s">
        <v>1668</v>
      </c>
      <c r="F874" s="1">
        <v>72</v>
      </c>
      <c r="G874" s="344" t="s">
        <v>830</v>
      </c>
      <c r="H874" s="31">
        <v>69.5</v>
      </c>
      <c r="I874" s="27">
        <f t="shared" si="32"/>
        <v>5004</v>
      </c>
      <c r="J874" s="28" t="s">
        <v>6072</v>
      </c>
      <c r="K874" s="25">
        <v>41366</v>
      </c>
      <c r="L874" s="56">
        <v>41366</v>
      </c>
      <c r="M874" s="29" t="s">
        <v>167</v>
      </c>
      <c r="N874" s="28" t="s">
        <v>6043</v>
      </c>
      <c r="O874" s="32">
        <v>8033.5</v>
      </c>
      <c r="P874" s="56">
        <v>41366</v>
      </c>
    </row>
    <row r="875" spans="1:17" ht="12" customHeight="1">
      <c r="A875" s="25">
        <v>41366</v>
      </c>
      <c r="B875" s="344" t="s">
        <v>1994</v>
      </c>
      <c r="C875" s="219" t="s">
        <v>163</v>
      </c>
      <c r="D875" s="344" t="s">
        <v>183</v>
      </c>
      <c r="E875" s="344" t="s">
        <v>195</v>
      </c>
      <c r="F875" s="344">
        <v>200</v>
      </c>
      <c r="G875" s="344" t="s">
        <v>232</v>
      </c>
      <c r="H875" s="31">
        <v>4.9000000000000004</v>
      </c>
      <c r="I875" s="27">
        <f t="shared" si="32"/>
        <v>980.00000000000011</v>
      </c>
      <c r="J875" s="28" t="s">
        <v>6072</v>
      </c>
      <c r="K875" s="25">
        <v>41366</v>
      </c>
      <c r="L875" s="56">
        <v>41366</v>
      </c>
      <c r="M875" s="29" t="s">
        <v>167</v>
      </c>
      <c r="N875" s="28" t="s">
        <v>6043</v>
      </c>
      <c r="O875" s="32">
        <v>8033.5</v>
      </c>
      <c r="P875" s="56">
        <v>41366</v>
      </c>
    </row>
    <row r="876" spans="1:17" ht="12" customHeight="1">
      <c r="A876" s="25">
        <v>41366</v>
      </c>
      <c r="B876" s="344" t="s">
        <v>1994</v>
      </c>
      <c r="C876" s="219" t="s">
        <v>163</v>
      </c>
      <c r="D876" s="344" t="s">
        <v>1882</v>
      </c>
      <c r="E876" s="344">
        <v>501</v>
      </c>
      <c r="F876" s="344">
        <v>50</v>
      </c>
      <c r="G876" s="344" t="s">
        <v>171</v>
      </c>
      <c r="H876" s="31">
        <v>1.39</v>
      </c>
      <c r="I876" s="27">
        <f t="shared" si="32"/>
        <v>69.5</v>
      </c>
      <c r="J876" s="28" t="s">
        <v>6072</v>
      </c>
      <c r="K876" s="25">
        <v>41366</v>
      </c>
      <c r="L876" s="56">
        <v>41366</v>
      </c>
      <c r="M876" s="29" t="s">
        <v>167</v>
      </c>
      <c r="N876" s="28" t="s">
        <v>6043</v>
      </c>
      <c r="O876" s="32">
        <v>8033.5</v>
      </c>
      <c r="P876" s="56">
        <v>41366</v>
      </c>
    </row>
    <row r="877" spans="1:17" ht="12" customHeight="1">
      <c r="A877" s="25">
        <v>41366</v>
      </c>
      <c r="B877" s="344" t="s">
        <v>2008</v>
      </c>
      <c r="C877" s="220" t="s">
        <v>7</v>
      </c>
      <c r="D877" s="5" t="s">
        <v>1672</v>
      </c>
      <c r="E877" s="344" t="s">
        <v>6044</v>
      </c>
      <c r="F877" s="205">
        <v>30</v>
      </c>
      <c r="G877" s="344" t="s">
        <v>830</v>
      </c>
      <c r="H877" s="31">
        <v>68.34</v>
      </c>
      <c r="I877" s="27">
        <f t="shared" si="32"/>
        <v>2050.2000000000003</v>
      </c>
      <c r="J877" s="28" t="s">
        <v>6072</v>
      </c>
      <c r="K877" s="25">
        <v>41371</v>
      </c>
      <c r="L877" s="56">
        <v>41366</v>
      </c>
      <c r="M877" s="29" t="s">
        <v>167</v>
      </c>
    </row>
    <row r="878" spans="1:17" ht="12" customHeight="1">
      <c r="A878" s="25">
        <v>41367</v>
      </c>
      <c r="B878" s="345" t="s">
        <v>1993</v>
      </c>
      <c r="C878" s="219" t="s">
        <v>163</v>
      </c>
      <c r="D878" s="345" t="s">
        <v>241</v>
      </c>
      <c r="E878" s="345">
        <v>6200</v>
      </c>
      <c r="F878" s="345">
        <v>95</v>
      </c>
      <c r="G878" s="345" t="s">
        <v>171</v>
      </c>
      <c r="H878" s="31">
        <v>44.5</v>
      </c>
      <c r="I878" s="27">
        <f t="shared" si="32"/>
        <v>4227.5</v>
      </c>
      <c r="J878" s="28" t="s">
        <v>6059</v>
      </c>
      <c r="K878" s="25">
        <v>41367</v>
      </c>
      <c r="L878" s="56">
        <v>41374</v>
      </c>
      <c r="M878" s="29" t="s">
        <v>167</v>
      </c>
      <c r="N878" s="28" t="s">
        <v>6173</v>
      </c>
      <c r="O878" s="32">
        <v>35658.1</v>
      </c>
      <c r="P878" s="56">
        <v>41374</v>
      </c>
      <c r="Q878" s="366" t="s">
        <v>6174</v>
      </c>
    </row>
    <row r="879" spans="1:17" ht="12" customHeight="1">
      <c r="A879" s="25">
        <v>41367</v>
      </c>
      <c r="B879" s="345" t="s">
        <v>1993</v>
      </c>
      <c r="C879" s="219" t="s">
        <v>6055</v>
      </c>
      <c r="D879" s="345" t="s">
        <v>6056</v>
      </c>
      <c r="E879" s="345" t="s">
        <v>168</v>
      </c>
      <c r="F879" s="345">
        <v>100</v>
      </c>
      <c r="G879" s="345" t="s">
        <v>830</v>
      </c>
      <c r="H879" s="31">
        <v>4</v>
      </c>
      <c r="I879" s="27">
        <f t="shared" si="32"/>
        <v>400</v>
      </c>
      <c r="J879" s="28" t="s">
        <v>6055</v>
      </c>
      <c r="K879" s="25">
        <v>41367</v>
      </c>
      <c r="L879" s="56">
        <v>41367</v>
      </c>
      <c r="M879" s="29" t="s">
        <v>6057</v>
      </c>
      <c r="N879" s="28" t="s">
        <v>6058</v>
      </c>
    </row>
    <row r="880" spans="1:17" ht="12" customHeight="1">
      <c r="A880" s="25">
        <v>41372</v>
      </c>
      <c r="B880" s="348" t="s">
        <v>1994</v>
      </c>
      <c r="C880" s="219" t="s">
        <v>163</v>
      </c>
      <c r="D880" s="348" t="s">
        <v>289</v>
      </c>
      <c r="E880" s="196">
        <v>10434</v>
      </c>
      <c r="F880" s="205">
        <v>100</v>
      </c>
      <c r="G880" s="348" t="s">
        <v>6105</v>
      </c>
      <c r="H880" s="31">
        <v>15.84</v>
      </c>
      <c r="I880" s="27">
        <f t="shared" si="32"/>
        <v>1584</v>
      </c>
      <c r="J880" s="28" t="s">
        <v>6107</v>
      </c>
      <c r="K880" s="25">
        <v>41372</v>
      </c>
      <c r="L880" s="56">
        <v>41375</v>
      </c>
      <c r="M880" s="29" t="s">
        <v>167</v>
      </c>
      <c r="N880" s="28" t="s">
        <v>6108</v>
      </c>
      <c r="O880" s="32">
        <v>18643</v>
      </c>
      <c r="P880" s="56">
        <v>41372</v>
      </c>
    </row>
    <row r="881" spans="1:16" ht="10.5" customHeight="1">
      <c r="A881" s="25">
        <v>41372</v>
      </c>
      <c r="B881" s="348" t="s">
        <v>1994</v>
      </c>
      <c r="C881" s="219" t="s">
        <v>163</v>
      </c>
      <c r="D881" s="348" t="s">
        <v>1882</v>
      </c>
      <c r="E881" s="196">
        <v>501</v>
      </c>
      <c r="F881" s="205">
        <v>300</v>
      </c>
      <c r="G881" s="348" t="s">
        <v>6104</v>
      </c>
      <c r="H881" s="31">
        <v>1.39</v>
      </c>
      <c r="I881" s="27">
        <f t="shared" si="32"/>
        <v>416.99999999999994</v>
      </c>
      <c r="J881" s="28" t="s">
        <v>6107</v>
      </c>
      <c r="K881" s="25">
        <v>41372</v>
      </c>
      <c r="L881" s="56">
        <v>41375</v>
      </c>
      <c r="M881" s="29" t="s">
        <v>167</v>
      </c>
      <c r="N881" s="28" t="s">
        <v>6108</v>
      </c>
      <c r="O881" s="32">
        <v>18643</v>
      </c>
      <c r="P881" s="56">
        <v>41372</v>
      </c>
    </row>
    <row r="882" spans="1:16" ht="12" customHeight="1">
      <c r="A882" s="25">
        <v>41372</v>
      </c>
      <c r="B882" s="348" t="s">
        <v>1994</v>
      </c>
      <c r="C882" s="219" t="s">
        <v>163</v>
      </c>
      <c r="D882" s="348" t="s">
        <v>183</v>
      </c>
      <c r="E882" s="348" t="s">
        <v>195</v>
      </c>
      <c r="F882" s="205">
        <v>1000</v>
      </c>
      <c r="G882" s="348" t="s">
        <v>6106</v>
      </c>
      <c r="H882" s="31">
        <v>4.9000000000000004</v>
      </c>
      <c r="I882" s="27">
        <f t="shared" si="32"/>
        <v>4900</v>
      </c>
      <c r="J882" s="28" t="s">
        <v>6107</v>
      </c>
      <c r="K882" s="25">
        <v>41372</v>
      </c>
      <c r="L882" s="56">
        <v>41375</v>
      </c>
      <c r="M882" s="29" t="s">
        <v>167</v>
      </c>
      <c r="N882" s="28" t="s">
        <v>6108</v>
      </c>
      <c r="O882" s="32">
        <v>18643</v>
      </c>
      <c r="P882" s="56">
        <v>41372</v>
      </c>
    </row>
    <row r="883" spans="1:16" ht="12" customHeight="1">
      <c r="A883" s="25">
        <v>41372</v>
      </c>
      <c r="B883" s="348" t="s">
        <v>1994</v>
      </c>
      <c r="C883" s="219" t="s">
        <v>163</v>
      </c>
      <c r="D883" s="348" t="s">
        <v>1895</v>
      </c>
      <c r="E883" s="348" t="s">
        <v>146</v>
      </c>
      <c r="F883" s="205">
        <v>540</v>
      </c>
      <c r="G883" s="348" t="s">
        <v>6104</v>
      </c>
      <c r="H883" s="31">
        <v>17.8</v>
      </c>
      <c r="I883" s="27">
        <f t="shared" si="32"/>
        <v>9612</v>
      </c>
      <c r="J883" s="28" t="s">
        <v>6107</v>
      </c>
      <c r="K883" s="25">
        <v>41372</v>
      </c>
      <c r="L883" s="56">
        <v>41375</v>
      </c>
      <c r="M883" s="29" t="s">
        <v>167</v>
      </c>
      <c r="N883" s="28" t="s">
        <v>6108</v>
      </c>
      <c r="O883" s="32">
        <v>18643</v>
      </c>
      <c r="P883" s="56">
        <v>41372</v>
      </c>
    </row>
    <row r="884" spans="1:16" ht="12" customHeight="1">
      <c r="A884" s="25">
        <v>41372</v>
      </c>
      <c r="B884" s="349" t="s">
        <v>6110</v>
      </c>
      <c r="C884" s="1" t="s">
        <v>6102</v>
      </c>
      <c r="D884" s="1" t="s">
        <v>6193</v>
      </c>
      <c r="E884" s="1" t="s">
        <v>6101</v>
      </c>
      <c r="F884" s="1">
        <v>4</v>
      </c>
      <c r="G884" s="1" t="s">
        <v>830</v>
      </c>
      <c r="H884" s="31">
        <v>58</v>
      </c>
      <c r="I884" s="27">
        <f t="shared" si="32"/>
        <v>232</v>
      </c>
      <c r="J884" s="28" t="s">
        <v>168</v>
      </c>
      <c r="K884" s="25">
        <v>41375</v>
      </c>
      <c r="L884" s="56">
        <v>41373</v>
      </c>
      <c r="M884" s="29" t="s">
        <v>169</v>
      </c>
    </row>
    <row r="885" spans="1:16" ht="12" customHeight="1">
      <c r="A885" s="25">
        <v>41372</v>
      </c>
      <c r="B885" s="349" t="s">
        <v>6110</v>
      </c>
      <c r="C885" s="1" t="s">
        <v>6102</v>
      </c>
      <c r="D885" s="1" t="s">
        <v>6112</v>
      </c>
      <c r="E885" s="1">
        <v>91115802</v>
      </c>
      <c r="F885" s="1">
        <v>4</v>
      </c>
      <c r="G885" s="1" t="s">
        <v>830</v>
      </c>
      <c r="H885" s="31">
        <v>90</v>
      </c>
      <c r="I885" s="27">
        <f t="shared" si="32"/>
        <v>360</v>
      </c>
      <c r="J885" s="28" t="s">
        <v>168</v>
      </c>
      <c r="K885" s="25">
        <v>41375</v>
      </c>
      <c r="L885" s="56">
        <v>41373</v>
      </c>
      <c r="M885" s="29" t="s">
        <v>169</v>
      </c>
    </row>
    <row r="886" spans="1:16" ht="12" customHeight="1">
      <c r="A886" s="25">
        <v>41373</v>
      </c>
      <c r="B886" s="362" t="s">
        <v>1993</v>
      </c>
      <c r="C886" s="219" t="s">
        <v>168</v>
      </c>
      <c r="D886" s="369" t="s">
        <v>5719</v>
      </c>
      <c r="E886" s="362" t="s">
        <v>168</v>
      </c>
      <c r="F886" s="362">
        <v>3500</v>
      </c>
      <c r="G886" s="362" t="s">
        <v>830</v>
      </c>
      <c r="H886" s="31">
        <v>0.68</v>
      </c>
      <c r="I886" s="27">
        <f t="shared" si="32"/>
        <v>2380</v>
      </c>
      <c r="J886" s="28" t="s">
        <v>6133</v>
      </c>
      <c r="K886" s="25">
        <v>41373</v>
      </c>
    </row>
    <row r="887" spans="1:16" ht="12" customHeight="1">
      <c r="A887" s="25">
        <v>41373</v>
      </c>
      <c r="B887" s="363" t="s">
        <v>229</v>
      </c>
      <c r="C887" s="219" t="s">
        <v>163</v>
      </c>
      <c r="D887" s="1" t="s">
        <v>1216</v>
      </c>
      <c r="E887" s="1">
        <v>3200</v>
      </c>
      <c r="F887" s="205">
        <v>500</v>
      </c>
      <c r="G887" s="363" t="s">
        <v>6152</v>
      </c>
      <c r="H887" s="31">
        <v>23.94</v>
      </c>
      <c r="I887" s="27">
        <f t="shared" si="32"/>
        <v>11970</v>
      </c>
      <c r="J887" s="28" t="s">
        <v>6153</v>
      </c>
      <c r="K887" s="25">
        <v>41373</v>
      </c>
      <c r="L887" s="56">
        <v>41376</v>
      </c>
      <c r="M887" s="29" t="s">
        <v>166</v>
      </c>
    </row>
    <row r="888" spans="1:16" ht="12" customHeight="1">
      <c r="A888" s="25">
        <v>41373</v>
      </c>
      <c r="B888" s="364" t="s">
        <v>1999</v>
      </c>
      <c r="C888" s="220" t="s">
        <v>7</v>
      </c>
      <c r="D888" s="364" t="s">
        <v>5009</v>
      </c>
      <c r="E888" s="364" t="s">
        <v>5006</v>
      </c>
      <c r="F888" s="367">
        <v>1500</v>
      </c>
      <c r="G888" s="364" t="s">
        <v>830</v>
      </c>
      <c r="H888" s="31">
        <v>1.32</v>
      </c>
      <c r="I888" s="27">
        <f t="shared" si="32"/>
        <v>1980</v>
      </c>
      <c r="J888" s="28" t="s">
        <v>6344</v>
      </c>
      <c r="K888" s="25">
        <v>41380</v>
      </c>
      <c r="L888" s="56">
        <v>41373</v>
      </c>
      <c r="M888" s="29" t="s">
        <v>169</v>
      </c>
      <c r="N888" s="28" t="s">
        <v>6205</v>
      </c>
      <c r="O888" s="32">
        <v>15880.44</v>
      </c>
      <c r="P888" s="56">
        <v>41375</v>
      </c>
    </row>
    <row r="889" spans="1:16" ht="12" customHeight="1">
      <c r="A889" s="25">
        <v>41373</v>
      </c>
      <c r="B889" s="364" t="s">
        <v>1999</v>
      </c>
      <c r="C889" s="219" t="s">
        <v>163</v>
      </c>
      <c r="D889" s="364" t="s">
        <v>5080</v>
      </c>
      <c r="E889" s="364">
        <v>8210</v>
      </c>
      <c r="F889" s="367">
        <v>1280</v>
      </c>
      <c r="G889" s="364" t="s">
        <v>171</v>
      </c>
      <c r="H889" s="31">
        <v>3.78</v>
      </c>
      <c r="I889" s="27">
        <f t="shared" si="32"/>
        <v>4838.3999999999996</v>
      </c>
      <c r="J889" s="28" t="s">
        <v>6344</v>
      </c>
      <c r="K889" s="25">
        <v>41380</v>
      </c>
      <c r="L889" s="56">
        <v>41373</v>
      </c>
      <c r="M889" s="29" t="s">
        <v>169</v>
      </c>
      <c r="N889" s="28" t="s">
        <v>6205</v>
      </c>
      <c r="O889" s="32">
        <v>15880.44</v>
      </c>
      <c r="P889" s="56">
        <v>41375</v>
      </c>
    </row>
    <row r="890" spans="1:16" ht="12" customHeight="1">
      <c r="A890" s="25">
        <v>41373</v>
      </c>
      <c r="B890" s="364" t="s">
        <v>1999</v>
      </c>
      <c r="C890" s="219" t="s">
        <v>163</v>
      </c>
      <c r="D890" s="1" t="s">
        <v>1219</v>
      </c>
      <c r="E890" s="364" t="s">
        <v>179</v>
      </c>
      <c r="F890" s="367">
        <v>200</v>
      </c>
      <c r="G890" s="364" t="s">
        <v>173</v>
      </c>
      <c r="H890" s="31">
        <v>12.4</v>
      </c>
      <c r="I890" s="27">
        <f t="shared" ref="I890:I892" si="33">H890*F890</f>
        <v>2480</v>
      </c>
      <c r="J890" s="28" t="s">
        <v>6344</v>
      </c>
      <c r="K890" s="25">
        <v>41380</v>
      </c>
      <c r="L890" s="56">
        <v>41373</v>
      </c>
      <c r="M890" s="29" t="s">
        <v>169</v>
      </c>
      <c r="N890" s="28" t="s">
        <v>6205</v>
      </c>
      <c r="O890" s="32">
        <v>15880.44</v>
      </c>
      <c r="P890" s="56">
        <v>41375</v>
      </c>
    </row>
    <row r="891" spans="1:16" ht="12" customHeight="1">
      <c r="A891" s="25">
        <v>41373</v>
      </c>
      <c r="B891" s="364" t="s">
        <v>1999</v>
      </c>
      <c r="C891" s="219" t="s">
        <v>163</v>
      </c>
      <c r="D891" s="1" t="s">
        <v>1912</v>
      </c>
      <c r="E891" s="1">
        <v>3100</v>
      </c>
      <c r="F891" s="1">
        <v>60</v>
      </c>
      <c r="G891" s="1" t="s">
        <v>230</v>
      </c>
      <c r="H891" s="31">
        <v>31.2</v>
      </c>
      <c r="I891" s="27">
        <f t="shared" si="33"/>
        <v>1872</v>
      </c>
      <c r="J891" s="28" t="s">
        <v>6344</v>
      </c>
      <c r="K891" s="25">
        <v>41380</v>
      </c>
      <c r="L891" s="56">
        <v>41373</v>
      </c>
      <c r="M891" s="29" t="s">
        <v>169</v>
      </c>
      <c r="N891" s="28" t="s">
        <v>6205</v>
      </c>
      <c r="O891" s="32">
        <v>15880.44</v>
      </c>
      <c r="P891" s="56">
        <v>41375</v>
      </c>
    </row>
    <row r="892" spans="1:16" ht="12" customHeight="1">
      <c r="A892" s="25">
        <v>41373</v>
      </c>
      <c r="B892" s="364" t="s">
        <v>2013</v>
      </c>
      <c r="C892" s="219" t="s">
        <v>1016</v>
      </c>
      <c r="D892" s="364" t="s">
        <v>1919</v>
      </c>
      <c r="E892" s="364" t="s">
        <v>1017</v>
      </c>
      <c r="F892" s="364">
        <v>1</v>
      </c>
      <c r="G892" s="364" t="s">
        <v>1018</v>
      </c>
      <c r="H892" s="31">
        <v>708</v>
      </c>
      <c r="I892" s="27">
        <f t="shared" si="33"/>
        <v>708</v>
      </c>
      <c r="J892" s="28" t="s">
        <v>6253</v>
      </c>
      <c r="K892" s="25">
        <v>41378</v>
      </c>
      <c r="L892" s="56">
        <v>41373</v>
      </c>
      <c r="M892" s="97" t="s">
        <v>169</v>
      </c>
    </row>
    <row r="893" spans="1:16" ht="12" customHeight="1">
      <c r="A893" s="25">
        <v>41374</v>
      </c>
      <c r="B893" s="363" t="s">
        <v>1993</v>
      </c>
      <c r="C893" s="219" t="s">
        <v>163</v>
      </c>
      <c r="D893" s="1" t="s">
        <v>1216</v>
      </c>
      <c r="E893" s="1">
        <v>3200</v>
      </c>
      <c r="F893" s="363">
        <v>100</v>
      </c>
      <c r="G893" s="363" t="s">
        <v>6152</v>
      </c>
      <c r="H893" s="31">
        <v>27.4</v>
      </c>
      <c r="I893" s="27">
        <f>H893*F893</f>
        <v>2740</v>
      </c>
      <c r="J893" s="28" t="s">
        <v>6154</v>
      </c>
      <c r="K893" s="25">
        <v>41374</v>
      </c>
    </row>
    <row r="894" spans="1:16" ht="12" customHeight="1">
      <c r="A894" s="25">
        <v>41375</v>
      </c>
      <c r="B894" s="367" t="s">
        <v>229</v>
      </c>
      <c r="C894" s="219" t="s">
        <v>163</v>
      </c>
      <c r="D894" s="1" t="s">
        <v>6248</v>
      </c>
      <c r="E894" s="1" t="s">
        <v>178</v>
      </c>
      <c r="F894" s="367">
        <v>100</v>
      </c>
      <c r="G894" s="367" t="s">
        <v>172</v>
      </c>
      <c r="H894" s="31">
        <v>1.53</v>
      </c>
      <c r="I894" s="27">
        <f>H894*F894</f>
        <v>153</v>
      </c>
      <c r="J894" s="28" t="s">
        <v>6192</v>
      </c>
      <c r="K894" s="25">
        <v>41375</v>
      </c>
      <c r="L894" s="56">
        <v>41376</v>
      </c>
      <c r="M894" s="29" t="s">
        <v>166</v>
      </c>
    </row>
    <row r="895" spans="1:16" ht="12" customHeight="1">
      <c r="A895" s="25">
        <v>41375</v>
      </c>
      <c r="B895" s="367" t="s">
        <v>6199</v>
      </c>
      <c r="C895" s="219" t="s">
        <v>163</v>
      </c>
      <c r="D895" s="367" t="s">
        <v>1721</v>
      </c>
      <c r="E895" s="196">
        <v>9010</v>
      </c>
      <c r="F895" s="205">
        <v>500</v>
      </c>
      <c r="G895" s="367" t="s">
        <v>171</v>
      </c>
      <c r="H895" s="31">
        <v>2.6</v>
      </c>
      <c r="I895" s="27">
        <f t="shared" ref="I895:I913" si="34">H895*F895</f>
        <v>1300</v>
      </c>
      <c r="J895" s="28" t="s">
        <v>6325</v>
      </c>
      <c r="K895" s="25">
        <v>41380</v>
      </c>
      <c r="L895" s="56">
        <v>41375</v>
      </c>
      <c r="M895" s="97" t="s">
        <v>167</v>
      </c>
    </row>
    <row r="896" spans="1:16" ht="12" customHeight="1">
      <c r="A896" s="25">
        <v>41375</v>
      </c>
      <c r="B896" s="1" t="s">
        <v>6200</v>
      </c>
      <c r="C896" s="219" t="s">
        <v>163</v>
      </c>
      <c r="D896" s="1" t="s">
        <v>1774</v>
      </c>
      <c r="E896" s="196">
        <v>1860</v>
      </c>
      <c r="F896" s="205">
        <v>720</v>
      </c>
      <c r="G896" s="367" t="s">
        <v>171</v>
      </c>
      <c r="H896" s="31">
        <v>12.15</v>
      </c>
      <c r="I896" s="27">
        <f t="shared" si="34"/>
        <v>8748</v>
      </c>
      <c r="J896" s="28" t="s">
        <v>6214</v>
      </c>
      <c r="K896" s="25">
        <v>41376</v>
      </c>
      <c r="L896" s="56">
        <v>41375</v>
      </c>
      <c r="M896" s="29" t="s">
        <v>166</v>
      </c>
    </row>
    <row r="897" spans="1:32" ht="12" customHeight="1">
      <c r="A897" s="25">
        <v>41375</v>
      </c>
      <c r="B897" s="367" t="s">
        <v>1994</v>
      </c>
      <c r="C897" s="219" t="s">
        <v>163</v>
      </c>
      <c r="D897" s="5" t="s">
        <v>348</v>
      </c>
      <c r="E897" s="196">
        <v>3700</v>
      </c>
      <c r="F897" s="205">
        <v>200</v>
      </c>
      <c r="G897" s="367" t="s">
        <v>171</v>
      </c>
      <c r="H897" s="31">
        <v>3.65</v>
      </c>
      <c r="I897" s="27">
        <f t="shared" si="34"/>
        <v>730</v>
      </c>
      <c r="J897" s="28" t="s">
        <v>6214</v>
      </c>
      <c r="K897" s="25">
        <v>41376</v>
      </c>
      <c r="L897" s="56">
        <v>41375</v>
      </c>
      <c r="M897" s="29" t="s">
        <v>167</v>
      </c>
      <c r="N897" s="28" t="s">
        <v>6220</v>
      </c>
      <c r="O897" s="32">
        <v>5154</v>
      </c>
      <c r="P897" s="56">
        <v>41376</v>
      </c>
    </row>
    <row r="898" spans="1:32" ht="12" customHeight="1">
      <c r="A898" s="25">
        <v>41375</v>
      </c>
      <c r="B898" s="367" t="s">
        <v>1994</v>
      </c>
      <c r="C898" s="219" t="s">
        <v>163</v>
      </c>
      <c r="D898" s="1" t="s">
        <v>1880</v>
      </c>
      <c r="E898" s="196">
        <v>6006</v>
      </c>
      <c r="F898" s="205">
        <v>80</v>
      </c>
      <c r="G898" s="367" t="s">
        <v>171</v>
      </c>
      <c r="H898" s="31">
        <v>55.3</v>
      </c>
      <c r="I898" s="27">
        <f t="shared" si="34"/>
        <v>4424</v>
      </c>
      <c r="J898" s="28" t="s">
        <v>6214</v>
      </c>
      <c r="K898" s="25">
        <v>41376</v>
      </c>
      <c r="L898" s="56">
        <v>41375</v>
      </c>
      <c r="M898" s="29" t="s">
        <v>167</v>
      </c>
      <c r="N898" s="28" t="s">
        <v>6220</v>
      </c>
      <c r="O898" s="32">
        <v>5154</v>
      </c>
      <c r="P898" s="56">
        <v>41376</v>
      </c>
    </row>
    <row r="899" spans="1:32" ht="12" customHeight="1">
      <c r="A899" s="25">
        <v>41375</v>
      </c>
      <c r="B899" s="372" t="s">
        <v>6309</v>
      </c>
      <c r="C899" s="219" t="s">
        <v>163</v>
      </c>
      <c r="D899" s="5" t="s">
        <v>6311</v>
      </c>
      <c r="E899" s="372" t="s">
        <v>6310</v>
      </c>
      <c r="F899" s="372">
        <v>10000</v>
      </c>
      <c r="G899" s="372" t="s">
        <v>171</v>
      </c>
      <c r="H899" s="31">
        <v>1.68</v>
      </c>
      <c r="I899" s="27">
        <f t="shared" si="34"/>
        <v>16800</v>
      </c>
      <c r="L899" s="56">
        <v>41380</v>
      </c>
      <c r="M899" s="29" t="s">
        <v>167</v>
      </c>
      <c r="Q899" s="376" t="s">
        <v>6388</v>
      </c>
      <c r="R899" s="372"/>
      <c r="S899" s="372"/>
      <c r="T899" s="372"/>
      <c r="U899" s="372"/>
      <c r="V899" s="372"/>
      <c r="W899" s="372"/>
      <c r="X899" s="372"/>
      <c r="Y899" s="372"/>
      <c r="Z899" s="372"/>
      <c r="AA899" s="372"/>
      <c r="AB899" s="372"/>
      <c r="AC899" s="372"/>
      <c r="AD899" s="372"/>
      <c r="AE899" s="372"/>
      <c r="AF899" s="372"/>
    </row>
    <row r="900" spans="1:32" ht="12" customHeight="1">
      <c r="A900" s="25">
        <v>41376</v>
      </c>
      <c r="B900" s="1" t="s">
        <v>6234</v>
      </c>
      <c r="C900" s="1" t="s">
        <v>6231</v>
      </c>
      <c r="D900" s="1" t="s">
        <v>6232</v>
      </c>
      <c r="E900" s="238" t="s">
        <v>6233</v>
      </c>
      <c r="F900" s="1">
        <v>14</v>
      </c>
      <c r="G900" s="1" t="s">
        <v>830</v>
      </c>
      <c r="H900" s="31">
        <v>102.08</v>
      </c>
      <c r="I900" s="27">
        <f t="shared" si="34"/>
        <v>1429.12</v>
      </c>
      <c r="J900" s="28" t="s">
        <v>6214</v>
      </c>
      <c r="K900" s="25">
        <v>41376</v>
      </c>
      <c r="L900" s="56">
        <v>41376</v>
      </c>
      <c r="M900" s="29" t="s">
        <v>167</v>
      </c>
      <c r="N900" s="322" t="s">
        <v>6235</v>
      </c>
      <c r="O900" s="32">
        <v>1429.12</v>
      </c>
      <c r="P900" s="56">
        <v>41376</v>
      </c>
    </row>
    <row r="901" spans="1:32" ht="12" customHeight="1">
      <c r="A901" s="25">
        <v>41376</v>
      </c>
      <c r="B901" s="370" t="s">
        <v>229</v>
      </c>
      <c r="C901" s="219" t="s">
        <v>163</v>
      </c>
      <c r="D901" s="370" t="s">
        <v>704</v>
      </c>
      <c r="E901" s="370" t="s">
        <v>6267</v>
      </c>
      <c r="F901" s="205">
        <v>9000</v>
      </c>
      <c r="G901" s="370" t="s">
        <v>171</v>
      </c>
      <c r="H901" s="31">
        <v>2.3199999999999998</v>
      </c>
      <c r="I901" s="27">
        <f t="shared" si="34"/>
        <v>20880</v>
      </c>
      <c r="J901" s="28" t="s">
        <v>6343</v>
      </c>
      <c r="K901" s="25">
        <v>41376</v>
      </c>
      <c r="L901" s="56">
        <v>41383</v>
      </c>
      <c r="M901" s="29" t="s">
        <v>167</v>
      </c>
    </row>
    <row r="902" spans="1:32" ht="12" customHeight="1">
      <c r="A902" s="25">
        <v>41376</v>
      </c>
      <c r="B902" s="368" t="s">
        <v>229</v>
      </c>
      <c r="C902" s="219" t="s">
        <v>163</v>
      </c>
      <c r="D902" s="1" t="s">
        <v>6210</v>
      </c>
      <c r="E902" s="1">
        <v>8577</v>
      </c>
      <c r="F902" s="205">
        <v>10</v>
      </c>
      <c r="G902" s="368" t="s">
        <v>6226</v>
      </c>
      <c r="H902" s="31">
        <v>28.65</v>
      </c>
      <c r="I902" s="27">
        <f>H902*F902</f>
        <v>286.5</v>
      </c>
      <c r="J902" s="28" t="s">
        <v>6243</v>
      </c>
      <c r="K902" s="25">
        <v>41376</v>
      </c>
    </row>
    <row r="903" spans="1:32" ht="12" customHeight="1">
      <c r="A903" s="25">
        <v>41379</v>
      </c>
      <c r="B903" s="312" t="s">
        <v>5167</v>
      </c>
      <c r="C903" s="219" t="s">
        <v>163</v>
      </c>
      <c r="D903" s="1" t="s">
        <v>662</v>
      </c>
      <c r="E903" s="1" t="s">
        <v>6100</v>
      </c>
      <c r="F903" s="1">
        <v>10</v>
      </c>
      <c r="G903" s="1" t="s">
        <v>171</v>
      </c>
      <c r="H903" s="31">
        <v>115</v>
      </c>
      <c r="I903" s="27">
        <f t="shared" si="34"/>
        <v>1150</v>
      </c>
      <c r="J903" s="28" t="s">
        <v>6253</v>
      </c>
      <c r="K903" s="25">
        <v>41379</v>
      </c>
      <c r="L903" s="56">
        <v>41379</v>
      </c>
      <c r="M903" s="29" t="s">
        <v>6282</v>
      </c>
    </row>
    <row r="904" spans="1:32" ht="12" customHeight="1">
      <c r="A904" s="25">
        <v>41379</v>
      </c>
      <c r="B904" s="312" t="s">
        <v>5167</v>
      </c>
      <c r="C904" s="219" t="s">
        <v>163</v>
      </c>
      <c r="D904" s="1" t="s">
        <v>1224</v>
      </c>
      <c r="E904" s="1">
        <v>6004</v>
      </c>
      <c r="F904" s="1">
        <v>20</v>
      </c>
      <c r="G904" s="1" t="s">
        <v>171</v>
      </c>
      <c r="H904" s="31">
        <v>37.9</v>
      </c>
      <c r="I904" s="27">
        <f t="shared" si="34"/>
        <v>758</v>
      </c>
      <c r="J904" s="28" t="s">
        <v>6253</v>
      </c>
      <c r="K904" s="25">
        <v>41379</v>
      </c>
      <c r="L904" s="56">
        <v>41379</v>
      </c>
      <c r="M904" s="29" t="s">
        <v>6282</v>
      </c>
    </row>
    <row r="905" spans="1:32" ht="12" customHeight="1">
      <c r="A905" s="25">
        <v>41379</v>
      </c>
      <c r="B905" s="312" t="s">
        <v>5167</v>
      </c>
      <c r="C905" s="219" t="s">
        <v>163</v>
      </c>
      <c r="D905" s="1" t="s">
        <v>1226</v>
      </c>
      <c r="E905" s="1">
        <v>6005</v>
      </c>
      <c r="F905" s="1">
        <v>20</v>
      </c>
      <c r="G905" s="1" t="s">
        <v>171</v>
      </c>
      <c r="H905" s="31">
        <v>37.9</v>
      </c>
      <c r="I905" s="27">
        <f t="shared" si="34"/>
        <v>758</v>
      </c>
      <c r="J905" s="28" t="s">
        <v>6253</v>
      </c>
      <c r="K905" s="25">
        <v>41379</v>
      </c>
      <c r="L905" s="56">
        <v>41379</v>
      </c>
      <c r="M905" s="29" t="s">
        <v>6282</v>
      </c>
    </row>
    <row r="906" spans="1:32" ht="12" customHeight="1">
      <c r="A906" s="25">
        <v>41379</v>
      </c>
      <c r="B906" s="312" t="s">
        <v>5167</v>
      </c>
      <c r="C906" s="219" t="s">
        <v>163</v>
      </c>
      <c r="D906" s="5" t="s">
        <v>986</v>
      </c>
      <c r="E906" s="1">
        <v>6800</v>
      </c>
      <c r="F906" s="1">
        <v>36</v>
      </c>
      <c r="G906" s="1" t="s">
        <v>171</v>
      </c>
      <c r="H906" s="31">
        <v>420</v>
      </c>
      <c r="I906" s="27">
        <f t="shared" si="34"/>
        <v>15120</v>
      </c>
      <c r="J906" s="28" t="s">
        <v>6253</v>
      </c>
      <c r="K906" s="25">
        <v>41379</v>
      </c>
      <c r="L906" s="56">
        <v>41379</v>
      </c>
      <c r="M906" s="29" t="s">
        <v>6282</v>
      </c>
    </row>
    <row r="907" spans="1:32" ht="12" customHeight="1">
      <c r="A907" s="25">
        <v>41379</v>
      </c>
      <c r="B907" s="312" t="s">
        <v>5167</v>
      </c>
      <c r="C907" s="219" t="s">
        <v>163</v>
      </c>
      <c r="D907" s="370" t="s">
        <v>289</v>
      </c>
      <c r="E907" s="196">
        <v>10434</v>
      </c>
      <c r="F907" s="205">
        <v>300</v>
      </c>
      <c r="G907" s="1" t="s">
        <v>173</v>
      </c>
      <c r="H907" s="31">
        <v>14.2</v>
      </c>
      <c r="I907" s="27">
        <f t="shared" si="34"/>
        <v>4260</v>
      </c>
      <c r="J907" s="28" t="s">
        <v>6253</v>
      </c>
      <c r="K907" s="25">
        <v>41379</v>
      </c>
      <c r="L907" s="56">
        <v>41379</v>
      </c>
      <c r="M907" s="29" t="s">
        <v>6282</v>
      </c>
    </row>
    <row r="908" spans="1:32" ht="12" customHeight="1">
      <c r="A908" s="25">
        <v>41379</v>
      </c>
      <c r="B908" s="312" t="s">
        <v>5167</v>
      </c>
      <c r="C908" s="219" t="s">
        <v>163</v>
      </c>
      <c r="D908" s="1" t="s">
        <v>1880</v>
      </c>
      <c r="E908" s="1">
        <v>6006</v>
      </c>
      <c r="F908" s="1">
        <v>20</v>
      </c>
      <c r="G908" s="1" t="s">
        <v>171</v>
      </c>
      <c r="H908" s="31">
        <v>47.5</v>
      </c>
      <c r="I908" s="27">
        <f t="shared" si="34"/>
        <v>950</v>
      </c>
      <c r="J908" s="28" t="s">
        <v>6253</v>
      </c>
      <c r="K908" s="25">
        <v>41379</v>
      </c>
      <c r="L908" s="56">
        <v>41379</v>
      </c>
      <c r="M908" s="29" t="s">
        <v>6282</v>
      </c>
    </row>
    <row r="909" spans="1:32" ht="12" customHeight="1">
      <c r="A909" s="25">
        <v>41379</v>
      </c>
      <c r="B909" s="371" t="s">
        <v>6289</v>
      </c>
      <c r="C909" s="219" t="s">
        <v>163</v>
      </c>
      <c r="D909" s="371" t="s">
        <v>1895</v>
      </c>
      <c r="E909" s="371" t="s">
        <v>146</v>
      </c>
      <c r="F909" s="205">
        <v>66</v>
      </c>
      <c r="G909" s="1" t="s">
        <v>171</v>
      </c>
      <c r="H909" s="31">
        <v>14</v>
      </c>
      <c r="I909" s="27">
        <f t="shared" si="34"/>
        <v>924</v>
      </c>
      <c r="J909" s="28" t="s">
        <v>168</v>
      </c>
      <c r="K909" s="25">
        <v>41379</v>
      </c>
      <c r="N909" s="28" t="s">
        <v>176</v>
      </c>
    </row>
    <row r="910" spans="1:32" ht="12" customHeight="1">
      <c r="A910" s="25">
        <v>41379</v>
      </c>
      <c r="B910" s="371" t="s">
        <v>6289</v>
      </c>
      <c r="C910" s="219" t="s">
        <v>163</v>
      </c>
      <c r="D910" s="371" t="s">
        <v>183</v>
      </c>
      <c r="E910" s="371" t="s">
        <v>195</v>
      </c>
      <c r="F910" s="205">
        <v>50</v>
      </c>
      <c r="G910" s="371" t="s">
        <v>6291</v>
      </c>
      <c r="H910" s="31">
        <v>4</v>
      </c>
      <c r="I910" s="27">
        <f t="shared" si="34"/>
        <v>200</v>
      </c>
      <c r="J910" s="28" t="s">
        <v>168</v>
      </c>
      <c r="K910" s="25">
        <v>41379</v>
      </c>
      <c r="N910" s="28" t="s">
        <v>176</v>
      </c>
    </row>
    <row r="911" spans="1:32" ht="12" customHeight="1">
      <c r="A911" s="25">
        <v>41379</v>
      </c>
      <c r="B911" s="371" t="s">
        <v>6289</v>
      </c>
      <c r="C911" s="219" t="s">
        <v>163</v>
      </c>
      <c r="D911" s="371" t="s">
        <v>6288</v>
      </c>
      <c r="E911" s="196">
        <v>6885</v>
      </c>
      <c r="F911" s="205">
        <v>25</v>
      </c>
      <c r="G911" s="371" t="s">
        <v>6290</v>
      </c>
      <c r="H911" s="31">
        <v>2.5</v>
      </c>
      <c r="I911" s="27">
        <f t="shared" si="34"/>
        <v>62.5</v>
      </c>
      <c r="J911" s="28" t="s">
        <v>168</v>
      </c>
      <c r="K911" s="25">
        <v>41379</v>
      </c>
      <c r="N911" s="28" t="s">
        <v>176</v>
      </c>
      <c r="O911" s="32" t="s">
        <v>6292</v>
      </c>
      <c r="R911" s="371" t="s">
        <v>6293</v>
      </c>
    </row>
    <row r="912" spans="1:32" ht="12" customHeight="1">
      <c r="A912" s="25">
        <v>41379</v>
      </c>
      <c r="B912" s="371" t="s">
        <v>229</v>
      </c>
      <c r="C912" s="219" t="s">
        <v>163</v>
      </c>
      <c r="D912" s="1" t="s">
        <v>269</v>
      </c>
      <c r="E912" s="1" t="s">
        <v>178</v>
      </c>
      <c r="F912" s="371">
        <v>300</v>
      </c>
      <c r="G912" s="371" t="s">
        <v>172</v>
      </c>
      <c r="H912" s="31">
        <v>1.17</v>
      </c>
      <c r="I912" s="27">
        <f t="shared" si="34"/>
        <v>351</v>
      </c>
      <c r="J912" s="28" t="s">
        <v>6297</v>
      </c>
      <c r="K912" s="25">
        <v>41379</v>
      </c>
    </row>
    <row r="913" spans="1:32" ht="12" customHeight="1">
      <c r="A913" s="25">
        <v>41379</v>
      </c>
      <c r="B913" s="372" t="s">
        <v>2001</v>
      </c>
      <c r="C913" s="219" t="s">
        <v>163</v>
      </c>
      <c r="D913" s="372" t="s">
        <v>6301</v>
      </c>
      <c r="E913" s="372" t="s">
        <v>6302</v>
      </c>
      <c r="F913" s="205">
        <v>2</v>
      </c>
      <c r="G913" s="372" t="s">
        <v>6303</v>
      </c>
      <c r="H913" s="31">
        <v>87</v>
      </c>
      <c r="I913" s="27">
        <f t="shared" si="34"/>
        <v>174</v>
      </c>
      <c r="J913" s="28" t="s">
        <v>6304</v>
      </c>
      <c r="K913" s="25">
        <v>41380</v>
      </c>
    </row>
    <row r="914" spans="1:32" ht="12" customHeight="1">
      <c r="A914" s="25">
        <v>41379</v>
      </c>
      <c r="B914" s="373" t="s">
        <v>2008</v>
      </c>
      <c r="C914" s="1" t="s">
        <v>6415</v>
      </c>
      <c r="D914" s="1" t="s">
        <v>6417</v>
      </c>
      <c r="E914" s="1" t="s">
        <v>6416</v>
      </c>
      <c r="F914" s="373">
        <v>4</v>
      </c>
      <c r="G914" s="373" t="s">
        <v>6350</v>
      </c>
      <c r="H914" s="31">
        <v>96.2</v>
      </c>
      <c r="I914" s="27">
        <f>H914*F914</f>
        <v>384.8</v>
      </c>
      <c r="L914" s="56">
        <v>41381</v>
      </c>
      <c r="M914" s="29" t="s">
        <v>6347</v>
      </c>
      <c r="Q914" s="373"/>
      <c r="R914" s="373"/>
      <c r="S914" s="373"/>
      <c r="T914" s="373"/>
      <c r="U914" s="373"/>
      <c r="V914" s="373"/>
      <c r="W914" s="373"/>
      <c r="X914" s="373"/>
      <c r="Y914" s="373"/>
      <c r="Z914" s="373"/>
      <c r="AA914" s="373"/>
      <c r="AB914" s="373"/>
      <c r="AC914" s="373"/>
      <c r="AD914" s="373"/>
      <c r="AE914" s="373"/>
      <c r="AF914" s="373"/>
    </row>
    <row r="915" spans="1:32" ht="12" customHeight="1">
      <c r="A915" s="25">
        <v>41379</v>
      </c>
      <c r="B915" s="372" t="s">
        <v>6312</v>
      </c>
      <c r="C915" s="219" t="s">
        <v>163</v>
      </c>
      <c r="D915" s="372" t="s">
        <v>52</v>
      </c>
      <c r="E915" s="372">
        <v>9032</v>
      </c>
      <c r="F915" s="372">
        <v>10000</v>
      </c>
      <c r="G915" s="372" t="s">
        <v>171</v>
      </c>
      <c r="H915" s="31">
        <v>1.56</v>
      </c>
      <c r="I915" s="27">
        <f t="shared" ref="I915:I916" si="35">H915*F915</f>
        <v>15600</v>
      </c>
      <c r="L915" s="56">
        <v>41380</v>
      </c>
      <c r="M915" s="29" t="s">
        <v>6347</v>
      </c>
      <c r="Q915" s="372"/>
      <c r="R915" s="372"/>
      <c r="S915" s="372"/>
      <c r="T915" s="372"/>
      <c r="U915" s="372"/>
      <c r="V915" s="372"/>
      <c r="W915" s="372"/>
      <c r="X915" s="372"/>
      <c r="Y915" s="372"/>
      <c r="Z915" s="372"/>
      <c r="AA915" s="372"/>
      <c r="AB915" s="372"/>
      <c r="AC915" s="372"/>
      <c r="AD915" s="372"/>
      <c r="AE915" s="372"/>
      <c r="AF915" s="372"/>
    </row>
    <row r="916" spans="1:32" ht="12" customHeight="1">
      <c r="A916" s="25">
        <v>41380</v>
      </c>
      <c r="B916" s="372" t="s">
        <v>229</v>
      </c>
      <c r="C916" s="219" t="s">
        <v>163</v>
      </c>
      <c r="D916" s="5" t="s">
        <v>6274</v>
      </c>
      <c r="E916" s="1" t="s">
        <v>6223</v>
      </c>
      <c r="F916" s="1">
        <v>35</v>
      </c>
      <c r="G916" s="1" t="s">
        <v>175</v>
      </c>
      <c r="H916" s="31">
        <v>23.2</v>
      </c>
      <c r="I916" s="27">
        <f t="shared" si="35"/>
        <v>812</v>
      </c>
      <c r="J916" s="28" t="s">
        <v>6313</v>
      </c>
      <c r="K916" s="25">
        <v>41380</v>
      </c>
    </row>
    <row r="917" spans="1:32" ht="12" customHeight="1">
      <c r="A917" s="25">
        <v>41380</v>
      </c>
      <c r="B917" s="372" t="s">
        <v>229</v>
      </c>
      <c r="C917" s="219" t="s">
        <v>163</v>
      </c>
      <c r="D917" s="5" t="s">
        <v>6275</v>
      </c>
      <c r="E917" s="1">
        <v>4620</v>
      </c>
      <c r="F917" s="1">
        <v>43</v>
      </c>
      <c r="G917" s="1" t="s">
        <v>175</v>
      </c>
      <c r="H917" s="31">
        <v>17.79</v>
      </c>
      <c r="I917" s="27">
        <f>F917*H917</f>
        <v>764.96999999999991</v>
      </c>
      <c r="J917" s="28" t="s">
        <v>6313</v>
      </c>
      <c r="K917" s="25">
        <v>41380</v>
      </c>
    </row>
    <row r="918" spans="1:32" ht="12" customHeight="1">
      <c r="A918" s="25">
        <v>41380</v>
      </c>
      <c r="B918" s="372" t="s">
        <v>229</v>
      </c>
      <c r="C918" s="219" t="s">
        <v>163</v>
      </c>
      <c r="D918" s="5" t="s">
        <v>183</v>
      </c>
      <c r="E918" s="1" t="s">
        <v>187</v>
      </c>
      <c r="F918" s="205">
        <v>3000</v>
      </c>
      <c r="G918" s="372" t="s">
        <v>6306</v>
      </c>
      <c r="H918" s="31">
        <v>1.54</v>
      </c>
      <c r="I918" s="27">
        <f t="shared" ref="I918:I936" si="36">H918*F918</f>
        <v>4620</v>
      </c>
      <c r="J918" s="28" t="s">
        <v>6313</v>
      </c>
      <c r="K918" s="25">
        <v>41380</v>
      </c>
    </row>
    <row r="919" spans="1:32" ht="12" customHeight="1">
      <c r="A919" s="25">
        <v>41380</v>
      </c>
      <c r="B919" s="372" t="s">
        <v>229</v>
      </c>
      <c r="C919" s="219" t="s">
        <v>163</v>
      </c>
      <c r="D919" s="1" t="s">
        <v>269</v>
      </c>
      <c r="E919" s="1" t="s">
        <v>178</v>
      </c>
      <c r="F919" s="372">
        <v>100</v>
      </c>
      <c r="G919" s="372" t="s">
        <v>172</v>
      </c>
      <c r="H919" s="31">
        <v>1.17</v>
      </c>
      <c r="I919" s="27">
        <f t="shared" si="36"/>
        <v>117</v>
      </c>
      <c r="J919" s="28" t="s">
        <v>6313</v>
      </c>
      <c r="K919" s="25">
        <v>41380</v>
      </c>
    </row>
    <row r="920" spans="1:32" ht="12" customHeight="1">
      <c r="A920" s="25">
        <v>41380</v>
      </c>
      <c r="B920" s="372" t="s">
        <v>229</v>
      </c>
      <c r="C920" s="219" t="s">
        <v>163</v>
      </c>
      <c r="D920" s="5" t="s">
        <v>1893</v>
      </c>
      <c r="E920" s="1">
        <v>4620</v>
      </c>
      <c r="F920" s="205">
        <v>1</v>
      </c>
      <c r="G920" s="372" t="s">
        <v>6337</v>
      </c>
      <c r="H920" s="31">
        <v>17.79</v>
      </c>
      <c r="I920" s="27">
        <f t="shared" si="36"/>
        <v>17.79</v>
      </c>
      <c r="J920" s="28" t="s">
        <v>6338</v>
      </c>
      <c r="K920" s="25">
        <v>41380</v>
      </c>
    </row>
    <row r="921" spans="1:32" ht="12" customHeight="1">
      <c r="A921" s="25">
        <v>41380</v>
      </c>
      <c r="B921" s="373" t="s">
        <v>1999</v>
      </c>
      <c r="C921" s="1" t="s">
        <v>6231</v>
      </c>
      <c r="D921" s="373" t="s">
        <v>6279</v>
      </c>
      <c r="E921" s="373">
        <v>110110</v>
      </c>
      <c r="F921" s="373">
        <v>200</v>
      </c>
      <c r="G921" s="373" t="s">
        <v>173</v>
      </c>
      <c r="H921" s="31">
        <v>13.12</v>
      </c>
      <c r="I921" s="27">
        <f t="shared" si="36"/>
        <v>2624</v>
      </c>
      <c r="L921" s="56">
        <v>41383</v>
      </c>
      <c r="M921" s="29" t="s">
        <v>167</v>
      </c>
    </row>
    <row r="922" spans="1:32" ht="12" customHeight="1">
      <c r="A922" s="25">
        <v>41380</v>
      </c>
      <c r="B922" s="373" t="s">
        <v>1999</v>
      </c>
      <c r="C922" s="219" t="s">
        <v>163</v>
      </c>
      <c r="D922" s="373" t="s">
        <v>5080</v>
      </c>
      <c r="E922" s="196">
        <v>8210</v>
      </c>
      <c r="F922" s="205">
        <v>1600</v>
      </c>
      <c r="G922" s="373" t="s">
        <v>6349</v>
      </c>
      <c r="H922" s="31">
        <v>3.78</v>
      </c>
      <c r="I922" s="27">
        <f t="shared" si="36"/>
        <v>6048</v>
      </c>
      <c r="L922" s="56">
        <v>41383</v>
      </c>
      <c r="M922" s="29" t="s">
        <v>167</v>
      </c>
    </row>
    <row r="923" spans="1:32" ht="12" customHeight="1">
      <c r="A923" s="25">
        <v>41380</v>
      </c>
      <c r="B923" s="373" t="s">
        <v>1999</v>
      </c>
      <c r="C923" s="220" t="s">
        <v>7</v>
      </c>
      <c r="D923" s="373" t="s">
        <v>5095</v>
      </c>
      <c r="E923" s="196">
        <v>3985</v>
      </c>
      <c r="F923" s="205">
        <v>200</v>
      </c>
      <c r="G923" s="373" t="s">
        <v>6350</v>
      </c>
      <c r="H923" s="31">
        <v>6.8</v>
      </c>
      <c r="I923" s="27">
        <f t="shared" si="36"/>
        <v>1360</v>
      </c>
      <c r="L923" s="56">
        <v>41383</v>
      </c>
      <c r="M923" s="29" t="s">
        <v>167</v>
      </c>
    </row>
    <row r="924" spans="1:32" ht="12" customHeight="1">
      <c r="A924" s="25">
        <v>41380</v>
      </c>
      <c r="B924" s="373" t="s">
        <v>1999</v>
      </c>
      <c r="C924" s="219" t="s">
        <v>163</v>
      </c>
      <c r="D924" s="1" t="s">
        <v>6225</v>
      </c>
      <c r="E924" s="373" t="s">
        <v>6348</v>
      </c>
      <c r="F924" s="205">
        <v>3</v>
      </c>
      <c r="G924" s="373" t="s">
        <v>6349</v>
      </c>
      <c r="H924" s="31">
        <v>133.69999999999999</v>
      </c>
      <c r="I924" s="27">
        <f t="shared" si="36"/>
        <v>401.09999999999997</v>
      </c>
      <c r="L924" s="56">
        <v>41383</v>
      </c>
      <c r="M924" s="29" t="s">
        <v>167</v>
      </c>
      <c r="Q924" s="376" t="s">
        <v>6387</v>
      </c>
    </row>
    <row r="925" spans="1:32" ht="12" customHeight="1">
      <c r="A925" s="25">
        <v>41382</v>
      </c>
      <c r="B925" s="376" t="s">
        <v>1993</v>
      </c>
      <c r="C925" s="219" t="s">
        <v>168</v>
      </c>
      <c r="D925" s="376" t="s">
        <v>5814</v>
      </c>
      <c r="E925" s="376" t="s">
        <v>168</v>
      </c>
      <c r="F925" s="376">
        <v>40</v>
      </c>
      <c r="G925" s="376" t="s">
        <v>1074</v>
      </c>
      <c r="H925" s="31">
        <v>3.8</v>
      </c>
      <c r="I925" s="27">
        <f t="shared" si="36"/>
        <v>152</v>
      </c>
      <c r="J925" s="28" t="s">
        <v>6397</v>
      </c>
      <c r="K925" s="25">
        <v>41382</v>
      </c>
    </row>
    <row r="926" spans="1:32" ht="12" customHeight="1">
      <c r="A926" s="25">
        <v>41382</v>
      </c>
      <c r="B926" s="376" t="s">
        <v>1993</v>
      </c>
      <c r="C926" s="219" t="s">
        <v>168</v>
      </c>
      <c r="D926" s="376" t="s">
        <v>5718</v>
      </c>
      <c r="E926" s="376" t="s">
        <v>168</v>
      </c>
      <c r="F926" s="376">
        <v>30</v>
      </c>
      <c r="G926" s="376" t="s">
        <v>1074</v>
      </c>
      <c r="H926" s="31">
        <v>30</v>
      </c>
      <c r="I926" s="27">
        <f t="shared" si="36"/>
        <v>900</v>
      </c>
      <c r="J926" s="28" t="s">
        <v>6397</v>
      </c>
      <c r="K926" s="25">
        <v>41382</v>
      </c>
    </row>
    <row r="927" spans="1:32" ht="12" customHeight="1">
      <c r="A927" s="25">
        <v>41382</v>
      </c>
      <c r="B927" s="377" t="s">
        <v>5112</v>
      </c>
      <c r="C927" s="219" t="s">
        <v>6438</v>
      </c>
      <c r="D927" s="377" t="s">
        <v>6439</v>
      </c>
      <c r="E927" s="377" t="s">
        <v>6440</v>
      </c>
      <c r="F927" s="377">
        <v>240</v>
      </c>
      <c r="G927" s="377" t="s">
        <v>6441</v>
      </c>
      <c r="H927" s="31">
        <v>35</v>
      </c>
      <c r="I927" s="27">
        <f t="shared" si="36"/>
        <v>8400</v>
      </c>
      <c r="Q927" s="377"/>
      <c r="R927" s="377"/>
      <c r="S927" s="377"/>
      <c r="T927" s="377"/>
      <c r="U927" s="377"/>
      <c r="V927" s="377"/>
      <c r="W927" s="377"/>
      <c r="X927" s="377"/>
      <c r="Y927" s="377"/>
      <c r="Z927" s="377"/>
      <c r="AA927" s="377"/>
      <c r="AB927" s="377"/>
      <c r="AC927" s="377"/>
      <c r="AD927" s="377"/>
      <c r="AE927" s="377"/>
      <c r="AF927" s="377"/>
    </row>
    <row r="928" spans="1:32" ht="12" customHeight="1">
      <c r="A928" s="25">
        <v>41383</v>
      </c>
      <c r="B928" s="377" t="s">
        <v>6412</v>
      </c>
      <c r="C928" s="219" t="s">
        <v>163</v>
      </c>
      <c r="D928" s="377" t="s">
        <v>1957</v>
      </c>
      <c r="E928" s="377">
        <v>8515</v>
      </c>
      <c r="F928" s="205">
        <v>1</v>
      </c>
      <c r="G928" s="377" t="s">
        <v>171</v>
      </c>
      <c r="H928" s="31">
        <v>18.96</v>
      </c>
      <c r="I928" s="27">
        <f t="shared" si="36"/>
        <v>18.96</v>
      </c>
      <c r="J928" s="28" t="s">
        <v>6413</v>
      </c>
      <c r="K928" s="25">
        <v>41383</v>
      </c>
      <c r="N928" s="28" t="s">
        <v>176</v>
      </c>
    </row>
    <row r="929" spans="1:32" ht="12" customHeight="1">
      <c r="A929" s="25">
        <v>41383</v>
      </c>
      <c r="B929" s="377" t="s">
        <v>1994</v>
      </c>
      <c r="C929" s="220" t="s">
        <v>7</v>
      </c>
      <c r="D929" s="377" t="s">
        <v>5009</v>
      </c>
      <c r="E929" s="377" t="s">
        <v>6442</v>
      </c>
      <c r="F929" s="205">
        <v>500</v>
      </c>
      <c r="G929" s="377" t="s">
        <v>6418</v>
      </c>
      <c r="H929" s="31">
        <v>1.35</v>
      </c>
      <c r="I929" s="27">
        <f t="shared" si="36"/>
        <v>675</v>
      </c>
    </row>
    <row r="930" spans="1:32" ht="12" customHeight="1">
      <c r="A930" s="25">
        <v>41383</v>
      </c>
      <c r="B930" s="377" t="s">
        <v>1994</v>
      </c>
      <c r="C930" s="219" t="s">
        <v>163</v>
      </c>
      <c r="D930" s="1" t="s">
        <v>1880</v>
      </c>
      <c r="E930" s="196">
        <v>6006</v>
      </c>
      <c r="F930" s="205">
        <v>20</v>
      </c>
      <c r="G930" s="377" t="s">
        <v>6406</v>
      </c>
      <c r="H930" s="31">
        <v>55.3</v>
      </c>
      <c r="I930" s="27">
        <f t="shared" si="36"/>
        <v>1106</v>
      </c>
    </row>
    <row r="931" spans="1:32" ht="12" customHeight="1">
      <c r="A931" s="25">
        <v>41383</v>
      </c>
      <c r="B931" s="377" t="s">
        <v>1994</v>
      </c>
      <c r="C931" s="219" t="s">
        <v>163</v>
      </c>
      <c r="D931" s="1" t="s">
        <v>1224</v>
      </c>
      <c r="E931" s="196">
        <v>6004</v>
      </c>
      <c r="F931" s="205">
        <v>10</v>
      </c>
      <c r="G931" s="377" t="s">
        <v>6406</v>
      </c>
      <c r="H931" s="31">
        <v>41.6</v>
      </c>
      <c r="I931" s="27">
        <f t="shared" si="36"/>
        <v>416</v>
      </c>
    </row>
    <row r="932" spans="1:32" ht="12" customHeight="1">
      <c r="A932" s="25">
        <v>41383</v>
      </c>
      <c r="B932" s="377" t="s">
        <v>1994</v>
      </c>
      <c r="C932" s="219" t="s">
        <v>864</v>
      </c>
      <c r="D932" s="377" t="s">
        <v>6447</v>
      </c>
      <c r="E932" s="65" t="s">
        <v>863</v>
      </c>
      <c r="F932" s="377">
        <v>7</v>
      </c>
      <c r="G932" s="377" t="s">
        <v>193</v>
      </c>
      <c r="H932" s="31">
        <v>85</v>
      </c>
      <c r="I932" s="27">
        <f t="shared" si="36"/>
        <v>595</v>
      </c>
      <c r="Q932" s="377"/>
      <c r="R932" s="377"/>
      <c r="S932" s="377"/>
      <c r="T932" s="377"/>
      <c r="U932" s="377"/>
      <c r="V932" s="377"/>
      <c r="W932" s="377"/>
      <c r="X932" s="377"/>
      <c r="Y932" s="377"/>
      <c r="Z932" s="377"/>
      <c r="AA932" s="377"/>
      <c r="AB932" s="377"/>
      <c r="AC932" s="377"/>
      <c r="AD932" s="377"/>
      <c r="AE932" s="377"/>
      <c r="AF932" s="377"/>
    </row>
    <row r="933" spans="1:32" ht="12" customHeight="1">
      <c r="A933" s="25">
        <v>41383</v>
      </c>
      <c r="B933" s="377" t="s">
        <v>1993</v>
      </c>
      <c r="C933" s="219" t="s">
        <v>163</v>
      </c>
      <c r="D933" s="1" t="s">
        <v>6446</v>
      </c>
      <c r="E933" s="196">
        <v>6100</v>
      </c>
      <c r="F933" s="205">
        <v>2</v>
      </c>
      <c r="G933" s="377" t="s">
        <v>6406</v>
      </c>
      <c r="H933" s="31">
        <v>87.5</v>
      </c>
      <c r="I933" s="27">
        <f t="shared" si="36"/>
        <v>175</v>
      </c>
      <c r="J933" s="28" t="s">
        <v>6443</v>
      </c>
      <c r="K933" s="25">
        <v>41383</v>
      </c>
    </row>
    <row r="934" spans="1:32" ht="12" customHeight="1">
      <c r="A934" s="25">
        <v>41383</v>
      </c>
      <c r="B934" s="377" t="s">
        <v>1993</v>
      </c>
      <c r="C934" s="219" t="s">
        <v>163</v>
      </c>
      <c r="D934" s="377" t="s">
        <v>241</v>
      </c>
      <c r="E934" s="196">
        <v>6200</v>
      </c>
      <c r="F934" s="205">
        <v>-30</v>
      </c>
      <c r="G934" s="377" t="s">
        <v>6406</v>
      </c>
      <c r="H934" s="31">
        <v>44.5</v>
      </c>
      <c r="I934" s="27">
        <f t="shared" si="36"/>
        <v>-1335</v>
      </c>
      <c r="J934" s="28" t="s">
        <v>6429</v>
      </c>
      <c r="K934" s="25" t="s">
        <v>6444</v>
      </c>
    </row>
    <row r="935" spans="1:32" ht="12" customHeight="1">
      <c r="A935" s="25">
        <v>41383</v>
      </c>
      <c r="B935" s="377" t="s">
        <v>5112</v>
      </c>
      <c r="D935" s="377" t="s">
        <v>6448</v>
      </c>
      <c r="F935" s="205">
        <v>100</v>
      </c>
      <c r="G935" s="377" t="s">
        <v>6405</v>
      </c>
      <c r="H935" s="31">
        <v>20</v>
      </c>
      <c r="I935" s="27">
        <f t="shared" si="36"/>
        <v>2000</v>
      </c>
    </row>
    <row r="936" spans="1:32" ht="12" customHeight="1">
      <c r="A936" s="25">
        <v>41383</v>
      </c>
      <c r="B936" s="312" t="s">
        <v>5167</v>
      </c>
      <c r="C936" s="219" t="s">
        <v>163</v>
      </c>
      <c r="D936" s="1" t="s">
        <v>1774</v>
      </c>
      <c r="E936" s="196">
        <v>1860</v>
      </c>
      <c r="F936" s="205">
        <v>1200</v>
      </c>
      <c r="G936" s="377" t="s">
        <v>6406</v>
      </c>
      <c r="H936" s="31">
        <v>13.2</v>
      </c>
      <c r="I936" s="27">
        <f t="shared" si="36"/>
        <v>15840</v>
      </c>
      <c r="L936" s="56">
        <v>41383</v>
      </c>
      <c r="M936" s="29" t="s">
        <v>6424</v>
      </c>
    </row>
  </sheetData>
  <autoFilter ref="A1:AF936">
    <filterColumn colId="1"/>
    <filterColumn colId="4"/>
    <filterColumn colId="10"/>
    <filterColumn colId="11"/>
  </autoFilter>
  <customSheetViews>
    <customSheetView guid="{E2EBE12A-2EEF-4ED6-A8ED-23574FF31B29}" showAutoFilter="1">
      <pane xSplit="3" ySplit="1" topLeftCell="D321" activePane="bottomRight" state="frozen"/>
      <selection pane="bottomRight" activeCell="B347" sqref="B347"/>
      <pageMargins left="0.23958333333333334" right="0.33958333333333335" top="0.74791666666666667" bottom="0.74791666666666667" header="0.31458333333333333" footer="0.31458333333333333"/>
      <pageSetup paperSize="9" firstPageNumber="4294963191" orientation="landscape" horizontalDpi="200" verticalDpi="200" r:id="rId1"/>
      <headerFooter alignWithMargins="0"/>
      <autoFilter ref="B1:IB1"/>
    </customSheetView>
  </customSheetViews>
  <mergeCells count="1">
    <mergeCell ref="Q2:Q3"/>
  </mergeCells>
  <phoneticPr fontId="22" type="noConversion"/>
  <pageMargins left="0.23958333333333334" right="0.33958333333333335" top="0.74791666666666667" bottom="0.74791666666666667" header="0.31458333333333333" footer="0.31458333333333333"/>
  <pageSetup paperSize="9" firstPageNumber="4294963191" orientation="landscape" horizontalDpi="200" verticalDpi="20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818"/>
  <sheetViews>
    <sheetView topLeftCell="E1" zoomScaleSheetLayoutView="100" workbookViewId="0">
      <pane ySplit="1" topLeftCell="A2" activePane="bottomLeft" state="frozen"/>
      <selection activeCell="I1" sqref="I1"/>
      <selection pane="bottomLeft" activeCell="Q1" sqref="Q1"/>
    </sheetView>
  </sheetViews>
  <sheetFormatPr defaultRowHeight="12"/>
  <cols>
    <col min="1" max="1" width="15.625" style="233" customWidth="1"/>
    <col min="2" max="2" width="28.375" style="1" customWidth="1"/>
    <col min="3" max="3" width="7.5" style="1" customWidth="1"/>
    <col min="4" max="4" width="17.75" style="1" customWidth="1"/>
    <col min="5" max="5" width="12.5" style="1" customWidth="1"/>
    <col min="6" max="6" width="6.5" style="1" customWidth="1"/>
    <col min="7" max="7" width="4.25" style="1" customWidth="1"/>
    <col min="8" max="8" width="9.5" style="234" customWidth="1"/>
    <col min="9" max="9" width="10.625" style="235" customWidth="1"/>
    <col min="10" max="10" width="11.375" style="352" customWidth="1"/>
    <col min="11" max="11" width="15.375" style="250" customWidth="1"/>
    <col min="12" max="12" width="14.375" style="237" customWidth="1"/>
    <col min="13" max="13" width="7.875" style="1" customWidth="1"/>
    <col min="14" max="14" width="12.5" style="1" bestFit="1" customWidth="1"/>
    <col min="15" max="15" width="12.5" style="236" customWidth="1"/>
    <col min="16" max="16" width="16.625" style="238" customWidth="1"/>
    <col min="17" max="17" width="13.375" style="1" customWidth="1"/>
    <col min="18" max="18" width="6.75" style="239" customWidth="1"/>
    <col min="19" max="19" width="11.625" style="238" customWidth="1"/>
    <col min="20" max="20" width="27.625" style="238" customWidth="1"/>
    <col min="21" max="21" width="13.375" style="238" customWidth="1"/>
    <col min="22" max="22" width="12.375" style="238" customWidth="1"/>
    <col min="23" max="23" width="11.625" style="236" customWidth="1"/>
    <col min="24" max="24" width="10.25" style="233" customWidth="1"/>
    <col min="25" max="25" width="13.375" style="238" customWidth="1"/>
    <col min="26" max="26" width="6.875" style="255" customWidth="1"/>
    <col min="27" max="27" width="9.5" style="240" customWidth="1"/>
    <col min="28" max="28" width="9" style="1" bestFit="1"/>
    <col min="29" max="16384" width="9" style="1"/>
  </cols>
  <sheetData>
    <row r="1" spans="1:29" s="175" customFormat="1">
      <c r="A1" s="162" t="s">
        <v>1771</v>
      </c>
      <c r="B1" s="113" t="s">
        <v>367</v>
      </c>
      <c r="C1" s="113" t="s">
        <v>1581</v>
      </c>
      <c r="D1" s="113" t="s">
        <v>218</v>
      </c>
      <c r="E1" s="113" t="s">
        <v>79</v>
      </c>
      <c r="F1" s="163" t="s">
        <v>219</v>
      </c>
      <c r="G1" s="163" t="s">
        <v>220</v>
      </c>
      <c r="H1" s="191" t="s">
        <v>221</v>
      </c>
      <c r="I1" s="116" t="s">
        <v>222</v>
      </c>
      <c r="J1" s="350"/>
      <c r="K1" s="113" t="s">
        <v>368</v>
      </c>
      <c r="L1" s="164" t="s">
        <v>369</v>
      </c>
      <c r="M1" s="165" t="s">
        <v>370</v>
      </c>
      <c r="N1" s="165" t="s">
        <v>6064</v>
      </c>
      <c r="O1" s="347" t="s">
        <v>6065</v>
      </c>
      <c r="P1" s="166" t="s">
        <v>371</v>
      </c>
      <c r="Q1" s="167" t="s">
        <v>372</v>
      </c>
      <c r="R1" s="167" t="s">
        <v>373</v>
      </c>
      <c r="S1" s="168" t="s">
        <v>374</v>
      </c>
      <c r="T1" s="168" t="s">
        <v>2071</v>
      </c>
      <c r="U1" s="168" t="s">
        <v>375</v>
      </c>
      <c r="V1" s="169" t="s">
        <v>2072</v>
      </c>
      <c r="W1" s="170" t="s">
        <v>6460</v>
      </c>
      <c r="X1" s="171" t="s">
        <v>376</v>
      </c>
      <c r="Y1" s="172" t="s">
        <v>2073</v>
      </c>
      <c r="Z1" s="173" t="s">
        <v>2074</v>
      </c>
      <c r="AA1" s="174" t="s">
        <v>228</v>
      </c>
      <c r="AB1" s="175" t="s">
        <v>377</v>
      </c>
      <c r="AC1" s="175" t="s">
        <v>2075</v>
      </c>
    </row>
    <row r="2" spans="1:29" ht="11.25" customHeight="1">
      <c r="A2" s="233">
        <v>41012</v>
      </c>
      <c r="B2" s="1" t="s">
        <v>388</v>
      </c>
      <c r="C2" s="1" t="s">
        <v>2076</v>
      </c>
      <c r="D2" s="1" t="s">
        <v>241</v>
      </c>
      <c r="E2" s="1">
        <v>6200</v>
      </c>
      <c r="F2" s="1">
        <v>6</v>
      </c>
      <c r="G2" s="1" t="s">
        <v>230</v>
      </c>
      <c r="H2" s="234">
        <v>69.8</v>
      </c>
      <c r="I2" s="235">
        <f t="shared" ref="I2:I29" si="0">H2*F2</f>
        <v>418.79999999999995</v>
      </c>
      <c r="J2" s="351"/>
      <c r="K2" s="380">
        <v>857.8</v>
      </c>
      <c r="L2" s="237">
        <v>41208</v>
      </c>
      <c r="M2" s="1" t="s">
        <v>2077</v>
      </c>
      <c r="N2" s="235">
        <f>I2</f>
        <v>418.79999999999995</v>
      </c>
      <c r="O2" s="235">
        <f>I2-N2</f>
        <v>0</v>
      </c>
      <c r="P2" s="238" t="s">
        <v>389</v>
      </c>
      <c r="Q2" s="1" t="s">
        <v>1875</v>
      </c>
      <c r="V2" s="238" t="s">
        <v>2078</v>
      </c>
      <c r="W2" s="236">
        <v>3485.8</v>
      </c>
      <c r="X2" s="233">
        <v>41177</v>
      </c>
      <c r="Y2" s="238">
        <v>23158294061</v>
      </c>
      <c r="Z2" s="239"/>
      <c r="AB2" s="1" t="s">
        <v>2079</v>
      </c>
    </row>
    <row r="3" spans="1:29" ht="11.25" customHeight="1">
      <c r="A3" s="233">
        <v>41012</v>
      </c>
      <c r="B3" s="1" t="s">
        <v>2080</v>
      </c>
      <c r="C3" s="1" t="s">
        <v>2076</v>
      </c>
      <c r="D3" s="1" t="s">
        <v>2081</v>
      </c>
      <c r="E3" s="1" t="s">
        <v>2082</v>
      </c>
      <c r="F3" s="1">
        <v>50</v>
      </c>
      <c r="G3" s="1" t="s">
        <v>232</v>
      </c>
      <c r="H3" s="234">
        <v>12</v>
      </c>
      <c r="I3" s="235">
        <f t="shared" si="0"/>
        <v>600</v>
      </c>
      <c r="J3" s="351"/>
      <c r="K3" s="381"/>
      <c r="L3" s="237">
        <v>41208</v>
      </c>
      <c r="M3" s="1" t="s">
        <v>2077</v>
      </c>
      <c r="N3" s="235">
        <f t="shared" ref="N3:N66" si="1">I3</f>
        <v>600</v>
      </c>
      <c r="O3" s="235">
        <f t="shared" ref="O3:O66" si="2">I3-N3</f>
        <v>0</v>
      </c>
      <c r="P3" s="238" t="s">
        <v>389</v>
      </c>
      <c r="Q3" s="1" t="s">
        <v>1875</v>
      </c>
      <c r="V3" s="238" t="s">
        <v>2078</v>
      </c>
      <c r="W3" s="236">
        <v>3485.8</v>
      </c>
      <c r="X3" s="233">
        <v>41177</v>
      </c>
      <c r="Y3" s="238">
        <v>23158294061</v>
      </c>
      <c r="Z3" s="239"/>
      <c r="AB3" s="1" t="s">
        <v>2079</v>
      </c>
    </row>
    <row r="4" spans="1:29" ht="11.25" customHeight="1">
      <c r="A4" s="233">
        <v>41016</v>
      </c>
      <c r="B4" s="1" t="s">
        <v>380</v>
      </c>
      <c r="C4" s="1" t="s">
        <v>2076</v>
      </c>
      <c r="D4" s="1" t="s">
        <v>723</v>
      </c>
      <c r="E4" s="1" t="s">
        <v>2083</v>
      </c>
      <c r="F4" s="1">
        <v>2000</v>
      </c>
      <c r="G4" s="1" t="s">
        <v>2084</v>
      </c>
      <c r="H4" s="234">
        <v>1.26</v>
      </c>
      <c r="I4" s="236">
        <f t="shared" si="0"/>
        <v>2520</v>
      </c>
      <c r="J4" s="351"/>
      <c r="K4" s="241">
        <v>2240</v>
      </c>
      <c r="L4" s="237">
        <v>41026</v>
      </c>
      <c r="M4" s="1" t="s">
        <v>386</v>
      </c>
      <c r="N4" s="235">
        <f t="shared" si="1"/>
        <v>2520</v>
      </c>
      <c r="O4" s="235">
        <f t="shared" si="2"/>
        <v>0</v>
      </c>
      <c r="P4" s="238" t="s">
        <v>390</v>
      </c>
      <c r="Q4" s="1" t="s">
        <v>1875</v>
      </c>
      <c r="R4" s="239" t="s">
        <v>405</v>
      </c>
      <c r="S4" s="238" t="s">
        <v>406</v>
      </c>
      <c r="V4" s="238" t="s">
        <v>255</v>
      </c>
      <c r="Y4" s="239"/>
      <c r="Z4" s="239"/>
      <c r="AB4" s="1" t="s">
        <v>379</v>
      </c>
    </row>
    <row r="5" spans="1:29" ht="11.25" customHeight="1">
      <c r="A5" s="233">
        <v>41018</v>
      </c>
      <c r="B5" s="1" t="s">
        <v>2085</v>
      </c>
      <c r="C5" s="1" t="s">
        <v>2086</v>
      </c>
      <c r="D5" s="1" t="s">
        <v>355</v>
      </c>
      <c r="E5" s="1" t="s">
        <v>2087</v>
      </c>
      <c r="F5" s="1">
        <v>60</v>
      </c>
      <c r="G5" s="1" t="s">
        <v>230</v>
      </c>
      <c r="H5" s="234">
        <v>25.8</v>
      </c>
      <c r="I5" s="235">
        <f t="shared" si="0"/>
        <v>1548</v>
      </c>
      <c r="J5" s="351"/>
      <c r="K5" s="241">
        <v>1191.5999999999999</v>
      </c>
      <c r="L5" s="237">
        <v>41208</v>
      </c>
      <c r="M5" s="1" t="s">
        <v>2088</v>
      </c>
      <c r="N5" s="235">
        <f t="shared" si="1"/>
        <v>1548</v>
      </c>
      <c r="O5" s="235">
        <f t="shared" si="2"/>
        <v>0</v>
      </c>
      <c r="P5" s="238">
        <v>1002387</v>
      </c>
      <c r="Q5" s="1" t="s">
        <v>1875</v>
      </c>
      <c r="V5" s="238" t="s">
        <v>2089</v>
      </c>
      <c r="W5" s="236">
        <v>3485.8</v>
      </c>
      <c r="X5" s="233">
        <v>41177</v>
      </c>
      <c r="Y5" s="238">
        <v>23158294061</v>
      </c>
      <c r="Z5" s="239"/>
      <c r="AB5" s="1" t="s">
        <v>2090</v>
      </c>
    </row>
    <row r="6" spans="1:29" ht="11.25" customHeight="1">
      <c r="A6" s="233">
        <v>41018</v>
      </c>
      <c r="B6" s="1" t="s">
        <v>388</v>
      </c>
      <c r="C6" s="1" t="s">
        <v>2086</v>
      </c>
      <c r="D6" s="1" t="s">
        <v>233</v>
      </c>
      <c r="E6" s="1" t="s">
        <v>2091</v>
      </c>
      <c r="F6" s="1">
        <v>100</v>
      </c>
      <c r="G6" s="1" t="s">
        <v>232</v>
      </c>
      <c r="H6" s="234">
        <v>7.9</v>
      </c>
      <c r="I6" s="235">
        <f t="shared" si="0"/>
        <v>790</v>
      </c>
      <c r="J6" s="351">
        <v>6.16</v>
      </c>
      <c r="K6" s="241">
        <v>616</v>
      </c>
      <c r="L6" s="237">
        <v>41208</v>
      </c>
      <c r="M6" s="1" t="s">
        <v>2088</v>
      </c>
      <c r="N6" s="235">
        <f t="shared" si="1"/>
        <v>790</v>
      </c>
      <c r="O6" s="235">
        <f t="shared" si="2"/>
        <v>0</v>
      </c>
      <c r="P6" s="238">
        <v>1002387</v>
      </c>
      <c r="Q6" s="1" t="s">
        <v>1875</v>
      </c>
      <c r="V6" s="238" t="s">
        <v>2089</v>
      </c>
      <c r="W6" s="236">
        <v>3485.8</v>
      </c>
      <c r="X6" s="233">
        <v>41177</v>
      </c>
      <c r="Y6" s="238">
        <v>23158294061</v>
      </c>
      <c r="Z6" s="239"/>
      <c r="AB6" s="1" t="s">
        <v>2090</v>
      </c>
    </row>
    <row r="7" spans="1:29" ht="11.25" customHeight="1">
      <c r="A7" s="233">
        <v>41018</v>
      </c>
      <c r="B7" s="1" t="s">
        <v>2085</v>
      </c>
      <c r="C7" s="1" t="s">
        <v>2086</v>
      </c>
      <c r="D7" s="1" t="s">
        <v>264</v>
      </c>
      <c r="E7" s="1">
        <v>501</v>
      </c>
      <c r="F7" s="1">
        <v>60</v>
      </c>
      <c r="G7" s="1" t="s">
        <v>230</v>
      </c>
      <c r="H7" s="234">
        <v>2.15</v>
      </c>
      <c r="I7" s="235">
        <f t="shared" si="0"/>
        <v>129</v>
      </c>
      <c r="J7" s="351">
        <v>1.81</v>
      </c>
      <c r="K7" s="241">
        <v>108.6</v>
      </c>
      <c r="L7" s="237">
        <v>41208</v>
      </c>
      <c r="M7" s="1" t="s">
        <v>2092</v>
      </c>
      <c r="N7" s="235">
        <f t="shared" si="1"/>
        <v>129</v>
      </c>
      <c r="O7" s="235">
        <f t="shared" si="2"/>
        <v>0</v>
      </c>
      <c r="P7" s="238">
        <v>1002387</v>
      </c>
      <c r="Q7" s="1" t="s">
        <v>1875</v>
      </c>
      <c r="V7" s="238" t="s">
        <v>2093</v>
      </c>
      <c r="W7" s="236">
        <v>3485.8</v>
      </c>
      <c r="X7" s="233">
        <v>41177</v>
      </c>
      <c r="Y7" s="238">
        <v>23158294061</v>
      </c>
      <c r="Z7" s="239"/>
      <c r="AB7" s="1" t="s">
        <v>2094</v>
      </c>
    </row>
    <row r="8" spans="1:29" ht="11.25" customHeight="1">
      <c r="A8" s="233">
        <v>41018</v>
      </c>
      <c r="B8" s="1" t="s">
        <v>391</v>
      </c>
      <c r="C8" s="1" t="s">
        <v>2095</v>
      </c>
      <c r="D8" s="1" t="s">
        <v>2023</v>
      </c>
      <c r="E8" s="1" t="s">
        <v>2096</v>
      </c>
      <c r="F8" s="1">
        <v>5</v>
      </c>
      <c r="G8" s="1" t="s">
        <v>240</v>
      </c>
      <c r="H8" s="234">
        <v>35.1</v>
      </c>
      <c r="I8" s="236">
        <f t="shared" si="0"/>
        <v>175.5</v>
      </c>
      <c r="J8" s="351"/>
      <c r="K8" s="241">
        <v>150.75</v>
      </c>
      <c r="L8" s="237">
        <v>41018</v>
      </c>
      <c r="M8" s="1" t="s">
        <v>302</v>
      </c>
      <c r="N8" s="235">
        <f t="shared" si="1"/>
        <v>175.5</v>
      </c>
      <c r="O8" s="235">
        <f t="shared" si="2"/>
        <v>0</v>
      </c>
      <c r="P8" s="238" t="s">
        <v>392</v>
      </c>
      <c r="Q8" s="1" t="s">
        <v>393</v>
      </c>
      <c r="T8" s="238" t="s">
        <v>797</v>
      </c>
      <c r="Y8" s="239"/>
      <c r="Z8" s="239"/>
      <c r="AB8" s="1" t="s">
        <v>379</v>
      </c>
    </row>
    <row r="9" spans="1:29" ht="11.25" customHeight="1">
      <c r="A9" s="233">
        <v>41018</v>
      </c>
      <c r="B9" s="1" t="s">
        <v>391</v>
      </c>
      <c r="C9" s="1" t="s">
        <v>2095</v>
      </c>
      <c r="D9" s="1" t="s">
        <v>2024</v>
      </c>
      <c r="E9" s="1">
        <v>10434</v>
      </c>
      <c r="F9" s="1">
        <v>15</v>
      </c>
      <c r="G9" s="1" t="s">
        <v>240</v>
      </c>
      <c r="H9" s="234">
        <v>18.72</v>
      </c>
      <c r="I9" s="236">
        <f t="shared" si="0"/>
        <v>280.79999999999995</v>
      </c>
      <c r="J9" s="351"/>
      <c r="K9" s="241">
        <v>241.2</v>
      </c>
      <c r="L9" s="237">
        <v>41018</v>
      </c>
      <c r="M9" s="1" t="s">
        <v>302</v>
      </c>
      <c r="N9" s="235">
        <f t="shared" si="1"/>
        <v>280.79999999999995</v>
      </c>
      <c r="O9" s="235">
        <f t="shared" si="2"/>
        <v>0</v>
      </c>
      <c r="P9" s="238" t="s">
        <v>392</v>
      </c>
      <c r="Q9" s="1" t="s">
        <v>393</v>
      </c>
      <c r="T9" s="238" t="s">
        <v>797</v>
      </c>
      <c r="Y9" s="239"/>
      <c r="Z9" s="239"/>
      <c r="AB9" s="1" t="s">
        <v>379</v>
      </c>
    </row>
    <row r="10" spans="1:29" ht="11.25" customHeight="1">
      <c r="A10" s="233">
        <v>41018</v>
      </c>
      <c r="B10" s="1" t="s">
        <v>391</v>
      </c>
      <c r="C10" s="1" t="s">
        <v>2095</v>
      </c>
      <c r="D10" s="1" t="s">
        <v>309</v>
      </c>
      <c r="E10" s="1">
        <v>1110</v>
      </c>
      <c r="F10" s="1">
        <v>50</v>
      </c>
      <c r="G10" s="1" t="s">
        <v>240</v>
      </c>
      <c r="H10" s="234">
        <v>0.86</v>
      </c>
      <c r="I10" s="236">
        <f t="shared" si="0"/>
        <v>43</v>
      </c>
      <c r="J10" s="351"/>
      <c r="K10" s="241">
        <v>40</v>
      </c>
      <c r="L10" s="237">
        <v>41018</v>
      </c>
      <c r="M10" s="1" t="s">
        <v>302</v>
      </c>
      <c r="N10" s="235">
        <f t="shared" si="1"/>
        <v>43</v>
      </c>
      <c r="O10" s="235">
        <f t="shared" si="2"/>
        <v>0</v>
      </c>
      <c r="P10" s="238" t="s">
        <v>392</v>
      </c>
      <c r="Q10" s="1" t="s">
        <v>393</v>
      </c>
      <c r="T10" s="238" t="s">
        <v>797</v>
      </c>
      <c r="Y10" s="239"/>
      <c r="Z10" s="239"/>
      <c r="AB10" s="1" t="s">
        <v>379</v>
      </c>
    </row>
    <row r="11" spans="1:29" ht="11.25" customHeight="1">
      <c r="A11" s="233">
        <v>41018</v>
      </c>
      <c r="B11" s="1" t="s">
        <v>378</v>
      </c>
      <c r="C11" s="1" t="s">
        <v>2095</v>
      </c>
      <c r="D11" s="1" t="s">
        <v>845</v>
      </c>
      <c r="E11" s="1">
        <v>16618</v>
      </c>
      <c r="F11" s="1">
        <v>20</v>
      </c>
      <c r="G11" s="1" t="s">
        <v>240</v>
      </c>
      <c r="H11" s="234">
        <v>39.6</v>
      </c>
      <c r="I11" s="236">
        <f t="shared" si="0"/>
        <v>792</v>
      </c>
      <c r="J11" s="351"/>
      <c r="K11" s="241">
        <v>737</v>
      </c>
      <c r="L11" s="237">
        <v>41037</v>
      </c>
      <c r="M11" s="1" t="s">
        <v>2097</v>
      </c>
      <c r="N11" s="235">
        <f t="shared" si="1"/>
        <v>792</v>
      </c>
      <c r="O11" s="235">
        <f t="shared" si="2"/>
        <v>0</v>
      </c>
      <c r="P11" s="238" t="s">
        <v>394</v>
      </c>
      <c r="Q11" s="1" t="s">
        <v>1875</v>
      </c>
      <c r="V11" s="238" t="s">
        <v>2098</v>
      </c>
      <c r="W11" s="236">
        <v>5992.1</v>
      </c>
      <c r="X11" s="233">
        <v>41109</v>
      </c>
      <c r="Y11" s="242">
        <v>468490602767</v>
      </c>
      <c r="Z11" s="242"/>
      <c r="AB11" s="1" t="s">
        <v>379</v>
      </c>
    </row>
    <row r="12" spans="1:29" ht="11.25" customHeight="1">
      <c r="A12" s="233">
        <v>41025</v>
      </c>
      <c r="B12" s="1" t="s">
        <v>2099</v>
      </c>
      <c r="C12" s="1" t="s">
        <v>2095</v>
      </c>
      <c r="D12" s="1" t="s">
        <v>2025</v>
      </c>
      <c r="E12" s="1" t="s">
        <v>2100</v>
      </c>
      <c r="F12" s="1">
        <v>1000</v>
      </c>
      <c r="G12" s="1" t="s">
        <v>2101</v>
      </c>
      <c r="H12" s="234">
        <v>1.3</v>
      </c>
      <c r="I12" s="236">
        <f t="shared" si="0"/>
        <v>1300</v>
      </c>
      <c r="J12" s="351"/>
      <c r="K12" s="241">
        <v>1240</v>
      </c>
      <c r="L12" s="237">
        <v>41026</v>
      </c>
      <c r="M12" s="236" t="s">
        <v>386</v>
      </c>
      <c r="N12" s="235">
        <f t="shared" si="1"/>
        <v>1300</v>
      </c>
      <c r="O12" s="235">
        <f t="shared" si="2"/>
        <v>0</v>
      </c>
      <c r="P12" s="238" t="s">
        <v>395</v>
      </c>
      <c r="Q12" s="1" t="s">
        <v>396</v>
      </c>
      <c r="R12" s="239" t="s">
        <v>397</v>
      </c>
      <c r="S12" s="238" t="s">
        <v>398</v>
      </c>
      <c r="U12" s="238" t="s">
        <v>399</v>
      </c>
      <c r="V12" s="238" t="s">
        <v>255</v>
      </c>
      <c r="Y12" s="239"/>
      <c r="Z12" s="239"/>
      <c r="AA12" s="240" t="s">
        <v>400</v>
      </c>
      <c r="AB12" s="1" t="s">
        <v>379</v>
      </c>
    </row>
    <row r="13" spans="1:29" ht="11.25" customHeight="1">
      <c r="A13" s="233">
        <v>41025</v>
      </c>
      <c r="B13" s="1" t="s">
        <v>2102</v>
      </c>
      <c r="C13" s="1" t="s">
        <v>2086</v>
      </c>
      <c r="D13" s="5" t="s">
        <v>2103</v>
      </c>
      <c r="E13" s="1" t="s">
        <v>2104</v>
      </c>
      <c r="F13" s="1">
        <v>1000</v>
      </c>
      <c r="G13" s="1" t="s">
        <v>5002</v>
      </c>
      <c r="H13" s="234">
        <v>1.74</v>
      </c>
      <c r="I13" s="236">
        <f t="shared" si="0"/>
        <v>1740</v>
      </c>
      <c r="J13" s="351">
        <v>1.66</v>
      </c>
      <c r="K13" s="241">
        <v>1660</v>
      </c>
      <c r="L13" s="237">
        <v>41026</v>
      </c>
      <c r="M13" s="236" t="s">
        <v>386</v>
      </c>
      <c r="N13" s="235">
        <f t="shared" si="1"/>
        <v>1740</v>
      </c>
      <c r="O13" s="235">
        <f t="shared" si="2"/>
        <v>0</v>
      </c>
      <c r="P13" s="238" t="s">
        <v>395</v>
      </c>
      <c r="Q13" s="1" t="s">
        <v>396</v>
      </c>
      <c r="R13" s="239" t="s">
        <v>397</v>
      </c>
      <c r="S13" s="238" t="s">
        <v>398</v>
      </c>
      <c r="U13" s="238" t="s">
        <v>399</v>
      </c>
      <c r="V13" s="238" t="s">
        <v>255</v>
      </c>
      <c r="Y13" s="239"/>
      <c r="Z13" s="239"/>
      <c r="AA13" s="240" t="s">
        <v>400</v>
      </c>
      <c r="AB13" s="1" t="s">
        <v>379</v>
      </c>
    </row>
    <row r="14" spans="1:29" ht="11.25" customHeight="1">
      <c r="A14" s="233">
        <v>41025</v>
      </c>
      <c r="B14" s="1" t="s">
        <v>2102</v>
      </c>
      <c r="C14" s="1" t="s">
        <v>2086</v>
      </c>
      <c r="D14" s="1" t="s">
        <v>2105</v>
      </c>
      <c r="E14" s="1" t="s">
        <v>2106</v>
      </c>
      <c r="F14" s="1">
        <v>500</v>
      </c>
      <c r="G14" s="1" t="s">
        <v>2107</v>
      </c>
      <c r="H14" s="234">
        <v>3.46</v>
      </c>
      <c r="I14" s="236">
        <f t="shared" si="0"/>
        <v>1730</v>
      </c>
      <c r="J14" s="351">
        <v>3.31</v>
      </c>
      <c r="K14" s="241">
        <v>1655</v>
      </c>
      <c r="L14" s="237">
        <v>41026</v>
      </c>
      <c r="M14" s="236" t="s">
        <v>386</v>
      </c>
      <c r="N14" s="235">
        <f t="shared" si="1"/>
        <v>1730</v>
      </c>
      <c r="O14" s="235">
        <f t="shared" si="2"/>
        <v>0</v>
      </c>
      <c r="P14" s="238" t="s">
        <v>395</v>
      </c>
      <c r="Q14" s="1" t="s">
        <v>396</v>
      </c>
      <c r="R14" s="239" t="s">
        <v>397</v>
      </c>
      <c r="S14" s="238" t="s">
        <v>398</v>
      </c>
      <c r="U14" s="238" t="s">
        <v>399</v>
      </c>
      <c r="V14" s="238" t="s">
        <v>255</v>
      </c>
      <c r="Y14" s="239"/>
      <c r="Z14" s="239"/>
      <c r="AA14" s="240" t="s">
        <v>400</v>
      </c>
      <c r="AB14" s="1" t="s">
        <v>379</v>
      </c>
    </row>
    <row r="15" spans="1:29" ht="11.25" customHeight="1">
      <c r="A15" s="233">
        <v>41025</v>
      </c>
      <c r="B15" s="1" t="s">
        <v>2102</v>
      </c>
      <c r="C15" s="1" t="s">
        <v>2086</v>
      </c>
      <c r="D15" s="1" t="s">
        <v>2108</v>
      </c>
      <c r="E15" s="1" t="s">
        <v>2109</v>
      </c>
      <c r="F15" s="1">
        <v>20</v>
      </c>
      <c r="G15" s="1" t="s">
        <v>240</v>
      </c>
      <c r="H15" s="234">
        <v>16.100000000000001</v>
      </c>
      <c r="I15" s="236">
        <f t="shared" si="0"/>
        <v>322</v>
      </c>
      <c r="J15" s="351"/>
      <c r="K15" s="241">
        <v>308.2</v>
      </c>
      <c r="L15" s="237">
        <v>41026</v>
      </c>
      <c r="M15" s="236" t="s">
        <v>386</v>
      </c>
      <c r="N15" s="235">
        <f t="shared" si="1"/>
        <v>322</v>
      </c>
      <c r="O15" s="235">
        <f t="shared" si="2"/>
        <v>0</v>
      </c>
      <c r="P15" s="238" t="s">
        <v>395</v>
      </c>
      <c r="Q15" s="1" t="s">
        <v>396</v>
      </c>
      <c r="R15" s="239" t="s">
        <v>397</v>
      </c>
      <c r="S15" s="238" t="s">
        <v>398</v>
      </c>
      <c r="U15" s="238" t="s">
        <v>399</v>
      </c>
      <c r="V15" s="238" t="s">
        <v>255</v>
      </c>
      <c r="Y15" s="239"/>
      <c r="Z15" s="239"/>
      <c r="AA15" s="240" t="s">
        <v>400</v>
      </c>
      <c r="AB15" s="1" t="s">
        <v>379</v>
      </c>
    </row>
    <row r="16" spans="1:29" ht="11.25" customHeight="1">
      <c r="A16" s="233">
        <v>41025</v>
      </c>
      <c r="B16" s="1" t="s">
        <v>2102</v>
      </c>
      <c r="C16" s="1" t="s">
        <v>2086</v>
      </c>
      <c r="D16" s="1" t="s">
        <v>2110</v>
      </c>
      <c r="E16" s="1">
        <v>12308</v>
      </c>
      <c r="F16" s="1">
        <v>20</v>
      </c>
      <c r="G16" s="1" t="s">
        <v>240</v>
      </c>
      <c r="H16" s="234">
        <v>20.3</v>
      </c>
      <c r="I16" s="236">
        <f t="shared" si="0"/>
        <v>406</v>
      </c>
      <c r="J16" s="351"/>
      <c r="K16" s="241">
        <v>388.6</v>
      </c>
      <c r="L16" s="237">
        <v>41026</v>
      </c>
      <c r="M16" s="236" t="s">
        <v>386</v>
      </c>
      <c r="N16" s="235">
        <f t="shared" si="1"/>
        <v>406</v>
      </c>
      <c r="O16" s="235">
        <f t="shared" si="2"/>
        <v>0</v>
      </c>
      <c r="P16" s="238" t="s">
        <v>395</v>
      </c>
      <c r="Q16" s="1" t="s">
        <v>396</v>
      </c>
      <c r="R16" s="239" t="s">
        <v>397</v>
      </c>
      <c r="S16" s="238" t="s">
        <v>398</v>
      </c>
      <c r="U16" s="238" t="s">
        <v>399</v>
      </c>
      <c r="V16" s="238" t="s">
        <v>255</v>
      </c>
      <c r="Y16" s="239"/>
      <c r="Z16" s="239"/>
      <c r="AA16" s="240" t="s">
        <v>400</v>
      </c>
      <c r="AB16" s="1" t="s">
        <v>379</v>
      </c>
    </row>
    <row r="17" spans="1:28" ht="11.25" customHeight="1">
      <c r="A17" s="233">
        <v>41025</v>
      </c>
      <c r="B17" s="1" t="s">
        <v>2102</v>
      </c>
      <c r="C17" s="1" t="s">
        <v>2086</v>
      </c>
      <c r="D17" s="1" t="s">
        <v>2111</v>
      </c>
      <c r="E17" s="1">
        <v>10434</v>
      </c>
      <c r="F17" s="1">
        <v>20</v>
      </c>
      <c r="G17" s="1" t="s">
        <v>240</v>
      </c>
      <c r="H17" s="234">
        <v>16.8</v>
      </c>
      <c r="I17" s="236">
        <f t="shared" si="0"/>
        <v>336</v>
      </c>
      <c r="J17" s="351"/>
      <c r="K17" s="241">
        <v>321.59999999999997</v>
      </c>
      <c r="L17" s="237">
        <v>41026</v>
      </c>
      <c r="M17" s="236" t="s">
        <v>386</v>
      </c>
      <c r="N17" s="235">
        <f t="shared" si="1"/>
        <v>336</v>
      </c>
      <c r="O17" s="235">
        <f t="shared" si="2"/>
        <v>0</v>
      </c>
      <c r="P17" s="238" t="s">
        <v>395</v>
      </c>
      <c r="Q17" s="1" t="s">
        <v>396</v>
      </c>
      <c r="R17" s="239" t="s">
        <v>397</v>
      </c>
      <c r="S17" s="238" t="s">
        <v>398</v>
      </c>
      <c r="U17" s="238" t="s">
        <v>399</v>
      </c>
      <c r="V17" s="238" t="s">
        <v>255</v>
      </c>
      <c r="Y17" s="239"/>
      <c r="Z17" s="239"/>
      <c r="AA17" s="240" t="s">
        <v>400</v>
      </c>
      <c r="AB17" s="1" t="s">
        <v>379</v>
      </c>
    </row>
    <row r="18" spans="1:28" ht="11.25" customHeight="1">
      <c r="A18" s="233">
        <v>41026</v>
      </c>
      <c r="B18" s="1" t="s">
        <v>2112</v>
      </c>
      <c r="C18" s="1" t="s">
        <v>2086</v>
      </c>
      <c r="D18" s="1" t="s">
        <v>2113</v>
      </c>
      <c r="E18" s="1" t="s">
        <v>2114</v>
      </c>
      <c r="F18" s="1">
        <v>150</v>
      </c>
      <c r="G18" s="1" t="s">
        <v>2115</v>
      </c>
      <c r="H18" s="234">
        <v>1.8</v>
      </c>
      <c r="I18" s="236">
        <f t="shared" si="0"/>
        <v>270</v>
      </c>
      <c r="J18" s="351"/>
      <c r="K18" s="241">
        <v>0</v>
      </c>
      <c r="L18" s="237">
        <v>41026</v>
      </c>
      <c r="M18" s="1" t="s">
        <v>302</v>
      </c>
      <c r="N18" s="235">
        <f t="shared" si="1"/>
        <v>270</v>
      </c>
      <c r="O18" s="235">
        <f t="shared" si="2"/>
        <v>0</v>
      </c>
      <c r="P18" s="238" t="s">
        <v>402</v>
      </c>
      <c r="Q18" s="1" t="s">
        <v>1875</v>
      </c>
      <c r="V18" s="238" t="s">
        <v>255</v>
      </c>
      <c r="Y18" s="239"/>
      <c r="Z18" s="239"/>
      <c r="AB18" s="1" t="s">
        <v>384</v>
      </c>
    </row>
    <row r="19" spans="1:28" ht="11.25" customHeight="1">
      <c r="A19" s="233">
        <v>41027</v>
      </c>
      <c r="B19" s="1" t="s">
        <v>380</v>
      </c>
      <c r="C19" s="1" t="s">
        <v>2086</v>
      </c>
      <c r="D19" s="1" t="s">
        <v>1216</v>
      </c>
      <c r="E19" s="1">
        <v>3200</v>
      </c>
      <c r="F19" s="1">
        <v>40</v>
      </c>
      <c r="G19" s="1" t="s">
        <v>230</v>
      </c>
      <c r="H19" s="234">
        <v>30.471</v>
      </c>
      <c r="I19" s="236">
        <f>H19*F19</f>
        <v>1218.8399999999999</v>
      </c>
      <c r="J19" s="351"/>
      <c r="K19" s="241">
        <v>1166.5999999999999</v>
      </c>
      <c r="L19" s="237">
        <v>41085</v>
      </c>
      <c r="M19" s="1" t="s">
        <v>2116</v>
      </c>
      <c r="N19" s="235">
        <f t="shared" si="1"/>
        <v>1218.8399999999999</v>
      </c>
      <c r="O19" s="235">
        <f t="shared" si="2"/>
        <v>0</v>
      </c>
      <c r="P19" s="238" t="s">
        <v>403</v>
      </c>
      <c r="Q19" s="1" t="s">
        <v>404</v>
      </c>
      <c r="R19" s="239" t="s">
        <v>405</v>
      </c>
      <c r="S19" s="238" t="s">
        <v>406</v>
      </c>
      <c r="U19" s="238" t="s">
        <v>407</v>
      </c>
      <c r="V19" s="238" t="s">
        <v>255</v>
      </c>
      <c r="Y19" s="239"/>
      <c r="Z19" s="239"/>
      <c r="AB19" s="1" t="s">
        <v>379</v>
      </c>
    </row>
    <row r="20" spans="1:28" ht="11.25" customHeight="1">
      <c r="A20" s="233">
        <v>41027</v>
      </c>
      <c r="B20" s="1" t="s">
        <v>380</v>
      </c>
      <c r="C20" s="1" t="s">
        <v>2086</v>
      </c>
      <c r="D20" s="1" t="s">
        <v>2117</v>
      </c>
      <c r="E20" s="1" t="s">
        <v>2118</v>
      </c>
      <c r="F20" s="1">
        <v>30</v>
      </c>
      <c r="G20" s="1" t="s">
        <v>230</v>
      </c>
      <c r="H20" s="234">
        <v>14.32</v>
      </c>
      <c r="I20" s="236">
        <f t="shared" si="0"/>
        <v>429.6</v>
      </c>
      <c r="J20" s="352">
        <v>13.326000000000001</v>
      </c>
      <c r="K20" s="241">
        <v>399.78</v>
      </c>
      <c r="L20" s="237">
        <v>41085</v>
      </c>
      <c r="M20" s="1" t="s">
        <v>2116</v>
      </c>
      <c r="N20" s="235">
        <f t="shared" si="1"/>
        <v>429.6</v>
      </c>
      <c r="O20" s="235">
        <f t="shared" si="2"/>
        <v>0</v>
      </c>
      <c r="P20" s="238" t="s">
        <v>403</v>
      </c>
      <c r="Q20" s="1" t="s">
        <v>404</v>
      </c>
      <c r="R20" s="239" t="s">
        <v>405</v>
      </c>
      <c r="S20" s="238" t="s">
        <v>2119</v>
      </c>
      <c r="U20" s="238" t="s">
        <v>407</v>
      </c>
      <c r="V20" s="238" t="s">
        <v>255</v>
      </c>
      <c r="Y20" s="239"/>
      <c r="Z20" s="239"/>
      <c r="AB20" s="1" t="s">
        <v>379</v>
      </c>
    </row>
    <row r="21" spans="1:28" ht="11.25" customHeight="1">
      <c r="A21" s="233">
        <v>41027</v>
      </c>
      <c r="B21" s="1" t="s">
        <v>380</v>
      </c>
      <c r="C21" s="1" t="s">
        <v>2086</v>
      </c>
      <c r="D21" s="1" t="s">
        <v>2120</v>
      </c>
      <c r="E21" s="1">
        <v>6200</v>
      </c>
      <c r="F21" s="1">
        <v>15</v>
      </c>
      <c r="G21" s="1" t="s">
        <v>230</v>
      </c>
      <c r="H21" s="234">
        <v>59.38</v>
      </c>
      <c r="I21" s="236">
        <f t="shared" si="0"/>
        <v>890.7</v>
      </c>
      <c r="J21" s="351"/>
      <c r="K21" s="241">
        <v>796.17</v>
      </c>
      <c r="L21" s="237">
        <v>41085</v>
      </c>
      <c r="M21" s="1" t="s">
        <v>2116</v>
      </c>
      <c r="N21" s="235">
        <f t="shared" si="1"/>
        <v>890.7</v>
      </c>
      <c r="O21" s="235">
        <f t="shared" si="2"/>
        <v>0</v>
      </c>
      <c r="P21" s="238" t="s">
        <v>403</v>
      </c>
      <c r="Q21" s="1" t="s">
        <v>404</v>
      </c>
      <c r="R21" s="239" t="s">
        <v>405</v>
      </c>
      <c r="S21" s="238" t="s">
        <v>406</v>
      </c>
      <c r="U21" s="238" t="s">
        <v>407</v>
      </c>
      <c r="V21" s="238" t="s">
        <v>255</v>
      </c>
      <c r="Y21" s="239"/>
      <c r="Z21" s="239"/>
      <c r="AB21" s="1" t="s">
        <v>379</v>
      </c>
    </row>
    <row r="22" spans="1:28" ht="11.25" customHeight="1">
      <c r="A22" s="233">
        <v>41027</v>
      </c>
      <c r="B22" s="1" t="s">
        <v>380</v>
      </c>
      <c r="C22" s="1" t="s">
        <v>2086</v>
      </c>
      <c r="D22" s="1" t="s">
        <v>355</v>
      </c>
      <c r="E22" s="1" t="s">
        <v>2087</v>
      </c>
      <c r="F22" s="1">
        <v>70</v>
      </c>
      <c r="G22" s="1" t="s">
        <v>230</v>
      </c>
      <c r="H22" s="234">
        <v>20.75</v>
      </c>
      <c r="I22" s="236">
        <f t="shared" si="0"/>
        <v>1452.5</v>
      </c>
      <c r="J22" s="351"/>
      <c r="K22" s="241">
        <v>1390.116</v>
      </c>
      <c r="L22" s="237">
        <v>41085</v>
      </c>
      <c r="M22" s="1" t="s">
        <v>2116</v>
      </c>
      <c r="N22" s="235">
        <f t="shared" si="1"/>
        <v>1452.5</v>
      </c>
      <c r="O22" s="235">
        <f t="shared" si="2"/>
        <v>0</v>
      </c>
      <c r="P22" s="238" t="s">
        <v>403</v>
      </c>
      <c r="Q22" s="1" t="s">
        <v>404</v>
      </c>
      <c r="R22" s="239" t="s">
        <v>405</v>
      </c>
      <c r="S22" s="238" t="s">
        <v>406</v>
      </c>
      <c r="U22" s="238" t="s">
        <v>407</v>
      </c>
      <c r="V22" s="238" t="s">
        <v>255</v>
      </c>
      <c r="Y22" s="239"/>
      <c r="Z22" s="239"/>
      <c r="AB22" s="1" t="s">
        <v>379</v>
      </c>
    </row>
    <row r="23" spans="1:28" ht="11.25" customHeight="1">
      <c r="A23" s="233">
        <v>41027</v>
      </c>
      <c r="B23" s="1" t="s">
        <v>2121</v>
      </c>
      <c r="C23" s="1" t="s">
        <v>2086</v>
      </c>
      <c r="D23" s="1" t="s">
        <v>269</v>
      </c>
      <c r="E23" s="1" t="s">
        <v>2122</v>
      </c>
      <c r="F23" s="1">
        <v>100</v>
      </c>
      <c r="G23" s="1" t="s">
        <v>232</v>
      </c>
      <c r="H23" s="234">
        <v>1.526</v>
      </c>
      <c r="I23" s="236">
        <f t="shared" si="0"/>
        <v>152.6</v>
      </c>
      <c r="J23" s="352">
        <v>1.484</v>
      </c>
      <c r="K23" s="241">
        <v>148.4</v>
      </c>
      <c r="L23" s="237">
        <v>41085</v>
      </c>
      <c r="M23" s="1" t="s">
        <v>2116</v>
      </c>
      <c r="N23" s="235">
        <f t="shared" si="1"/>
        <v>152.6</v>
      </c>
      <c r="O23" s="235">
        <f t="shared" si="2"/>
        <v>0</v>
      </c>
      <c r="P23" s="238" t="s">
        <v>4918</v>
      </c>
      <c r="Q23" s="1" t="s">
        <v>404</v>
      </c>
      <c r="R23" s="239" t="s">
        <v>405</v>
      </c>
      <c r="S23" s="238" t="s">
        <v>406</v>
      </c>
      <c r="U23" s="238" t="s">
        <v>407</v>
      </c>
      <c r="V23" s="238" t="s">
        <v>255</v>
      </c>
      <c r="Y23" s="239"/>
      <c r="Z23" s="239"/>
      <c r="AB23" s="1" t="s">
        <v>379</v>
      </c>
    </row>
    <row r="24" spans="1:28" ht="11.25" customHeight="1">
      <c r="A24" s="233">
        <v>41027</v>
      </c>
      <c r="B24" s="1" t="s">
        <v>391</v>
      </c>
      <c r="C24" s="1" t="s">
        <v>2086</v>
      </c>
      <c r="D24" s="1" t="s">
        <v>264</v>
      </c>
      <c r="E24" s="1">
        <v>501</v>
      </c>
      <c r="F24" s="1">
        <v>10</v>
      </c>
      <c r="G24" s="1" t="s">
        <v>230</v>
      </c>
      <c r="H24" s="234">
        <v>1.89</v>
      </c>
      <c r="I24" s="236">
        <f t="shared" si="0"/>
        <v>18.899999999999999</v>
      </c>
      <c r="J24" s="351">
        <v>1.75</v>
      </c>
      <c r="K24" s="241">
        <v>17.5</v>
      </c>
      <c r="L24" s="237">
        <v>41027</v>
      </c>
      <c r="M24" s="1" t="s">
        <v>302</v>
      </c>
      <c r="N24" s="235">
        <f t="shared" si="1"/>
        <v>18.899999999999999</v>
      </c>
      <c r="O24" s="235">
        <f t="shared" si="2"/>
        <v>0</v>
      </c>
      <c r="P24" s="238" t="s">
        <v>408</v>
      </c>
      <c r="Q24" s="1" t="s">
        <v>393</v>
      </c>
      <c r="T24" s="238" t="s">
        <v>797</v>
      </c>
      <c r="Y24" s="239"/>
      <c r="Z24" s="239"/>
      <c r="AA24" s="240" t="s">
        <v>400</v>
      </c>
      <c r="AB24" s="1" t="s">
        <v>379</v>
      </c>
    </row>
    <row r="25" spans="1:28" ht="11.25" customHeight="1">
      <c r="A25" s="233">
        <v>41027</v>
      </c>
      <c r="B25" s="1" t="s">
        <v>391</v>
      </c>
      <c r="C25" s="1" t="s">
        <v>2095</v>
      </c>
      <c r="D25" s="1" t="s">
        <v>233</v>
      </c>
      <c r="E25" s="1" t="s">
        <v>2123</v>
      </c>
      <c r="F25" s="1">
        <v>10</v>
      </c>
      <c r="G25" s="1" t="s">
        <v>232</v>
      </c>
      <c r="H25" s="234">
        <v>6.9</v>
      </c>
      <c r="I25" s="236">
        <f t="shared" si="0"/>
        <v>69</v>
      </c>
      <c r="J25" s="351">
        <v>6</v>
      </c>
      <c r="K25" s="241">
        <v>60</v>
      </c>
      <c r="L25" s="237">
        <v>41027</v>
      </c>
      <c r="M25" s="1" t="s">
        <v>302</v>
      </c>
      <c r="N25" s="235">
        <f t="shared" si="1"/>
        <v>69</v>
      </c>
      <c r="O25" s="235">
        <f t="shared" si="2"/>
        <v>0</v>
      </c>
      <c r="P25" s="238" t="s">
        <v>408</v>
      </c>
      <c r="Q25" s="1" t="s">
        <v>393</v>
      </c>
      <c r="T25" s="238" t="s">
        <v>797</v>
      </c>
      <c r="Y25" s="239"/>
      <c r="Z25" s="239"/>
      <c r="AA25" s="240" t="s">
        <v>400</v>
      </c>
      <c r="AB25" s="1" t="s">
        <v>379</v>
      </c>
    </row>
    <row r="26" spans="1:28" ht="11.25" customHeight="1">
      <c r="A26" s="233">
        <v>41027</v>
      </c>
      <c r="B26" s="1" t="s">
        <v>2124</v>
      </c>
      <c r="C26" s="1" t="s">
        <v>2095</v>
      </c>
      <c r="D26" s="5" t="s">
        <v>2029</v>
      </c>
      <c r="E26" s="1">
        <v>7502</v>
      </c>
      <c r="F26" s="1">
        <v>5</v>
      </c>
      <c r="G26" s="1" t="s">
        <v>230</v>
      </c>
      <c r="H26" s="234">
        <v>139.52000000000001</v>
      </c>
      <c r="I26" s="236">
        <f t="shared" si="0"/>
        <v>697.6</v>
      </c>
      <c r="J26" s="351"/>
      <c r="K26" s="241">
        <v>625</v>
      </c>
      <c r="L26" s="237">
        <v>41027</v>
      </c>
      <c r="M26" s="1" t="s">
        <v>302</v>
      </c>
      <c r="N26" s="235">
        <f t="shared" si="1"/>
        <v>697.6</v>
      </c>
      <c r="O26" s="235">
        <f t="shared" si="2"/>
        <v>0</v>
      </c>
      <c r="P26" s="238" t="s">
        <v>408</v>
      </c>
      <c r="Q26" s="1" t="s">
        <v>393</v>
      </c>
      <c r="T26" s="238" t="s">
        <v>797</v>
      </c>
      <c r="Y26" s="239"/>
      <c r="Z26" s="239"/>
      <c r="AA26" s="240" t="s">
        <v>400</v>
      </c>
      <c r="AB26" s="1" t="s">
        <v>379</v>
      </c>
    </row>
    <row r="27" spans="1:28" ht="11.25" customHeight="1">
      <c r="A27" s="233">
        <v>41027</v>
      </c>
      <c r="B27" s="1" t="s">
        <v>391</v>
      </c>
      <c r="C27" s="1" t="s">
        <v>2095</v>
      </c>
      <c r="D27" s="1" t="s">
        <v>1880</v>
      </c>
      <c r="E27" s="1">
        <v>6006</v>
      </c>
      <c r="F27" s="1">
        <v>10</v>
      </c>
      <c r="G27" s="1" t="s">
        <v>230</v>
      </c>
      <c r="H27" s="234">
        <v>60.11</v>
      </c>
      <c r="I27" s="236">
        <f t="shared" si="0"/>
        <v>601.1</v>
      </c>
      <c r="J27" s="351"/>
      <c r="K27" s="241">
        <v>577.07999999999993</v>
      </c>
      <c r="L27" s="237">
        <v>41027</v>
      </c>
      <c r="M27" s="1" t="s">
        <v>302</v>
      </c>
      <c r="N27" s="235">
        <f t="shared" si="1"/>
        <v>601.1</v>
      </c>
      <c r="O27" s="235">
        <f t="shared" si="2"/>
        <v>0</v>
      </c>
      <c r="P27" s="238" t="s">
        <v>408</v>
      </c>
      <c r="Q27" s="1" t="s">
        <v>393</v>
      </c>
      <c r="T27" s="238" t="s">
        <v>797</v>
      </c>
      <c r="Y27" s="239"/>
      <c r="Z27" s="239"/>
      <c r="AA27" s="240" t="s">
        <v>400</v>
      </c>
      <c r="AB27" s="1" t="s">
        <v>379</v>
      </c>
    </row>
    <row r="28" spans="1:28" ht="11.25" customHeight="1">
      <c r="A28" s="233">
        <v>41031</v>
      </c>
      <c r="B28" s="1" t="s">
        <v>409</v>
      </c>
      <c r="C28" s="1" t="s">
        <v>2095</v>
      </c>
      <c r="D28" s="5" t="s">
        <v>2030</v>
      </c>
      <c r="E28" s="1">
        <v>7501</v>
      </c>
      <c r="F28" s="1">
        <v>100</v>
      </c>
      <c r="G28" s="1" t="s">
        <v>2101</v>
      </c>
      <c r="H28" s="234">
        <v>136.5</v>
      </c>
      <c r="I28" s="236">
        <f t="shared" si="0"/>
        <v>13650</v>
      </c>
      <c r="J28" s="351"/>
      <c r="K28" s="241">
        <v>11073</v>
      </c>
      <c r="L28" s="237">
        <v>41031</v>
      </c>
      <c r="M28" s="1" t="s">
        <v>410</v>
      </c>
      <c r="N28" s="235">
        <f t="shared" si="1"/>
        <v>13650</v>
      </c>
      <c r="O28" s="235">
        <f t="shared" si="2"/>
        <v>0</v>
      </c>
      <c r="P28" s="238" t="s">
        <v>4918</v>
      </c>
      <c r="Q28" s="1" t="s">
        <v>411</v>
      </c>
      <c r="U28" s="238" t="s">
        <v>412</v>
      </c>
      <c r="V28" s="238" t="s">
        <v>413</v>
      </c>
      <c r="W28" s="236" t="s">
        <v>414</v>
      </c>
      <c r="X28" s="233">
        <v>41071</v>
      </c>
      <c r="Y28" s="238" t="s">
        <v>2125</v>
      </c>
      <c r="Z28" s="238"/>
      <c r="AA28" s="240" t="s">
        <v>400</v>
      </c>
      <c r="AB28" s="1" t="s">
        <v>379</v>
      </c>
    </row>
    <row r="29" spans="1:28" ht="11.25" customHeight="1">
      <c r="A29" s="233">
        <v>41031</v>
      </c>
      <c r="B29" s="1" t="s">
        <v>409</v>
      </c>
      <c r="C29" s="1" t="s">
        <v>2095</v>
      </c>
      <c r="D29" s="1" t="s">
        <v>274</v>
      </c>
      <c r="E29" s="1" t="s">
        <v>2126</v>
      </c>
      <c r="F29" s="1">
        <v>200</v>
      </c>
      <c r="G29" s="1" t="s">
        <v>230</v>
      </c>
      <c r="H29" s="234">
        <v>37.6</v>
      </c>
      <c r="I29" s="236">
        <f t="shared" si="0"/>
        <v>7520</v>
      </c>
      <c r="J29" s="351">
        <v>30.41</v>
      </c>
      <c r="K29" s="241">
        <v>6082</v>
      </c>
      <c r="L29" s="237">
        <v>41031</v>
      </c>
      <c r="M29" s="1" t="s">
        <v>410</v>
      </c>
      <c r="N29" s="235">
        <f t="shared" si="1"/>
        <v>7520</v>
      </c>
      <c r="O29" s="235">
        <f t="shared" si="2"/>
        <v>0</v>
      </c>
      <c r="P29" s="238" t="s">
        <v>4918</v>
      </c>
      <c r="Q29" s="1" t="s">
        <v>411</v>
      </c>
      <c r="U29" s="238" t="s">
        <v>412</v>
      </c>
      <c r="V29" s="238" t="s">
        <v>415</v>
      </c>
      <c r="W29" s="236">
        <v>11197.5</v>
      </c>
      <c r="X29" s="233">
        <v>41071</v>
      </c>
      <c r="Y29" s="238" t="s">
        <v>2125</v>
      </c>
      <c r="Z29" s="238"/>
      <c r="AA29" s="240" t="s">
        <v>400</v>
      </c>
      <c r="AB29" s="1" t="s">
        <v>379</v>
      </c>
    </row>
    <row r="30" spans="1:28" ht="11.25" customHeight="1">
      <c r="A30" s="233">
        <v>41031</v>
      </c>
      <c r="B30" s="1" t="s">
        <v>409</v>
      </c>
      <c r="C30" s="1" t="s">
        <v>2095</v>
      </c>
      <c r="D30" s="1" t="s">
        <v>233</v>
      </c>
      <c r="E30" s="1" t="s">
        <v>2123</v>
      </c>
      <c r="F30" s="1">
        <v>200</v>
      </c>
      <c r="G30" s="1" t="s">
        <v>232</v>
      </c>
      <c r="H30" s="234">
        <v>6.7</v>
      </c>
      <c r="I30" s="236">
        <f t="shared" ref="I30:I36" si="3">H30*F30</f>
        <v>1340</v>
      </c>
      <c r="J30" s="351">
        <v>5.01</v>
      </c>
      <c r="K30" s="241">
        <v>1002</v>
      </c>
      <c r="L30" s="237">
        <v>41031</v>
      </c>
      <c r="M30" s="1" t="s">
        <v>410</v>
      </c>
      <c r="N30" s="235">
        <f t="shared" si="1"/>
        <v>1340</v>
      </c>
      <c r="O30" s="235">
        <f t="shared" si="2"/>
        <v>0</v>
      </c>
      <c r="P30" s="238" t="s">
        <v>4918</v>
      </c>
      <c r="Q30" s="1" t="s">
        <v>411</v>
      </c>
      <c r="U30" s="238" t="s">
        <v>412</v>
      </c>
      <c r="V30" s="238" t="s">
        <v>415</v>
      </c>
      <c r="W30" s="236">
        <v>11197.5</v>
      </c>
      <c r="X30" s="233">
        <v>41071</v>
      </c>
      <c r="Y30" s="238" t="s">
        <v>2125</v>
      </c>
      <c r="Z30" s="238"/>
      <c r="AA30" s="240" t="s">
        <v>400</v>
      </c>
      <c r="AB30" s="1" t="s">
        <v>379</v>
      </c>
    </row>
    <row r="31" spans="1:28" ht="11.25" customHeight="1">
      <c r="A31" s="233">
        <v>41031</v>
      </c>
      <c r="B31" s="1" t="s">
        <v>409</v>
      </c>
      <c r="C31" s="1" t="s">
        <v>2095</v>
      </c>
      <c r="D31" s="1" t="s">
        <v>264</v>
      </c>
      <c r="E31" s="1">
        <v>501</v>
      </c>
      <c r="F31" s="1">
        <v>200</v>
      </c>
      <c r="G31" s="1" t="s">
        <v>230</v>
      </c>
      <c r="H31" s="234">
        <v>1.45</v>
      </c>
      <c r="I31" s="236">
        <f t="shared" si="3"/>
        <v>290</v>
      </c>
      <c r="J31" s="351">
        <v>1.41</v>
      </c>
      <c r="K31" s="241">
        <v>282</v>
      </c>
      <c r="L31" s="237">
        <v>41031</v>
      </c>
      <c r="M31" s="1" t="s">
        <v>410</v>
      </c>
      <c r="N31" s="235">
        <f t="shared" si="1"/>
        <v>290</v>
      </c>
      <c r="O31" s="235">
        <f t="shared" si="2"/>
        <v>0</v>
      </c>
      <c r="P31" s="238" t="s">
        <v>4918</v>
      </c>
      <c r="Q31" s="1" t="s">
        <v>411</v>
      </c>
      <c r="U31" s="238" t="s">
        <v>412</v>
      </c>
      <c r="V31" s="238" t="s">
        <v>415</v>
      </c>
      <c r="W31" s="236">
        <v>11197.5</v>
      </c>
      <c r="X31" s="233">
        <v>41071</v>
      </c>
      <c r="Y31" s="238" t="s">
        <v>2125</v>
      </c>
      <c r="Z31" s="238"/>
      <c r="AA31" s="240" t="s">
        <v>400</v>
      </c>
      <c r="AB31" s="1" t="s">
        <v>379</v>
      </c>
    </row>
    <row r="32" spans="1:28" ht="11.25" customHeight="1">
      <c r="A32" s="233">
        <v>41032</v>
      </c>
      <c r="B32" s="1" t="s">
        <v>2127</v>
      </c>
      <c r="C32" s="1" t="s">
        <v>2095</v>
      </c>
      <c r="D32" s="1" t="s">
        <v>1216</v>
      </c>
      <c r="E32" s="1">
        <v>3200</v>
      </c>
      <c r="F32" s="1">
        <v>20</v>
      </c>
      <c r="G32" s="1" t="s">
        <v>230</v>
      </c>
      <c r="H32" s="234">
        <v>31.34</v>
      </c>
      <c r="I32" s="236">
        <f t="shared" si="3"/>
        <v>626.79999999999995</v>
      </c>
      <c r="J32" s="351"/>
      <c r="K32" s="241">
        <v>583.29999999999995</v>
      </c>
      <c r="L32" s="237">
        <v>41033</v>
      </c>
      <c r="M32" s="1" t="s">
        <v>386</v>
      </c>
      <c r="N32" s="235">
        <f t="shared" si="1"/>
        <v>626.79999999999995</v>
      </c>
      <c r="O32" s="235">
        <f t="shared" si="2"/>
        <v>0</v>
      </c>
      <c r="P32" s="238">
        <v>6102782</v>
      </c>
      <c r="Q32" s="1" t="s">
        <v>404</v>
      </c>
      <c r="R32" s="239" t="s">
        <v>416</v>
      </c>
      <c r="S32" s="238" t="s">
        <v>417</v>
      </c>
      <c r="U32" s="238" t="s">
        <v>418</v>
      </c>
      <c r="V32" s="238" t="s">
        <v>255</v>
      </c>
      <c r="Y32" s="239"/>
      <c r="Z32" s="239"/>
      <c r="AA32" s="240" t="s">
        <v>400</v>
      </c>
      <c r="AB32" s="1" t="s">
        <v>379</v>
      </c>
    </row>
    <row r="33" spans="1:28" ht="11.25" customHeight="1">
      <c r="A33" s="233">
        <v>41032</v>
      </c>
      <c r="B33" s="1" t="s">
        <v>2128</v>
      </c>
      <c r="C33" s="1" t="s">
        <v>2086</v>
      </c>
      <c r="D33" s="1" t="s">
        <v>348</v>
      </c>
      <c r="E33" s="1">
        <v>3700</v>
      </c>
      <c r="F33" s="1">
        <v>20</v>
      </c>
      <c r="G33" s="1" t="s">
        <v>230</v>
      </c>
      <c r="H33" s="234">
        <v>5.21</v>
      </c>
      <c r="I33" s="236">
        <f>H33*F33</f>
        <v>104.2</v>
      </c>
      <c r="J33" s="351">
        <v>4.8499999999999996</v>
      </c>
      <c r="K33" s="241">
        <v>97</v>
      </c>
      <c r="L33" s="237">
        <v>41033</v>
      </c>
      <c r="M33" s="1" t="s">
        <v>386</v>
      </c>
      <c r="N33" s="235">
        <f t="shared" si="1"/>
        <v>104.2</v>
      </c>
      <c r="O33" s="235">
        <f t="shared" si="2"/>
        <v>0</v>
      </c>
      <c r="P33" s="238">
        <v>6102782</v>
      </c>
      <c r="Q33" s="1" t="s">
        <v>404</v>
      </c>
      <c r="R33" s="239" t="s">
        <v>416</v>
      </c>
      <c r="S33" s="238" t="s">
        <v>417</v>
      </c>
      <c r="U33" s="238" t="s">
        <v>418</v>
      </c>
      <c r="V33" s="238" t="s">
        <v>255</v>
      </c>
      <c r="Y33" s="239"/>
      <c r="Z33" s="239"/>
      <c r="AA33" s="240" t="s">
        <v>400</v>
      </c>
      <c r="AB33" s="1" t="s">
        <v>379</v>
      </c>
    </row>
    <row r="34" spans="1:28" ht="11.25" customHeight="1">
      <c r="A34" s="233">
        <v>41032</v>
      </c>
      <c r="B34" s="1" t="s">
        <v>2128</v>
      </c>
      <c r="C34" s="1" t="s">
        <v>2086</v>
      </c>
      <c r="D34" s="1" t="s">
        <v>233</v>
      </c>
      <c r="E34" s="1" t="s">
        <v>2129</v>
      </c>
      <c r="F34" s="1">
        <v>20</v>
      </c>
      <c r="G34" s="1" t="s">
        <v>232</v>
      </c>
      <c r="H34" s="234">
        <v>2.02</v>
      </c>
      <c r="I34" s="236">
        <f t="shared" si="3"/>
        <v>40.4</v>
      </c>
      <c r="K34" s="241">
        <v>37.599999999999994</v>
      </c>
      <c r="L34" s="237">
        <v>41033</v>
      </c>
      <c r="M34" s="1" t="s">
        <v>386</v>
      </c>
      <c r="N34" s="235">
        <f t="shared" si="1"/>
        <v>40.4</v>
      </c>
      <c r="O34" s="235">
        <f t="shared" si="2"/>
        <v>0</v>
      </c>
      <c r="P34" s="238">
        <v>6102782</v>
      </c>
      <c r="Q34" s="1" t="s">
        <v>404</v>
      </c>
      <c r="R34" s="239" t="s">
        <v>416</v>
      </c>
      <c r="S34" s="238" t="s">
        <v>417</v>
      </c>
      <c r="U34" s="238" t="s">
        <v>418</v>
      </c>
      <c r="V34" s="238" t="s">
        <v>255</v>
      </c>
      <c r="Y34" s="239"/>
      <c r="Z34" s="239"/>
      <c r="AA34" s="240" t="s">
        <v>400</v>
      </c>
      <c r="AB34" s="1" t="s">
        <v>379</v>
      </c>
    </row>
    <row r="35" spans="1:28" ht="11.25" customHeight="1">
      <c r="A35" s="233">
        <v>41032</v>
      </c>
      <c r="B35" s="1" t="s">
        <v>2128</v>
      </c>
      <c r="C35" s="1" t="s">
        <v>2086</v>
      </c>
      <c r="D35" s="1" t="s">
        <v>2113</v>
      </c>
      <c r="E35" s="1" t="s">
        <v>2114</v>
      </c>
      <c r="F35" s="1">
        <v>2000</v>
      </c>
      <c r="G35" s="1" t="s">
        <v>2115</v>
      </c>
      <c r="H35" s="234">
        <v>1.3</v>
      </c>
      <c r="I35" s="236">
        <f t="shared" si="3"/>
        <v>2600</v>
      </c>
      <c r="J35" s="351"/>
      <c r="K35" s="241">
        <v>2412</v>
      </c>
      <c r="L35" s="237">
        <v>41033</v>
      </c>
      <c r="M35" s="1" t="s">
        <v>386</v>
      </c>
      <c r="N35" s="235">
        <f t="shared" si="1"/>
        <v>2600</v>
      </c>
      <c r="O35" s="235">
        <f t="shared" si="2"/>
        <v>0</v>
      </c>
      <c r="P35" s="238">
        <v>6102782</v>
      </c>
      <c r="Q35" s="1" t="s">
        <v>404</v>
      </c>
      <c r="R35" s="239" t="s">
        <v>416</v>
      </c>
      <c r="S35" s="238" t="s">
        <v>417</v>
      </c>
      <c r="U35" s="238" t="s">
        <v>418</v>
      </c>
      <c r="V35" s="238" t="s">
        <v>255</v>
      </c>
      <c r="Y35" s="239"/>
      <c r="Z35" s="239"/>
      <c r="AA35" s="240" t="s">
        <v>400</v>
      </c>
      <c r="AB35" s="1" t="s">
        <v>379</v>
      </c>
    </row>
    <row r="36" spans="1:28" ht="11.25" customHeight="1">
      <c r="A36" s="233">
        <v>41032</v>
      </c>
      <c r="B36" s="1" t="s">
        <v>2128</v>
      </c>
      <c r="C36" s="1" t="s">
        <v>2086</v>
      </c>
      <c r="D36" s="5" t="s">
        <v>2103</v>
      </c>
      <c r="E36" s="1" t="s">
        <v>2104</v>
      </c>
      <c r="F36" s="1">
        <v>1000</v>
      </c>
      <c r="G36" s="1" t="s">
        <v>5002</v>
      </c>
      <c r="H36" s="234">
        <v>1.93</v>
      </c>
      <c r="I36" s="236">
        <f t="shared" si="3"/>
        <v>1930</v>
      </c>
      <c r="J36" s="351">
        <v>1.66</v>
      </c>
      <c r="K36" s="241">
        <v>1660</v>
      </c>
      <c r="L36" s="237">
        <v>41033</v>
      </c>
      <c r="M36" s="1" t="s">
        <v>386</v>
      </c>
      <c r="N36" s="235">
        <f t="shared" si="1"/>
        <v>1930</v>
      </c>
      <c r="O36" s="235">
        <f t="shared" si="2"/>
        <v>0</v>
      </c>
      <c r="P36" s="238">
        <v>6102782</v>
      </c>
      <c r="Q36" s="1" t="s">
        <v>404</v>
      </c>
      <c r="R36" s="239" t="s">
        <v>416</v>
      </c>
      <c r="S36" s="238" t="s">
        <v>417</v>
      </c>
      <c r="U36" s="238" t="s">
        <v>418</v>
      </c>
      <c r="V36" s="238" t="s">
        <v>255</v>
      </c>
      <c r="Y36" s="239"/>
      <c r="Z36" s="239"/>
      <c r="AA36" s="240" t="s">
        <v>400</v>
      </c>
      <c r="AB36" s="1" t="s">
        <v>379</v>
      </c>
    </row>
    <row r="37" spans="1:28" s="5" customFormat="1" ht="11.25" customHeight="1">
      <c r="A37" s="7">
        <v>41032</v>
      </c>
      <c r="B37" s="5" t="s">
        <v>2130</v>
      </c>
      <c r="C37" s="5" t="s">
        <v>2086</v>
      </c>
      <c r="D37" s="5" t="s">
        <v>2103</v>
      </c>
      <c r="E37" s="5" t="s">
        <v>2104</v>
      </c>
      <c r="F37" s="5">
        <v>-2500</v>
      </c>
      <c r="G37" s="1" t="s">
        <v>5002</v>
      </c>
      <c r="H37" s="243">
        <v>1.8</v>
      </c>
      <c r="I37" s="235">
        <v>-4500</v>
      </c>
      <c r="J37" s="353">
        <v>1.66</v>
      </c>
      <c r="K37" s="244">
        <v>-4150</v>
      </c>
      <c r="L37" s="245" t="s">
        <v>2131</v>
      </c>
      <c r="M37" s="5" t="s">
        <v>419</v>
      </c>
      <c r="N37" s="235">
        <f t="shared" si="1"/>
        <v>-4500</v>
      </c>
      <c r="O37" s="235">
        <f t="shared" si="2"/>
        <v>0</v>
      </c>
      <c r="P37" s="238" t="s">
        <v>4918</v>
      </c>
      <c r="Q37" s="5" t="s">
        <v>420</v>
      </c>
      <c r="R37" s="247"/>
      <c r="S37" s="246"/>
      <c r="T37" s="246"/>
      <c r="U37" s="246"/>
      <c r="V37" s="246"/>
      <c r="W37" s="235"/>
      <c r="X37" s="7"/>
      <c r="Y37" s="247"/>
      <c r="Z37" s="247"/>
      <c r="AA37" s="248"/>
      <c r="AB37" s="5" t="s">
        <v>379</v>
      </c>
    </row>
    <row r="38" spans="1:28" ht="11.25" customHeight="1">
      <c r="A38" s="233">
        <v>41033</v>
      </c>
      <c r="B38" s="1" t="s">
        <v>421</v>
      </c>
      <c r="C38" s="1" t="s">
        <v>2086</v>
      </c>
      <c r="D38" s="1" t="s">
        <v>1774</v>
      </c>
      <c r="E38" s="1">
        <v>9132</v>
      </c>
      <c r="F38" s="1">
        <v>30</v>
      </c>
      <c r="G38" s="1" t="s">
        <v>232</v>
      </c>
      <c r="H38" s="234">
        <v>3.9</v>
      </c>
      <c r="I38" s="236">
        <f t="shared" ref="I38:I101" si="4">H38*F38</f>
        <v>117</v>
      </c>
      <c r="J38" s="351"/>
      <c r="K38" s="241">
        <v>87</v>
      </c>
      <c r="L38" s="237">
        <v>41033</v>
      </c>
      <c r="M38" s="1" t="s">
        <v>386</v>
      </c>
      <c r="N38" s="235">
        <f t="shared" si="1"/>
        <v>117</v>
      </c>
      <c r="O38" s="235">
        <f t="shared" si="2"/>
        <v>0</v>
      </c>
      <c r="P38" s="238" t="s">
        <v>4918</v>
      </c>
      <c r="Q38" s="1" t="s">
        <v>422</v>
      </c>
      <c r="V38" s="238" t="s">
        <v>255</v>
      </c>
      <c r="Y38" s="239"/>
      <c r="Z38" s="239"/>
      <c r="AB38" s="1" t="s">
        <v>379</v>
      </c>
    </row>
    <row r="39" spans="1:28" ht="11.25" customHeight="1">
      <c r="A39" s="233">
        <v>41033</v>
      </c>
      <c r="B39" s="1" t="s">
        <v>2132</v>
      </c>
      <c r="C39" s="1" t="s">
        <v>2086</v>
      </c>
      <c r="D39" s="1" t="s">
        <v>242</v>
      </c>
      <c r="E39" s="1" t="s">
        <v>2118</v>
      </c>
      <c r="F39" s="1">
        <v>100</v>
      </c>
      <c r="G39" s="1" t="s">
        <v>230</v>
      </c>
      <c r="H39" s="234">
        <v>14.3208</v>
      </c>
      <c r="I39" s="236">
        <f t="shared" si="4"/>
        <v>1432.08</v>
      </c>
      <c r="J39" s="352">
        <v>13.326000000000001</v>
      </c>
      <c r="K39" s="241">
        <v>1332.6</v>
      </c>
      <c r="L39" s="237">
        <v>41038</v>
      </c>
      <c r="M39" s="1" t="s">
        <v>410</v>
      </c>
      <c r="N39" s="235">
        <f t="shared" si="1"/>
        <v>1432.08</v>
      </c>
      <c r="O39" s="235">
        <f t="shared" si="2"/>
        <v>0</v>
      </c>
      <c r="P39" s="238" t="s">
        <v>424</v>
      </c>
      <c r="Q39" s="1" t="s">
        <v>393</v>
      </c>
      <c r="V39" s="238" t="s">
        <v>2133</v>
      </c>
      <c r="W39" s="236">
        <v>4691.5200000000004</v>
      </c>
      <c r="X39" s="233">
        <v>41059</v>
      </c>
      <c r="Y39" s="239"/>
      <c r="Z39" s="239"/>
      <c r="AB39" s="1" t="s">
        <v>379</v>
      </c>
    </row>
    <row r="40" spans="1:28" ht="11.25" customHeight="1">
      <c r="A40" s="233">
        <v>41033</v>
      </c>
      <c r="B40" s="1" t="s">
        <v>423</v>
      </c>
      <c r="C40" s="1" t="s">
        <v>2086</v>
      </c>
      <c r="D40" s="1" t="s">
        <v>264</v>
      </c>
      <c r="E40" s="1" t="s">
        <v>2134</v>
      </c>
      <c r="F40" s="1">
        <v>100</v>
      </c>
      <c r="G40" s="1" t="s">
        <v>230</v>
      </c>
      <c r="H40" s="234">
        <v>2.0663999999999998</v>
      </c>
      <c r="I40" s="236">
        <f t="shared" si="4"/>
        <v>206.64</v>
      </c>
      <c r="J40" s="351">
        <v>2.117</v>
      </c>
      <c r="K40" s="241">
        <f>2.17*F40</f>
        <v>217</v>
      </c>
      <c r="L40" s="237">
        <v>41038</v>
      </c>
      <c r="M40" s="1" t="s">
        <v>410</v>
      </c>
      <c r="N40" s="235">
        <f t="shared" si="1"/>
        <v>206.64</v>
      </c>
      <c r="O40" s="235">
        <f t="shared" si="2"/>
        <v>0</v>
      </c>
      <c r="P40" s="238" t="s">
        <v>424</v>
      </c>
      <c r="Q40" s="1" t="s">
        <v>393</v>
      </c>
      <c r="V40" s="238" t="s">
        <v>2135</v>
      </c>
      <c r="W40" s="236">
        <v>4691.5200000000004</v>
      </c>
      <c r="X40" s="233">
        <v>41059</v>
      </c>
      <c r="Y40" s="239"/>
      <c r="Z40" s="239"/>
      <c r="AB40" s="1" t="s">
        <v>379</v>
      </c>
    </row>
    <row r="41" spans="1:28" ht="11.25" customHeight="1">
      <c r="A41" s="233">
        <v>41033</v>
      </c>
      <c r="B41" s="1" t="s">
        <v>423</v>
      </c>
      <c r="C41" s="1" t="s">
        <v>2095</v>
      </c>
      <c r="D41" s="1" t="s">
        <v>269</v>
      </c>
      <c r="E41" s="1" t="s">
        <v>2136</v>
      </c>
      <c r="F41" s="1">
        <v>2000</v>
      </c>
      <c r="G41" s="1" t="s">
        <v>232</v>
      </c>
      <c r="H41" s="234">
        <v>1.5264</v>
      </c>
      <c r="I41" s="236">
        <f t="shared" si="4"/>
        <v>3052.8</v>
      </c>
      <c r="J41" s="352">
        <v>1.484</v>
      </c>
      <c r="K41" s="241">
        <v>2968</v>
      </c>
      <c r="L41" s="237">
        <v>41038</v>
      </c>
      <c r="M41" s="1" t="s">
        <v>410</v>
      </c>
      <c r="N41" s="235">
        <f t="shared" si="1"/>
        <v>3052.8</v>
      </c>
      <c r="O41" s="235">
        <f t="shared" si="2"/>
        <v>0</v>
      </c>
      <c r="P41" s="238" t="s">
        <v>424</v>
      </c>
      <c r="Q41" s="1" t="s">
        <v>393</v>
      </c>
      <c r="V41" s="238" t="s">
        <v>2135</v>
      </c>
      <c r="W41" s="236">
        <v>4691.5200000000004</v>
      </c>
      <c r="X41" s="233">
        <v>41059</v>
      </c>
      <c r="Y41" s="239"/>
      <c r="Z41" s="239"/>
      <c r="AB41" s="1" t="s">
        <v>379</v>
      </c>
    </row>
    <row r="42" spans="1:28" ht="11.25" customHeight="1">
      <c r="A42" s="233">
        <v>41037</v>
      </c>
      <c r="B42" s="1" t="s">
        <v>425</v>
      </c>
      <c r="C42" s="1" t="s">
        <v>2095</v>
      </c>
      <c r="D42" s="1" t="s">
        <v>241</v>
      </c>
      <c r="E42" s="1">
        <v>6200</v>
      </c>
      <c r="F42" s="1">
        <v>10</v>
      </c>
      <c r="G42" s="1" t="s">
        <v>230</v>
      </c>
      <c r="H42" s="234">
        <v>59</v>
      </c>
      <c r="I42" s="236">
        <f t="shared" si="4"/>
        <v>590</v>
      </c>
      <c r="J42" s="351"/>
      <c r="K42" s="241">
        <v>530.78</v>
      </c>
      <c r="L42" s="237">
        <v>41037</v>
      </c>
      <c r="M42" s="1" t="s">
        <v>302</v>
      </c>
      <c r="N42" s="235">
        <f t="shared" si="1"/>
        <v>590</v>
      </c>
      <c r="O42" s="235">
        <f t="shared" si="2"/>
        <v>0</v>
      </c>
      <c r="P42" s="238" t="s">
        <v>426</v>
      </c>
      <c r="Q42" s="1" t="s">
        <v>393</v>
      </c>
      <c r="R42" s="239" t="s">
        <v>2137</v>
      </c>
      <c r="S42" s="238" t="s">
        <v>427</v>
      </c>
      <c r="V42" s="238" t="s">
        <v>255</v>
      </c>
      <c r="Y42" s="239"/>
      <c r="Z42" s="239"/>
      <c r="AB42" s="1" t="s">
        <v>379</v>
      </c>
    </row>
    <row r="43" spans="1:28" ht="11.25" customHeight="1">
      <c r="A43" s="233">
        <v>41037</v>
      </c>
      <c r="B43" s="1" t="s">
        <v>425</v>
      </c>
      <c r="C43" s="1" t="s">
        <v>2086</v>
      </c>
      <c r="D43" s="1" t="s">
        <v>5279</v>
      </c>
      <c r="E43" s="1" t="s">
        <v>2087</v>
      </c>
      <c r="F43" s="1">
        <v>20</v>
      </c>
      <c r="G43" s="1" t="s">
        <v>230</v>
      </c>
      <c r="H43" s="234">
        <v>22</v>
      </c>
      <c r="I43" s="236">
        <f t="shared" si="4"/>
        <v>440</v>
      </c>
      <c r="J43" s="351"/>
      <c r="K43" s="241">
        <v>397.16</v>
      </c>
      <c r="L43" s="237">
        <v>41037</v>
      </c>
      <c r="M43" s="1" t="s">
        <v>302</v>
      </c>
      <c r="N43" s="235">
        <f t="shared" si="1"/>
        <v>440</v>
      </c>
      <c r="O43" s="235">
        <f t="shared" si="2"/>
        <v>0</v>
      </c>
      <c r="P43" s="238" t="s">
        <v>426</v>
      </c>
      <c r="Q43" s="1" t="s">
        <v>393</v>
      </c>
      <c r="R43" s="239" t="s">
        <v>2138</v>
      </c>
      <c r="S43" s="238" t="s">
        <v>427</v>
      </c>
      <c r="V43" s="238" t="s">
        <v>255</v>
      </c>
      <c r="Y43" s="239"/>
      <c r="Z43" s="239"/>
      <c r="AB43" s="1" t="s">
        <v>379</v>
      </c>
    </row>
    <row r="44" spans="1:28" ht="11.25" customHeight="1">
      <c r="A44" s="233">
        <v>41037</v>
      </c>
      <c r="B44" s="1" t="s">
        <v>2139</v>
      </c>
      <c r="C44" s="1" t="s">
        <v>2086</v>
      </c>
      <c r="D44" s="1" t="s">
        <v>233</v>
      </c>
      <c r="E44" s="1" t="s">
        <v>2091</v>
      </c>
      <c r="F44" s="1">
        <v>20</v>
      </c>
      <c r="G44" s="1" t="s">
        <v>232</v>
      </c>
      <c r="H44" s="234">
        <v>7</v>
      </c>
      <c r="I44" s="236">
        <f t="shared" si="4"/>
        <v>140</v>
      </c>
      <c r="J44" s="351">
        <v>6.16</v>
      </c>
      <c r="K44" s="241">
        <v>123.2</v>
      </c>
      <c r="L44" s="237">
        <v>41037</v>
      </c>
      <c r="M44" s="1" t="s">
        <v>302</v>
      </c>
      <c r="N44" s="235">
        <f t="shared" si="1"/>
        <v>140</v>
      </c>
      <c r="O44" s="235">
        <f t="shared" si="2"/>
        <v>0</v>
      </c>
      <c r="P44" s="238" t="s">
        <v>426</v>
      </c>
      <c r="Q44" s="1" t="s">
        <v>393</v>
      </c>
      <c r="R44" s="239" t="s">
        <v>2138</v>
      </c>
      <c r="S44" s="238" t="s">
        <v>427</v>
      </c>
      <c r="V44" s="238" t="s">
        <v>255</v>
      </c>
      <c r="Y44" s="239"/>
      <c r="Z44" s="239"/>
      <c r="AB44" s="1" t="s">
        <v>379</v>
      </c>
    </row>
    <row r="45" spans="1:28" ht="11.25" customHeight="1">
      <c r="A45" s="233">
        <v>41037</v>
      </c>
      <c r="B45" s="1" t="s">
        <v>425</v>
      </c>
      <c r="C45" s="1" t="s">
        <v>2086</v>
      </c>
      <c r="D45" s="1" t="s">
        <v>264</v>
      </c>
      <c r="E45" s="1">
        <v>501</v>
      </c>
      <c r="F45" s="1">
        <v>20</v>
      </c>
      <c r="G45" s="1" t="s">
        <v>230</v>
      </c>
      <c r="H45" s="234">
        <v>1.5</v>
      </c>
      <c r="I45" s="236">
        <f t="shared" si="4"/>
        <v>30</v>
      </c>
      <c r="J45" s="351">
        <v>1.81</v>
      </c>
      <c r="K45" s="241">
        <v>28.6</v>
      </c>
      <c r="L45" s="237">
        <v>41037</v>
      </c>
      <c r="M45" s="1" t="s">
        <v>302</v>
      </c>
      <c r="N45" s="235">
        <f t="shared" si="1"/>
        <v>30</v>
      </c>
      <c r="O45" s="235">
        <f t="shared" si="2"/>
        <v>0</v>
      </c>
      <c r="P45" s="238" t="s">
        <v>426</v>
      </c>
      <c r="Q45" s="1" t="s">
        <v>393</v>
      </c>
      <c r="R45" s="239" t="s">
        <v>2137</v>
      </c>
      <c r="S45" s="238" t="s">
        <v>427</v>
      </c>
      <c r="V45" s="238" t="s">
        <v>255</v>
      </c>
      <c r="Y45" s="239"/>
      <c r="Z45" s="239"/>
      <c r="AB45" s="1" t="s">
        <v>379</v>
      </c>
    </row>
    <row r="46" spans="1:28" ht="11.25" customHeight="1">
      <c r="A46" s="233">
        <v>41037</v>
      </c>
      <c r="B46" s="1" t="s">
        <v>387</v>
      </c>
      <c r="C46" s="1" t="s">
        <v>2086</v>
      </c>
      <c r="D46" s="1" t="s">
        <v>2140</v>
      </c>
      <c r="E46" s="1">
        <v>6006</v>
      </c>
      <c r="F46" s="1">
        <v>20</v>
      </c>
      <c r="G46" s="1" t="s">
        <v>230</v>
      </c>
      <c r="H46" s="234">
        <v>60</v>
      </c>
      <c r="I46" s="236">
        <f t="shared" si="4"/>
        <v>1200</v>
      </c>
      <c r="J46" s="351"/>
      <c r="K46" s="241">
        <v>1154.1600000000001</v>
      </c>
      <c r="L46" s="237">
        <v>41038</v>
      </c>
      <c r="M46" s="1" t="s">
        <v>410</v>
      </c>
      <c r="N46" s="235">
        <f t="shared" si="1"/>
        <v>1200</v>
      </c>
      <c r="O46" s="235">
        <f t="shared" si="2"/>
        <v>0</v>
      </c>
      <c r="P46" s="238" t="s">
        <v>428</v>
      </c>
      <c r="Q46" s="1" t="s">
        <v>429</v>
      </c>
      <c r="R46" s="239" t="s">
        <v>430</v>
      </c>
      <c r="S46" s="238" t="s">
        <v>431</v>
      </c>
      <c r="V46" s="238" t="s">
        <v>432</v>
      </c>
      <c r="W46" s="236">
        <v>1551.2</v>
      </c>
      <c r="X46" s="233">
        <v>41060</v>
      </c>
      <c r="Y46" s="239"/>
      <c r="Z46" s="239"/>
      <c r="AB46" s="1" t="s">
        <v>379</v>
      </c>
    </row>
    <row r="47" spans="1:28" ht="11.25" customHeight="1">
      <c r="A47" s="233">
        <v>41037</v>
      </c>
      <c r="B47" s="1" t="s">
        <v>387</v>
      </c>
      <c r="C47" s="1" t="s">
        <v>2086</v>
      </c>
      <c r="D47" s="1" t="s">
        <v>1224</v>
      </c>
      <c r="E47" s="1">
        <v>6004</v>
      </c>
      <c r="F47" s="1">
        <v>8</v>
      </c>
      <c r="G47" s="1" t="s">
        <v>230</v>
      </c>
      <c r="H47" s="234">
        <v>43.9</v>
      </c>
      <c r="I47" s="236">
        <f t="shared" si="4"/>
        <v>351.2</v>
      </c>
      <c r="J47" s="351"/>
      <c r="K47" s="241">
        <v>347.12</v>
      </c>
      <c r="L47" s="237">
        <v>41038</v>
      </c>
      <c r="M47" s="1" t="s">
        <v>410</v>
      </c>
      <c r="N47" s="235">
        <f t="shared" si="1"/>
        <v>351.2</v>
      </c>
      <c r="O47" s="235">
        <f t="shared" si="2"/>
        <v>0</v>
      </c>
      <c r="P47" s="238" t="s">
        <v>428</v>
      </c>
      <c r="Q47" s="1" t="s">
        <v>429</v>
      </c>
      <c r="R47" s="239" t="s">
        <v>430</v>
      </c>
      <c r="S47" s="238" t="s">
        <v>431</v>
      </c>
      <c r="V47" s="238" t="s">
        <v>432</v>
      </c>
      <c r="W47" s="236">
        <v>1551.2</v>
      </c>
      <c r="X47" s="233">
        <v>41060</v>
      </c>
      <c r="Y47" s="239"/>
      <c r="Z47" s="239"/>
      <c r="AB47" s="1" t="s">
        <v>379</v>
      </c>
    </row>
    <row r="48" spans="1:28" ht="11.25" customHeight="1">
      <c r="A48" s="233">
        <v>41038</v>
      </c>
      <c r="B48" s="1" t="s">
        <v>2128</v>
      </c>
      <c r="C48" s="1" t="s">
        <v>2086</v>
      </c>
      <c r="D48" s="1" t="s">
        <v>355</v>
      </c>
      <c r="E48" s="1" t="s">
        <v>2087</v>
      </c>
      <c r="F48" s="1">
        <v>20</v>
      </c>
      <c r="G48" s="1" t="s">
        <v>230</v>
      </c>
      <c r="H48" s="234">
        <v>21.34</v>
      </c>
      <c r="I48" s="236">
        <f t="shared" si="4"/>
        <v>426.8</v>
      </c>
      <c r="J48" s="351"/>
      <c r="K48" s="241">
        <v>397.16</v>
      </c>
      <c r="L48" s="237">
        <v>41039</v>
      </c>
      <c r="M48" s="236" t="s">
        <v>386</v>
      </c>
      <c r="N48" s="235">
        <f t="shared" si="1"/>
        <v>426.8</v>
      </c>
      <c r="O48" s="235">
        <f t="shared" si="2"/>
        <v>0</v>
      </c>
      <c r="P48" s="238" t="s">
        <v>433</v>
      </c>
      <c r="Q48" s="1" t="s">
        <v>404</v>
      </c>
      <c r="R48" s="239" t="s">
        <v>416</v>
      </c>
      <c r="S48" s="238" t="s">
        <v>417</v>
      </c>
      <c r="U48" s="238" t="s">
        <v>434</v>
      </c>
      <c r="V48" s="238" t="s">
        <v>255</v>
      </c>
      <c r="Y48" s="249"/>
      <c r="Z48" s="239"/>
      <c r="AA48" s="240" t="s">
        <v>400</v>
      </c>
      <c r="AB48" s="1" t="s">
        <v>379</v>
      </c>
    </row>
    <row r="49" spans="1:28" ht="11.25" customHeight="1">
      <c r="A49" s="233">
        <v>41038</v>
      </c>
      <c r="B49" s="1" t="s">
        <v>2128</v>
      </c>
      <c r="C49" s="1" t="s">
        <v>2086</v>
      </c>
      <c r="D49" s="1" t="s">
        <v>233</v>
      </c>
      <c r="E49" s="1" t="s">
        <v>2091</v>
      </c>
      <c r="F49" s="1">
        <v>20</v>
      </c>
      <c r="G49" s="1" t="s">
        <v>232</v>
      </c>
      <c r="H49" s="234">
        <v>6.9</v>
      </c>
      <c r="I49" s="236">
        <f t="shared" si="4"/>
        <v>138</v>
      </c>
      <c r="J49" s="351">
        <v>6.16</v>
      </c>
      <c r="K49" s="241">
        <v>123.2</v>
      </c>
      <c r="L49" s="237">
        <v>41039</v>
      </c>
      <c r="M49" s="236" t="s">
        <v>386</v>
      </c>
      <c r="N49" s="235">
        <f t="shared" si="1"/>
        <v>138</v>
      </c>
      <c r="O49" s="235">
        <f t="shared" si="2"/>
        <v>0</v>
      </c>
      <c r="P49" s="238" t="s">
        <v>433</v>
      </c>
      <c r="Q49" s="1" t="s">
        <v>404</v>
      </c>
      <c r="R49" s="239" t="s">
        <v>416</v>
      </c>
      <c r="S49" s="238" t="s">
        <v>417</v>
      </c>
      <c r="U49" s="238" t="s">
        <v>434</v>
      </c>
      <c r="V49" s="238" t="s">
        <v>255</v>
      </c>
      <c r="Y49" s="249"/>
      <c r="Z49" s="239"/>
      <c r="AA49" s="240" t="s">
        <v>400</v>
      </c>
      <c r="AB49" s="1" t="s">
        <v>379</v>
      </c>
    </row>
    <row r="50" spans="1:28" ht="11.25" customHeight="1">
      <c r="A50" s="233">
        <v>41038</v>
      </c>
      <c r="B50" s="1" t="s">
        <v>2128</v>
      </c>
      <c r="C50" s="1" t="s">
        <v>2086</v>
      </c>
      <c r="D50" s="1" t="s">
        <v>2141</v>
      </c>
      <c r="E50" s="1">
        <v>10435</v>
      </c>
      <c r="F50" s="1">
        <v>14</v>
      </c>
      <c r="G50" s="1" t="s">
        <v>240</v>
      </c>
      <c r="H50" s="234">
        <v>17.28</v>
      </c>
      <c r="I50" s="236">
        <f t="shared" si="4"/>
        <v>241.92000000000002</v>
      </c>
      <c r="J50" s="351"/>
      <c r="K50" s="241">
        <v>225.11999999999998</v>
      </c>
      <c r="L50" s="237">
        <v>41039</v>
      </c>
      <c r="M50" s="236" t="s">
        <v>386</v>
      </c>
      <c r="N50" s="235">
        <f t="shared" si="1"/>
        <v>241.92000000000002</v>
      </c>
      <c r="O50" s="235">
        <f t="shared" si="2"/>
        <v>0</v>
      </c>
      <c r="P50" s="238" t="s">
        <v>433</v>
      </c>
      <c r="Q50" s="1" t="s">
        <v>404</v>
      </c>
      <c r="R50" s="239" t="s">
        <v>416</v>
      </c>
      <c r="S50" s="238" t="s">
        <v>417</v>
      </c>
      <c r="U50" s="238" t="s">
        <v>434</v>
      </c>
      <c r="V50" s="238" t="s">
        <v>255</v>
      </c>
      <c r="Y50" s="249"/>
      <c r="Z50" s="239"/>
      <c r="AA50" s="240" t="s">
        <v>400</v>
      </c>
      <c r="AB50" s="1" t="s">
        <v>379</v>
      </c>
    </row>
    <row r="51" spans="1:28" ht="11.25" customHeight="1">
      <c r="A51" s="233">
        <v>41038</v>
      </c>
      <c r="B51" s="1" t="s">
        <v>2128</v>
      </c>
      <c r="C51" s="1" t="s">
        <v>2086</v>
      </c>
      <c r="D51" s="1" t="s">
        <v>290</v>
      </c>
      <c r="E51" s="1" t="s">
        <v>2142</v>
      </c>
      <c r="F51" s="1">
        <v>600</v>
      </c>
      <c r="G51" s="1" t="s">
        <v>240</v>
      </c>
      <c r="H51" s="234">
        <v>1.33</v>
      </c>
      <c r="I51" s="236">
        <f t="shared" si="4"/>
        <v>798</v>
      </c>
      <c r="J51" s="351"/>
      <c r="K51" s="241">
        <v>706.8</v>
      </c>
      <c r="L51" s="237">
        <v>41039</v>
      </c>
      <c r="M51" s="236" t="s">
        <v>386</v>
      </c>
      <c r="N51" s="235">
        <f t="shared" si="1"/>
        <v>798</v>
      </c>
      <c r="O51" s="235">
        <f t="shared" si="2"/>
        <v>0</v>
      </c>
      <c r="P51" s="238" t="s">
        <v>433</v>
      </c>
      <c r="Q51" s="1" t="s">
        <v>404</v>
      </c>
      <c r="R51" s="239" t="s">
        <v>416</v>
      </c>
      <c r="S51" s="238" t="s">
        <v>417</v>
      </c>
      <c r="U51" s="238" t="s">
        <v>434</v>
      </c>
      <c r="V51" s="238" t="s">
        <v>255</v>
      </c>
      <c r="Y51" s="249"/>
      <c r="Z51" s="239"/>
      <c r="AA51" s="240" t="s">
        <v>400</v>
      </c>
      <c r="AB51" s="1" t="s">
        <v>379</v>
      </c>
    </row>
    <row r="52" spans="1:28" ht="11.25" customHeight="1">
      <c r="A52" s="233">
        <v>41038</v>
      </c>
      <c r="B52" s="1" t="s">
        <v>378</v>
      </c>
      <c r="C52" s="1" t="s">
        <v>2086</v>
      </c>
      <c r="D52" s="1" t="s">
        <v>292</v>
      </c>
      <c r="E52" s="1" t="s">
        <v>2143</v>
      </c>
      <c r="F52" s="1">
        <v>10</v>
      </c>
      <c r="G52" s="1" t="s">
        <v>230</v>
      </c>
      <c r="H52" s="234">
        <v>162.06</v>
      </c>
      <c r="I52" s="236">
        <f t="shared" si="4"/>
        <v>1620.6</v>
      </c>
      <c r="J52" s="351"/>
      <c r="K52" s="241">
        <v>1576.8000000000002</v>
      </c>
      <c r="L52" s="237">
        <v>41037</v>
      </c>
      <c r="M52" s="236" t="s">
        <v>410</v>
      </c>
      <c r="N52" s="235">
        <f t="shared" si="1"/>
        <v>1620.6</v>
      </c>
      <c r="O52" s="235">
        <f t="shared" si="2"/>
        <v>0</v>
      </c>
      <c r="P52" s="238" t="s">
        <v>435</v>
      </c>
      <c r="Q52" s="1" t="s">
        <v>436</v>
      </c>
      <c r="R52" s="239" t="s">
        <v>437</v>
      </c>
      <c r="S52" s="238" t="s">
        <v>438</v>
      </c>
      <c r="U52" s="238" t="s">
        <v>439</v>
      </c>
      <c r="V52" s="238" t="s">
        <v>2144</v>
      </c>
      <c r="W52" s="236">
        <v>5992.1</v>
      </c>
      <c r="X52" s="233">
        <v>41109</v>
      </c>
      <c r="Y52" s="249">
        <v>468490602767</v>
      </c>
      <c r="Z52" s="242"/>
      <c r="AA52" s="240" t="s">
        <v>400</v>
      </c>
      <c r="AB52" s="1" t="s">
        <v>379</v>
      </c>
    </row>
    <row r="53" spans="1:28" ht="11.25" customHeight="1">
      <c r="A53" s="233">
        <v>41038</v>
      </c>
      <c r="B53" s="1" t="s">
        <v>378</v>
      </c>
      <c r="C53" s="1" t="s">
        <v>2086</v>
      </c>
      <c r="D53" s="1" t="s">
        <v>295</v>
      </c>
      <c r="E53" s="1">
        <v>7744</v>
      </c>
      <c r="F53" s="1">
        <v>100</v>
      </c>
      <c r="G53" s="1" t="s">
        <v>232</v>
      </c>
      <c r="H53" s="234">
        <v>6.99</v>
      </c>
      <c r="I53" s="236">
        <f t="shared" si="4"/>
        <v>699</v>
      </c>
      <c r="J53" s="351"/>
      <c r="K53" s="241">
        <v>680</v>
      </c>
      <c r="L53" s="237">
        <v>41037</v>
      </c>
      <c r="M53" s="236" t="s">
        <v>410</v>
      </c>
      <c r="N53" s="235">
        <f t="shared" si="1"/>
        <v>699</v>
      </c>
      <c r="O53" s="235">
        <f t="shared" si="2"/>
        <v>0</v>
      </c>
      <c r="P53" s="238" t="s">
        <v>435</v>
      </c>
      <c r="Q53" s="1" t="s">
        <v>436</v>
      </c>
      <c r="R53" s="239" t="s">
        <v>437</v>
      </c>
      <c r="S53" s="238" t="s">
        <v>438</v>
      </c>
      <c r="U53" s="238" t="s">
        <v>439</v>
      </c>
      <c r="V53" s="238" t="s">
        <v>2144</v>
      </c>
      <c r="W53" s="236">
        <v>5992.1</v>
      </c>
      <c r="X53" s="233">
        <v>41109</v>
      </c>
      <c r="Y53" s="249">
        <v>468490602767</v>
      </c>
      <c r="Z53" s="242"/>
      <c r="AA53" s="240" t="s">
        <v>400</v>
      </c>
      <c r="AB53" s="1" t="s">
        <v>379</v>
      </c>
    </row>
    <row r="54" spans="1:28" ht="11.25" customHeight="1">
      <c r="A54" s="233">
        <v>41038</v>
      </c>
      <c r="B54" s="1" t="s">
        <v>440</v>
      </c>
      <c r="C54" s="1" t="s">
        <v>2086</v>
      </c>
      <c r="D54" s="1" t="s">
        <v>1216</v>
      </c>
      <c r="E54" s="1">
        <v>3200</v>
      </c>
      <c r="F54" s="1">
        <v>10</v>
      </c>
      <c r="G54" s="1" t="s">
        <v>230</v>
      </c>
      <c r="H54" s="234">
        <v>39</v>
      </c>
      <c r="I54" s="236">
        <f t="shared" si="4"/>
        <v>390</v>
      </c>
      <c r="J54" s="351"/>
      <c r="K54" s="241">
        <v>287.3</v>
      </c>
      <c r="L54" s="237">
        <v>41038</v>
      </c>
      <c r="M54" s="236" t="s">
        <v>410</v>
      </c>
      <c r="N54" s="235">
        <f t="shared" si="1"/>
        <v>390</v>
      </c>
      <c r="O54" s="235">
        <f t="shared" si="2"/>
        <v>0</v>
      </c>
      <c r="P54" s="238" t="s">
        <v>441</v>
      </c>
      <c r="Q54" s="1" t="s">
        <v>442</v>
      </c>
      <c r="R54" s="239" t="s">
        <v>443</v>
      </c>
      <c r="S54" s="238" t="s">
        <v>444</v>
      </c>
      <c r="U54" s="238" t="s">
        <v>445</v>
      </c>
      <c r="V54" s="238" t="s">
        <v>2145</v>
      </c>
      <c r="W54" s="236">
        <v>620.5</v>
      </c>
      <c r="X54" s="233">
        <v>41145</v>
      </c>
      <c r="Y54" s="238">
        <v>23155145699</v>
      </c>
      <c r="Z54" s="239"/>
      <c r="AA54" s="240" t="s">
        <v>446</v>
      </c>
      <c r="AB54" s="1" t="s">
        <v>2146</v>
      </c>
    </row>
    <row r="55" spans="1:28" ht="11.25" customHeight="1">
      <c r="A55" s="233">
        <v>41038</v>
      </c>
      <c r="B55" s="1" t="s">
        <v>440</v>
      </c>
      <c r="C55" s="1" t="s">
        <v>2147</v>
      </c>
      <c r="D55" s="1" t="s">
        <v>348</v>
      </c>
      <c r="E55" s="1">
        <v>3700</v>
      </c>
      <c r="F55" s="1">
        <v>10</v>
      </c>
      <c r="G55" s="1" t="s">
        <v>230</v>
      </c>
      <c r="H55" s="234">
        <v>6.19</v>
      </c>
      <c r="I55" s="236">
        <f t="shared" si="4"/>
        <v>61.900000000000006</v>
      </c>
      <c r="J55" s="351">
        <v>4.78</v>
      </c>
      <c r="K55" s="241">
        <v>47.8</v>
      </c>
      <c r="L55" s="237">
        <v>41038</v>
      </c>
      <c r="M55" s="236" t="s">
        <v>410</v>
      </c>
      <c r="N55" s="235">
        <f t="shared" si="1"/>
        <v>61.900000000000006</v>
      </c>
      <c r="O55" s="235">
        <f t="shared" si="2"/>
        <v>0</v>
      </c>
      <c r="P55" s="238" t="s">
        <v>441</v>
      </c>
      <c r="Q55" s="1" t="s">
        <v>442</v>
      </c>
      <c r="R55" s="239" t="s">
        <v>443</v>
      </c>
      <c r="S55" s="238" t="s">
        <v>444</v>
      </c>
      <c r="U55" s="238" t="s">
        <v>445</v>
      </c>
      <c r="V55" s="238" t="s">
        <v>2145</v>
      </c>
      <c r="W55" s="236">
        <v>620.5</v>
      </c>
      <c r="X55" s="233">
        <v>41145</v>
      </c>
      <c r="Y55" s="238">
        <v>23155145699</v>
      </c>
      <c r="Z55" s="239"/>
      <c r="AA55" s="240" t="s">
        <v>446</v>
      </c>
      <c r="AB55" s="1" t="s">
        <v>2146</v>
      </c>
    </row>
    <row r="56" spans="1:28" ht="11.25" customHeight="1">
      <c r="A56" s="233">
        <v>41038</v>
      </c>
      <c r="B56" s="1" t="s">
        <v>440</v>
      </c>
      <c r="C56" s="1" t="s">
        <v>2147</v>
      </c>
      <c r="D56" s="1" t="s">
        <v>233</v>
      </c>
      <c r="E56" s="1" t="s">
        <v>2148</v>
      </c>
      <c r="F56" s="1">
        <v>60</v>
      </c>
      <c r="G56" s="1" t="s">
        <v>232</v>
      </c>
      <c r="H56" s="234">
        <v>2.81</v>
      </c>
      <c r="I56" s="236">
        <f t="shared" si="4"/>
        <v>168.6</v>
      </c>
      <c r="K56" s="241">
        <v>111</v>
      </c>
      <c r="L56" s="237">
        <v>41038</v>
      </c>
      <c r="M56" s="236" t="s">
        <v>410</v>
      </c>
      <c r="N56" s="235">
        <f t="shared" si="1"/>
        <v>168.6</v>
      </c>
      <c r="O56" s="235">
        <f t="shared" si="2"/>
        <v>0</v>
      </c>
      <c r="P56" s="238" t="s">
        <v>441</v>
      </c>
      <c r="Q56" s="1" t="s">
        <v>442</v>
      </c>
      <c r="R56" s="239" t="s">
        <v>443</v>
      </c>
      <c r="S56" s="238" t="s">
        <v>444</v>
      </c>
      <c r="U56" s="238" t="s">
        <v>445</v>
      </c>
      <c r="V56" s="238" t="s">
        <v>2145</v>
      </c>
      <c r="W56" s="236">
        <v>620.5</v>
      </c>
      <c r="X56" s="233">
        <v>41145</v>
      </c>
      <c r="Y56" s="238">
        <v>23155145699</v>
      </c>
      <c r="Z56" s="239"/>
      <c r="AA56" s="240" t="s">
        <v>446</v>
      </c>
      <c r="AB56" s="1" t="s">
        <v>2146</v>
      </c>
    </row>
    <row r="57" spans="1:28" ht="11.25" customHeight="1">
      <c r="A57" s="233">
        <v>41038</v>
      </c>
      <c r="B57" s="1" t="s">
        <v>2149</v>
      </c>
      <c r="C57" s="1" t="s">
        <v>2147</v>
      </c>
      <c r="D57" s="1" t="s">
        <v>247</v>
      </c>
      <c r="E57" s="1">
        <v>4620</v>
      </c>
      <c r="F57" s="1">
        <v>30</v>
      </c>
      <c r="G57" s="1" t="s">
        <v>244</v>
      </c>
      <c r="H57" s="234">
        <v>22</v>
      </c>
      <c r="I57" s="236">
        <f t="shared" si="4"/>
        <v>660</v>
      </c>
      <c r="J57" s="351"/>
      <c r="K57" s="241">
        <v>533.69999999999993</v>
      </c>
      <c r="L57" s="237">
        <v>41096</v>
      </c>
      <c r="M57" s="236" t="s">
        <v>2150</v>
      </c>
      <c r="N57" s="235">
        <f t="shared" si="1"/>
        <v>660</v>
      </c>
      <c r="O57" s="235">
        <f t="shared" si="2"/>
        <v>0</v>
      </c>
      <c r="P57" s="238" t="s">
        <v>447</v>
      </c>
      <c r="Q57" s="1" t="s">
        <v>429</v>
      </c>
      <c r="V57" s="238" t="s">
        <v>2151</v>
      </c>
      <c r="W57" s="236">
        <v>5445.25</v>
      </c>
      <c r="X57" s="233">
        <v>41088</v>
      </c>
      <c r="Y57" s="249"/>
      <c r="Z57" s="239"/>
      <c r="AB57" s="1" t="s">
        <v>379</v>
      </c>
    </row>
    <row r="58" spans="1:28" ht="11.25" customHeight="1">
      <c r="A58" s="233">
        <v>41038</v>
      </c>
      <c r="B58" s="1" t="s">
        <v>383</v>
      </c>
      <c r="C58" s="1" t="s">
        <v>2147</v>
      </c>
      <c r="D58" s="5" t="s">
        <v>2152</v>
      </c>
      <c r="E58" s="1" t="s">
        <v>2153</v>
      </c>
      <c r="F58" s="1">
        <v>100</v>
      </c>
      <c r="G58" s="1" t="s">
        <v>5002</v>
      </c>
      <c r="H58" s="234">
        <v>2.68</v>
      </c>
      <c r="I58" s="236">
        <f t="shared" si="4"/>
        <v>268</v>
      </c>
      <c r="J58" s="351">
        <v>1.66</v>
      </c>
      <c r="K58" s="241">
        <v>166</v>
      </c>
      <c r="L58" s="237">
        <v>41038</v>
      </c>
      <c r="M58" s="236" t="s">
        <v>302</v>
      </c>
      <c r="N58" s="235">
        <f t="shared" si="1"/>
        <v>268</v>
      </c>
      <c r="O58" s="235">
        <f t="shared" si="2"/>
        <v>0</v>
      </c>
      <c r="P58" s="238" t="s">
        <v>448</v>
      </c>
      <c r="Q58" s="1" t="s">
        <v>449</v>
      </c>
      <c r="R58" s="239" t="s">
        <v>2154</v>
      </c>
      <c r="S58" s="238" t="s">
        <v>450</v>
      </c>
      <c r="T58" s="238" t="s">
        <v>2155</v>
      </c>
      <c r="V58" s="238" t="s">
        <v>2156</v>
      </c>
      <c r="W58" s="236">
        <v>1072</v>
      </c>
      <c r="X58" s="233">
        <v>41120</v>
      </c>
      <c r="Y58" s="249" t="s">
        <v>2157</v>
      </c>
      <c r="Z58" s="238"/>
      <c r="AA58" s="240" t="s">
        <v>2158</v>
      </c>
      <c r="AB58" s="1" t="s">
        <v>384</v>
      </c>
    </row>
    <row r="59" spans="1:28" ht="11.25" customHeight="1">
      <c r="A59" s="233">
        <v>41040</v>
      </c>
      <c r="B59" s="1" t="s">
        <v>451</v>
      </c>
      <c r="C59" s="1" t="s">
        <v>2147</v>
      </c>
      <c r="D59" s="1" t="s">
        <v>299</v>
      </c>
      <c r="E59" s="1">
        <v>9001</v>
      </c>
      <c r="F59" s="1">
        <v>100</v>
      </c>
      <c r="G59" s="1" t="s">
        <v>232</v>
      </c>
      <c r="H59" s="234">
        <v>2.1</v>
      </c>
      <c r="I59" s="236">
        <f t="shared" si="4"/>
        <v>210</v>
      </c>
      <c r="J59" s="351"/>
      <c r="K59" s="241">
        <v>175</v>
      </c>
      <c r="L59" s="237">
        <v>41040</v>
      </c>
      <c r="M59" s="236" t="s">
        <v>302</v>
      </c>
      <c r="N59" s="235">
        <f t="shared" si="1"/>
        <v>210</v>
      </c>
      <c r="O59" s="235">
        <f t="shared" si="2"/>
        <v>0</v>
      </c>
      <c r="P59" s="238" t="s">
        <v>313</v>
      </c>
      <c r="Q59" s="1" t="s">
        <v>393</v>
      </c>
      <c r="R59" s="239" t="s">
        <v>2159</v>
      </c>
      <c r="S59" s="238" t="s">
        <v>2160</v>
      </c>
      <c r="V59" s="238" t="s">
        <v>2161</v>
      </c>
      <c r="W59" s="236">
        <v>784.3</v>
      </c>
      <c r="X59" s="233">
        <v>41113</v>
      </c>
      <c r="Y59" s="238" t="s">
        <v>2162</v>
      </c>
      <c r="Z59" s="239"/>
      <c r="AB59" s="1" t="s">
        <v>379</v>
      </c>
    </row>
    <row r="60" spans="1:28" ht="11.25" customHeight="1">
      <c r="A60" s="233">
        <v>41040</v>
      </c>
      <c r="B60" s="1" t="s">
        <v>452</v>
      </c>
      <c r="C60" s="1" t="s">
        <v>2147</v>
      </c>
      <c r="D60" s="1" t="s">
        <v>1219</v>
      </c>
      <c r="E60" s="1" t="s">
        <v>2163</v>
      </c>
      <c r="F60" s="1">
        <v>20</v>
      </c>
      <c r="G60" s="1" t="s">
        <v>240</v>
      </c>
      <c r="H60" s="234">
        <v>20</v>
      </c>
      <c r="I60" s="236">
        <f t="shared" si="4"/>
        <v>400</v>
      </c>
      <c r="J60" s="351"/>
      <c r="K60" s="250">
        <v>260</v>
      </c>
      <c r="L60" s="237">
        <v>41040</v>
      </c>
      <c r="M60" s="236" t="s">
        <v>386</v>
      </c>
      <c r="N60" s="235">
        <f t="shared" si="1"/>
        <v>400</v>
      </c>
      <c r="O60" s="235">
        <f t="shared" si="2"/>
        <v>0</v>
      </c>
      <c r="P60" s="238" t="s">
        <v>4918</v>
      </c>
      <c r="Q60" s="1" t="s">
        <v>1875</v>
      </c>
      <c r="V60" s="238" t="s">
        <v>255</v>
      </c>
      <c r="Y60" s="249"/>
      <c r="Z60" s="239"/>
      <c r="AB60" s="1" t="s">
        <v>379</v>
      </c>
    </row>
    <row r="61" spans="1:28" ht="11.25" customHeight="1">
      <c r="A61" s="233">
        <v>41043</v>
      </c>
      <c r="B61" s="1" t="s">
        <v>453</v>
      </c>
      <c r="C61" s="1" t="s">
        <v>2086</v>
      </c>
      <c r="D61" s="5" t="s">
        <v>2103</v>
      </c>
      <c r="E61" s="1" t="s">
        <v>2104</v>
      </c>
      <c r="F61" s="5">
        <v>500</v>
      </c>
      <c r="G61" s="1" t="s">
        <v>5002</v>
      </c>
      <c r="H61" s="234">
        <v>2.68</v>
      </c>
      <c r="I61" s="236">
        <f t="shared" si="4"/>
        <v>1340</v>
      </c>
      <c r="J61" s="351">
        <v>1.66</v>
      </c>
      <c r="K61" s="241">
        <v>830</v>
      </c>
      <c r="L61" s="237">
        <v>41044</v>
      </c>
      <c r="M61" s="236" t="s">
        <v>410</v>
      </c>
      <c r="N61" s="235">
        <f t="shared" si="1"/>
        <v>1340</v>
      </c>
      <c r="O61" s="235">
        <f t="shared" si="2"/>
        <v>0</v>
      </c>
      <c r="P61" s="238" t="s">
        <v>454</v>
      </c>
      <c r="Q61" s="1" t="s">
        <v>404</v>
      </c>
      <c r="R61" s="239" t="s">
        <v>2164</v>
      </c>
      <c r="S61" s="238" t="s">
        <v>2165</v>
      </c>
      <c r="T61" s="238" t="s">
        <v>2166</v>
      </c>
      <c r="U61" s="238" t="s">
        <v>455</v>
      </c>
      <c r="V61" s="238" t="s">
        <v>1272</v>
      </c>
      <c r="W61" s="236">
        <v>1340</v>
      </c>
      <c r="X61" s="233">
        <v>41073</v>
      </c>
      <c r="Y61" s="249" t="s">
        <v>2167</v>
      </c>
      <c r="Z61" s="238"/>
      <c r="AA61" s="240" t="s">
        <v>400</v>
      </c>
      <c r="AB61" s="1" t="s">
        <v>2090</v>
      </c>
    </row>
    <row r="62" spans="1:28" ht="11.25" customHeight="1">
      <c r="A62" s="233">
        <v>41043</v>
      </c>
      <c r="B62" s="1" t="s">
        <v>2128</v>
      </c>
      <c r="C62" s="1" t="s">
        <v>2086</v>
      </c>
      <c r="D62" s="1" t="s">
        <v>303</v>
      </c>
      <c r="E62" s="1" t="s">
        <v>2168</v>
      </c>
      <c r="F62" s="1">
        <v>3</v>
      </c>
      <c r="G62" s="1" t="s">
        <v>240</v>
      </c>
      <c r="H62" s="234">
        <v>153</v>
      </c>
      <c r="I62" s="236">
        <f t="shared" si="4"/>
        <v>459</v>
      </c>
      <c r="J62" s="351"/>
      <c r="K62" s="241">
        <v>434.52</v>
      </c>
      <c r="L62" s="237">
        <v>41057</v>
      </c>
      <c r="M62" s="236" t="s">
        <v>329</v>
      </c>
      <c r="N62" s="235">
        <f t="shared" si="1"/>
        <v>459</v>
      </c>
      <c r="O62" s="235">
        <f t="shared" si="2"/>
        <v>0</v>
      </c>
      <c r="P62" s="238" t="s">
        <v>456</v>
      </c>
      <c r="Q62" s="1" t="s">
        <v>404</v>
      </c>
      <c r="R62" s="239" t="s">
        <v>416</v>
      </c>
      <c r="S62" s="238" t="s">
        <v>417</v>
      </c>
      <c r="U62" s="238" t="s">
        <v>457</v>
      </c>
      <c r="V62" s="238" t="s">
        <v>255</v>
      </c>
      <c r="Y62" s="249"/>
      <c r="Z62" s="239"/>
      <c r="AA62" s="240" t="s">
        <v>400</v>
      </c>
      <c r="AB62" s="1" t="s">
        <v>379</v>
      </c>
    </row>
    <row r="63" spans="1:28" ht="11.25" customHeight="1">
      <c r="A63" s="233">
        <v>41043</v>
      </c>
      <c r="B63" s="1" t="s">
        <v>2128</v>
      </c>
      <c r="C63" s="1" t="s">
        <v>2086</v>
      </c>
      <c r="D63" s="1" t="s">
        <v>306</v>
      </c>
      <c r="E63" s="1">
        <v>1426</v>
      </c>
      <c r="F63" s="1">
        <v>2</v>
      </c>
      <c r="G63" s="5" t="s">
        <v>2169</v>
      </c>
      <c r="H63" s="234">
        <v>21.49</v>
      </c>
      <c r="I63" s="236">
        <f t="shared" si="4"/>
        <v>42.98</v>
      </c>
      <c r="J63" s="351"/>
      <c r="K63" s="241">
        <v>38.799999999999997</v>
      </c>
      <c r="L63" s="237">
        <v>41057</v>
      </c>
      <c r="M63" s="236" t="s">
        <v>329</v>
      </c>
      <c r="N63" s="235">
        <f t="shared" si="1"/>
        <v>42.98</v>
      </c>
      <c r="O63" s="235">
        <f t="shared" si="2"/>
        <v>0</v>
      </c>
      <c r="P63" s="238" t="s">
        <v>456</v>
      </c>
      <c r="Q63" s="1" t="s">
        <v>404</v>
      </c>
      <c r="R63" s="239" t="s">
        <v>416</v>
      </c>
      <c r="S63" s="238" t="s">
        <v>417</v>
      </c>
      <c r="U63" s="238" t="s">
        <v>457</v>
      </c>
      <c r="V63" s="238" t="s">
        <v>255</v>
      </c>
      <c r="Y63" s="249"/>
      <c r="Z63" s="239"/>
      <c r="AA63" s="240" t="s">
        <v>400</v>
      </c>
      <c r="AB63" s="1" t="s">
        <v>379</v>
      </c>
    </row>
    <row r="64" spans="1:28" ht="11.25" customHeight="1">
      <c r="A64" s="233">
        <v>41043</v>
      </c>
      <c r="B64" s="1" t="s">
        <v>2128</v>
      </c>
      <c r="C64" s="1" t="s">
        <v>2086</v>
      </c>
      <c r="D64" s="1" t="s">
        <v>250</v>
      </c>
      <c r="E64" s="1">
        <v>1427</v>
      </c>
      <c r="F64" s="1">
        <v>2</v>
      </c>
      <c r="G64" s="1" t="s">
        <v>240</v>
      </c>
      <c r="H64" s="234">
        <v>87</v>
      </c>
      <c r="I64" s="236">
        <f t="shared" si="4"/>
        <v>174</v>
      </c>
      <c r="J64" s="351"/>
      <c r="K64" s="241">
        <v>164.72</v>
      </c>
      <c r="L64" s="237">
        <v>41057</v>
      </c>
      <c r="M64" s="236" t="s">
        <v>329</v>
      </c>
      <c r="N64" s="235">
        <f t="shared" si="1"/>
        <v>174</v>
      </c>
      <c r="O64" s="235">
        <f t="shared" si="2"/>
        <v>0</v>
      </c>
      <c r="P64" s="238" t="s">
        <v>456</v>
      </c>
      <c r="Q64" s="1" t="s">
        <v>404</v>
      </c>
      <c r="R64" s="239" t="s">
        <v>416</v>
      </c>
      <c r="S64" s="238" t="s">
        <v>417</v>
      </c>
      <c r="U64" s="238" t="s">
        <v>457</v>
      </c>
      <c r="V64" s="238" t="s">
        <v>255</v>
      </c>
      <c r="Y64" s="249"/>
      <c r="Z64" s="239"/>
      <c r="AA64" s="240" t="s">
        <v>400</v>
      </c>
      <c r="AB64" s="1" t="s">
        <v>379</v>
      </c>
    </row>
    <row r="65" spans="1:28" ht="11.25" customHeight="1">
      <c r="A65" s="233">
        <v>41043</v>
      </c>
      <c r="B65" s="1" t="s">
        <v>2128</v>
      </c>
      <c r="C65" s="1" t="s">
        <v>2086</v>
      </c>
      <c r="D65" s="1" t="s">
        <v>292</v>
      </c>
      <c r="E65" s="1">
        <v>1436</v>
      </c>
      <c r="F65" s="1">
        <v>2</v>
      </c>
      <c r="G65" s="1" t="s">
        <v>240</v>
      </c>
      <c r="H65" s="234">
        <v>32.869999999999997</v>
      </c>
      <c r="I65" s="236">
        <f t="shared" si="4"/>
        <v>65.739999999999995</v>
      </c>
      <c r="J65" s="351"/>
      <c r="K65" s="241">
        <v>59.34</v>
      </c>
      <c r="L65" s="237">
        <v>41057</v>
      </c>
      <c r="M65" s="236" t="s">
        <v>329</v>
      </c>
      <c r="N65" s="235">
        <f t="shared" si="1"/>
        <v>65.739999999999995</v>
      </c>
      <c r="O65" s="235">
        <f t="shared" si="2"/>
        <v>0</v>
      </c>
      <c r="P65" s="238" t="s">
        <v>456</v>
      </c>
      <c r="Q65" s="1" t="s">
        <v>404</v>
      </c>
      <c r="R65" s="239" t="s">
        <v>416</v>
      </c>
      <c r="S65" s="238" t="s">
        <v>417</v>
      </c>
      <c r="U65" s="238" t="s">
        <v>457</v>
      </c>
      <c r="V65" s="238" t="s">
        <v>255</v>
      </c>
      <c r="Y65" s="249"/>
      <c r="Z65" s="239"/>
      <c r="AA65" s="240" t="s">
        <v>400</v>
      </c>
      <c r="AB65" s="1" t="s">
        <v>379</v>
      </c>
    </row>
    <row r="66" spans="1:28" ht="11.25" customHeight="1">
      <c r="A66" s="233">
        <v>41043</v>
      </c>
      <c r="B66" s="1" t="s">
        <v>451</v>
      </c>
      <c r="C66" s="1" t="s">
        <v>2086</v>
      </c>
      <c r="D66" s="1" t="s">
        <v>307</v>
      </c>
      <c r="E66" s="1">
        <v>1270</v>
      </c>
      <c r="F66" s="1">
        <v>10</v>
      </c>
      <c r="G66" s="1" t="s">
        <v>240</v>
      </c>
      <c r="H66" s="234">
        <v>4.83</v>
      </c>
      <c r="I66" s="236">
        <f t="shared" si="4"/>
        <v>48.3</v>
      </c>
      <c r="J66" s="351"/>
      <c r="K66" s="241">
        <v>46.4</v>
      </c>
      <c r="L66" s="237">
        <v>41043</v>
      </c>
      <c r="M66" s="236" t="s">
        <v>302</v>
      </c>
      <c r="N66" s="235">
        <f t="shared" si="1"/>
        <v>48.3</v>
      </c>
      <c r="O66" s="235">
        <f t="shared" si="2"/>
        <v>0</v>
      </c>
      <c r="P66" s="238" t="s">
        <v>458</v>
      </c>
      <c r="Q66" s="1" t="s">
        <v>393</v>
      </c>
      <c r="R66" s="239" t="s">
        <v>2170</v>
      </c>
      <c r="S66" s="238" t="s">
        <v>2171</v>
      </c>
      <c r="V66" s="238" t="s">
        <v>2172</v>
      </c>
      <c r="W66" s="236">
        <v>784.3</v>
      </c>
      <c r="X66" s="233">
        <v>41113</v>
      </c>
      <c r="Y66" s="238" t="s">
        <v>2131</v>
      </c>
      <c r="Z66" s="239"/>
      <c r="AB66" s="1" t="s">
        <v>379</v>
      </c>
    </row>
    <row r="67" spans="1:28" ht="11.25" customHeight="1">
      <c r="A67" s="233">
        <v>41043</v>
      </c>
      <c r="B67" s="1" t="s">
        <v>451</v>
      </c>
      <c r="C67" s="1" t="s">
        <v>2086</v>
      </c>
      <c r="D67" s="1" t="s">
        <v>309</v>
      </c>
      <c r="E67" s="1">
        <v>1110</v>
      </c>
      <c r="F67" s="1">
        <v>50</v>
      </c>
      <c r="G67" s="1" t="s">
        <v>240</v>
      </c>
      <c r="H67" s="234">
        <v>0.86</v>
      </c>
      <c r="I67" s="236">
        <f t="shared" si="4"/>
        <v>43</v>
      </c>
      <c r="J67" s="351"/>
      <c r="K67" s="241">
        <v>40</v>
      </c>
      <c r="L67" s="237">
        <v>41043</v>
      </c>
      <c r="M67" s="236" t="s">
        <v>302</v>
      </c>
      <c r="N67" s="235">
        <f t="shared" ref="N67:N130" si="5">I67</f>
        <v>43</v>
      </c>
      <c r="O67" s="235">
        <f t="shared" ref="O67:O130" si="6">I67-N67</f>
        <v>0</v>
      </c>
      <c r="P67" s="238" t="s">
        <v>458</v>
      </c>
      <c r="Q67" s="1" t="s">
        <v>393</v>
      </c>
      <c r="R67" s="239" t="s">
        <v>2170</v>
      </c>
      <c r="S67" s="238" t="s">
        <v>2171</v>
      </c>
      <c r="V67" s="238" t="s">
        <v>2172</v>
      </c>
      <c r="W67" s="236">
        <v>784.3</v>
      </c>
      <c r="X67" s="233">
        <v>41113</v>
      </c>
      <c r="Y67" s="238" t="s">
        <v>2131</v>
      </c>
      <c r="Z67" s="239"/>
      <c r="AB67" s="1" t="s">
        <v>379</v>
      </c>
    </row>
    <row r="68" spans="1:28" ht="11.25" customHeight="1">
      <c r="A68" s="233">
        <v>41045</v>
      </c>
      <c r="B68" s="1" t="s">
        <v>385</v>
      </c>
      <c r="C68" s="1" t="s">
        <v>2086</v>
      </c>
      <c r="D68" s="1" t="s">
        <v>1216</v>
      </c>
      <c r="E68" s="1">
        <v>3200</v>
      </c>
      <c r="F68" s="1">
        <v>100</v>
      </c>
      <c r="G68" s="1" t="s">
        <v>230</v>
      </c>
      <c r="H68" s="234">
        <v>37.57</v>
      </c>
      <c r="I68" s="236">
        <f>H68*F68</f>
        <v>3757</v>
      </c>
      <c r="J68" s="351"/>
      <c r="K68" s="241">
        <v>3536.3</v>
      </c>
      <c r="L68" s="237">
        <v>41045</v>
      </c>
      <c r="M68" s="236" t="s">
        <v>410</v>
      </c>
      <c r="N68" s="235">
        <f t="shared" si="5"/>
        <v>3757</v>
      </c>
      <c r="O68" s="235">
        <f t="shared" si="6"/>
        <v>0</v>
      </c>
      <c r="P68" s="238" t="s">
        <v>459</v>
      </c>
      <c r="Q68" s="1" t="s">
        <v>436</v>
      </c>
      <c r="R68" s="239" t="s">
        <v>385</v>
      </c>
      <c r="S68" s="238" t="s">
        <v>460</v>
      </c>
      <c r="U68" s="238" t="s">
        <v>461</v>
      </c>
      <c r="V68" s="238" t="s">
        <v>2173</v>
      </c>
      <c r="W68" s="236">
        <v>6121</v>
      </c>
      <c r="X68" s="233">
        <v>41080</v>
      </c>
      <c r="Y68" s="238" t="s">
        <v>2174</v>
      </c>
      <c r="Z68" s="238"/>
      <c r="AB68" s="1" t="s">
        <v>379</v>
      </c>
    </row>
    <row r="69" spans="1:28" ht="11.25" customHeight="1">
      <c r="A69" s="233">
        <v>41045</v>
      </c>
      <c r="B69" s="1" t="s">
        <v>385</v>
      </c>
      <c r="C69" s="1" t="s">
        <v>2086</v>
      </c>
      <c r="D69" s="1" t="s">
        <v>233</v>
      </c>
      <c r="E69" s="1" t="s">
        <v>2129</v>
      </c>
      <c r="F69" s="1">
        <v>5000</v>
      </c>
      <c r="G69" s="1" t="s">
        <v>232</v>
      </c>
      <c r="H69" s="234">
        <v>1.97</v>
      </c>
      <c r="I69" s="236">
        <f t="shared" si="4"/>
        <v>9850</v>
      </c>
      <c r="J69" s="352">
        <v>1.85</v>
      </c>
      <c r="K69" s="241">
        <v>9275</v>
      </c>
      <c r="L69" s="237">
        <v>41045</v>
      </c>
      <c r="M69" s="236" t="s">
        <v>410</v>
      </c>
      <c r="N69" s="235">
        <f t="shared" si="5"/>
        <v>9850</v>
      </c>
      <c r="O69" s="235">
        <f t="shared" si="6"/>
        <v>0</v>
      </c>
      <c r="P69" s="238" t="s">
        <v>459</v>
      </c>
      <c r="Q69" s="1" t="s">
        <v>436</v>
      </c>
      <c r="R69" s="239" t="s">
        <v>385</v>
      </c>
      <c r="S69" s="238" t="s">
        <v>460</v>
      </c>
      <c r="U69" s="238" t="s">
        <v>461</v>
      </c>
      <c r="V69" s="238" t="s">
        <v>2175</v>
      </c>
      <c r="W69" s="236">
        <v>11623</v>
      </c>
      <c r="X69" s="233">
        <v>41080</v>
      </c>
      <c r="Y69" s="238" t="s">
        <v>2174</v>
      </c>
      <c r="Z69" s="238"/>
      <c r="AB69" s="1" t="s">
        <v>379</v>
      </c>
    </row>
    <row r="70" spans="1:28" ht="11.25" customHeight="1">
      <c r="A70" s="233">
        <v>41045</v>
      </c>
      <c r="B70" s="1" t="s">
        <v>312</v>
      </c>
      <c r="C70" s="1" t="s">
        <v>2086</v>
      </c>
      <c r="D70" s="1" t="s">
        <v>233</v>
      </c>
      <c r="E70" s="1" t="s">
        <v>2091</v>
      </c>
      <c r="F70" s="1">
        <v>40</v>
      </c>
      <c r="G70" s="1" t="s">
        <v>232</v>
      </c>
      <c r="H70" s="234">
        <v>5.98</v>
      </c>
      <c r="I70" s="236">
        <f t="shared" si="4"/>
        <v>239.20000000000002</v>
      </c>
      <c r="J70" s="351">
        <v>5.98</v>
      </c>
      <c r="K70" s="241">
        <v>239.2</v>
      </c>
      <c r="L70" s="237">
        <v>41045</v>
      </c>
      <c r="M70" s="236" t="s">
        <v>302</v>
      </c>
      <c r="N70" s="235">
        <f t="shared" si="5"/>
        <v>239.20000000000002</v>
      </c>
      <c r="O70" s="235">
        <f t="shared" si="6"/>
        <v>0</v>
      </c>
      <c r="P70" s="238" t="s">
        <v>313</v>
      </c>
      <c r="Q70" s="1" t="s">
        <v>1875</v>
      </c>
      <c r="V70" s="238" t="s">
        <v>2176</v>
      </c>
      <c r="Y70" s="249"/>
      <c r="Z70" s="239"/>
      <c r="AB70" s="1" t="s">
        <v>379</v>
      </c>
    </row>
    <row r="71" spans="1:28" ht="11.25" customHeight="1">
      <c r="A71" s="233">
        <v>41046</v>
      </c>
      <c r="B71" s="1" t="s">
        <v>2177</v>
      </c>
      <c r="C71" s="1" t="s">
        <v>2086</v>
      </c>
      <c r="D71" s="1" t="s">
        <v>1219</v>
      </c>
      <c r="E71" s="1" t="s">
        <v>2178</v>
      </c>
      <c r="F71" s="1">
        <v>50</v>
      </c>
      <c r="G71" s="1" t="s">
        <v>240</v>
      </c>
      <c r="H71" s="234">
        <v>21</v>
      </c>
      <c r="I71" s="236">
        <f t="shared" si="4"/>
        <v>1050</v>
      </c>
      <c r="J71" s="351"/>
      <c r="K71" s="250">
        <v>670</v>
      </c>
      <c r="L71" s="237">
        <v>41047</v>
      </c>
      <c r="M71" s="236" t="s">
        <v>410</v>
      </c>
      <c r="N71" s="235">
        <f t="shared" si="5"/>
        <v>1050</v>
      </c>
      <c r="O71" s="235">
        <f t="shared" si="6"/>
        <v>0</v>
      </c>
      <c r="P71" s="238" t="s">
        <v>462</v>
      </c>
      <c r="Q71" s="1" t="s">
        <v>442</v>
      </c>
      <c r="R71" s="239" t="s">
        <v>463</v>
      </c>
      <c r="S71" s="238" t="s">
        <v>2179</v>
      </c>
      <c r="T71" s="238" t="s">
        <v>2180</v>
      </c>
      <c r="U71" s="238" t="s">
        <v>464</v>
      </c>
      <c r="V71" s="238" t="s">
        <v>2181</v>
      </c>
      <c r="W71" s="236">
        <v>1050</v>
      </c>
      <c r="X71" s="233">
        <v>41107</v>
      </c>
      <c r="Y71" s="249" t="s">
        <v>2182</v>
      </c>
      <c r="Z71" s="238"/>
      <c r="AB71" s="1" t="s">
        <v>2183</v>
      </c>
    </row>
    <row r="72" spans="1:28" ht="11.25" customHeight="1">
      <c r="A72" s="233">
        <v>41051</v>
      </c>
      <c r="B72" s="1" t="s">
        <v>378</v>
      </c>
      <c r="C72" s="1" t="s">
        <v>2184</v>
      </c>
      <c r="D72" s="1" t="s">
        <v>320</v>
      </c>
      <c r="E72" s="1">
        <v>7772</v>
      </c>
      <c r="F72" s="1">
        <v>10</v>
      </c>
      <c r="G72" s="1" t="s">
        <v>230</v>
      </c>
      <c r="H72" s="234">
        <v>118.7</v>
      </c>
      <c r="I72" s="236">
        <f t="shared" si="4"/>
        <v>1187</v>
      </c>
      <c r="J72" s="351"/>
      <c r="K72" s="241">
        <v>1136.7</v>
      </c>
      <c r="L72" s="237">
        <v>41051</v>
      </c>
      <c r="M72" s="236" t="s">
        <v>410</v>
      </c>
      <c r="N72" s="235">
        <f t="shared" si="5"/>
        <v>1187</v>
      </c>
      <c r="O72" s="235">
        <f t="shared" si="6"/>
        <v>0</v>
      </c>
      <c r="P72" s="238" t="s">
        <v>465</v>
      </c>
      <c r="Q72" s="1" t="s">
        <v>436</v>
      </c>
      <c r="R72" s="239" t="s">
        <v>437</v>
      </c>
      <c r="S72" s="238" t="s">
        <v>438</v>
      </c>
      <c r="U72" s="238" t="s">
        <v>439</v>
      </c>
      <c r="V72" s="238" t="s">
        <v>2185</v>
      </c>
      <c r="W72" s="236">
        <v>5992.1</v>
      </c>
      <c r="X72" s="233">
        <v>41109</v>
      </c>
      <c r="Y72" s="249">
        <v>468490602767</v>
      </c>
      <c r="Z72" s="242"/>
      <c r="AB72" s="1" t="s">
        <v>379</v>
      </c>
    </row>
    <row r="73" spans="1:28" ht="11.25" customHeight="1">
      <c r="A73" s="233">
        <v>41051</v>
      </c>
      <c r="B73" s="1" t="s">
        <v>378</v>
      </c>
      <c r="C73" s="1" t="s">
        <v>2184</v>
      </c>
      <c r="D73" s="1" t="s">
        <v>295</v>
      </c>
      <c r="E73" s="1">
        <v>7744</v>
      </c>
      <c r="F73" s="1">
        <v>200</v>
      </c>
      <c r="G73" s="1" t="s">
        <v>232</v>
      </c>
      <c r="H73" s="234">
        <v>6.89</v>
      </c>
      <c r="I73" s="236">
        <f t="shared" si="4"/>
        <v>1378</v>
      </c>
      <c r="J73" s="351"/>
      <c r="K73" s="241">
        <v>1360</v>
      </c>
      <c r="L73" s="237">
        <v>41051</v>
      </c>
      <c r="M73" s="236" t="s">
        <v>410</v>
      </c>
      <c r="N73" s="235">
        <f t="shared" si="5"/>
        <v>1378</v>
      </c>
      <c r="O73" s="235">
        <f t="shared" si="6"/>
        <v>0</v>
      </c>
      <c r="P73" s="238" t="s">
        <v>465</v>
      </c>
      <c r="Q73" s="1" t="s">
        <v>436</v>
      </c>
      <c r="R73" s="239" t="s">
        <v>437</v>
      </c>
      <c r="S73" s="238" t="s">
        <v>438</v>
      </c>
      <c r="U73" s="238" t="s">
        <v>439</v>
      </c>
      <c r="V73" s="238" t="s">
        <v>2185</v>
      </c>
      <c r="W73" s="236">
        <v>5992.1</v>
      </c>
      <c r="X73" s="233">
        <v>41109</v>
      </c>
      <c r="Y73" s="249">
        <v>468490602767</v>
      </c>
      <c r="Z73" s="242"/>
      <c r="AB73" s="1" t="s">
        <v>379</v>
      </c>
    </row>
    <row r="74" spans="1:28" ht="11.25" customHeight="1">
      <c r="A74" s="233">
        <v>41051</v>
      </c>
      <c r="B74" s="1" t="s">
        <v>378</v>
      </c>
      <c r="C74" s="1" t="s">
        <v>2184</v>
      </c>
      <c r="D74" s="1" t="s">
        <v>264</v>
      </c>
      <c r="E74" s="1">
        <v>774</v>
      </c>
      <c r="F74" s="1">
        <v>50</v>
      </c>
      <c r="G74" s="1" t="s">
        <v>230</v>
      </c>
      <c r="H74" s="234">
        <v>6.31</v>
      </c>
      <c r="I74" s="236">
        <f t="shared" si="4"/>
        <v>315.5</v>
      </c>
      <c r="J74" s="351"/>
      <c r="K74" s="241">
        <v>311.5</v>
      </c>
      <c r="L74" s="237">
        <v>41051</v>
      </c>
      <c r="M74" s="236" t="s">
        <v>410</v>
      </c>
      <c r="N74" s="235">
        <f t="shared" si="5"/>
        <v>315.5</v>
      </c>
      <c r="O74" s="235">
        <f t="shared" si="6"/>
        <v>0</v>
      </c>
      <c r="P74" s="238" t="s">
        <v>465</v>
      </c>
      <c r="Q74" s="1" t="s">
        <v>436</v>
      </c>
      <c r="R74" s="239" t="s">
        <v>437</v>
      </c>
      <c r="S74" s="238" t="s">
        <v>438</v>
      </c>
      <c r="U74" s="238" t="s">
        <v>439</v>
      </c>
      <c r="V74" s="238" t="s">
        <v>2098</v>
      </c>
      <c r="W74" s="236">
        <v>5992.1</v>
      </c>
      <c r="X74" s="233">
        <v>41109</v>
      </c>
      <c r="Y74" s="249">
        <v>468490602767</v>
      </c>
      <c r="Z74" s="242"/>
      <c r="AB74" s="1" t="s">
        <v>379</v>
      </c>
    </row>
    <row r="75" spans="1:28" ht="11.25" customHeight="1">
      <c r="A75" s="233">
        <v>41051</v>
      </c>
      <c r="B75" s="1" t="s">
        <v>2186</v>
      </c>
      <c r="C75" s="1" t="s">
        <v>2095</v>
      </c>
      <c r="D75" s="1" t="s">
        <v>274</v>
      </c>
      <c r="E75" s="1" t="s">
        <v>2126</v>
      </c>
      <c r="F75" s="1">
        <v>1800</v>
      </c>
      <c r="G75" s="1" t="s">
        <v>230</v>
      </c>
      <c r="H75" s="234">
        <v>32</v>
      </c>
      <c r="I75" s="236">
        <f t="shared" si="4"/>
        <v>57600</v>
      </c>
      <c r="J75" s="351">
        <v>31</v>
      </c>
      <c r="K75" s="241">
        <v>55800</v>
      </c>
      <c r="L75" s="237">
        <v>41051</v>
      </c>
      <c r="M75" s="236" t="s">
        <v>410</v>
      </c>
      <c r="N75" s="235">
        <f t="shared" si="5"/>
        <v>57600</v>
      </c>
      <c r="O75" s="235">
        <f t="shared" si="6"/>
        <v>0</v>
      </c>
      <c r="P75" s="238" t="s">
        <v>467</v>
      </c>
      <c r="Q75" s="1" t="s">
        <v>436</v>
      </c>
      <c r="R75" s="239" t="s">
        <v>437</v>
      </c>
      <c r="S75" s="238" t="s">
        <v>438</v>
      </c>
      <c r="U75" s="238" t="s">
        <v>439</v>
      </c>
      <c r="V75" s="238" t="s">
        <v>468</v>
      </c>
      <c r="W75" s="236" t="s">
        <v>469</v>
      </c>
      <c r="X75" s="233">
        <v>41072</v>
      </c>
      <c r="Y75" s="238" t="s">
        <v>2187</v>
      </c>
      <c r="Z75" s="238"/>
      <c r="AB75" s="1" t="s">
        <v>379</v>
      </c>
    </row>
    <row r="76" spans="1:28" ht="11.25" customHeight="1">
      <c r="A76" s="233">
        <v>41051</v>
      </c>
      <c r="B76" s="1" t="s">
        <v>466</v>
      </c>
      <c r="C76" s="1" t="s">
        <v>2095</v>
      </c>
      <c r="D76" s="1" t="s">
        <v>241</v>
      </c>
      <c r="E76" s="1">
        <v>6200</v>
      </c>
      <c r="F76" s="1">
        <v>360</v>
      </c>
      <c r="G76" s="1" t="s">
        <v>230</v>
      </c>
      <c r="H76" s="234">
        <v>46</v>
      </c>
      <c r="I76" s="236">
        <f t="shared" si="4"/>
        <v>16560</v>
      </c>
      <c r="J76" s="351">
        <v>45.8</v>
      </c>
      <c r="K76" s="241" t="e">
        <f>#REF!*F76</f>
        <v>#REF!</v>
      </c>
      <c r="L76" s="237">
        <v>41051</v>
      </c>
      <c r="M76" s="236" t="s">
        <v>410</v>
      </c>
      <c r="N76" s="235">
        <f t="shared" si="5"/>
        <v>16560</v>
      </c>
      <c r="O76" s="235">
        <f t="shared" si="6"/>
        <v>0</v>
      </c>
      <c r="P76" s="238" t="s">
        <v>467</v>
      </c>
      <c r="Q76" s="1" t="s">
        <v>470</v>
      </c>
      <c r="R76" s="239" t="s">
        <v>471</v>
      </c>
      <c r="S76" s="238" t="s">
        <v>472</v>
      </c>
      <c r="U76" s="238" t="s">
        <v>473</v>
      </c>
      <c r="V76" s="238" t="s">
        <v>474</v>
      </c>
      <c r="W76" s="236" t="s">
        <v>475</v>
      </c>
      <c r="X76" s="233">
        <v>41072</v>
      </c>
      <c r="Y76" s="238" t="s">
        <v>2188</v>
      </c>
      <c r="Z76" s="238"/>
      <c r="AB76" s="1" t="s">
        <v>379</v>
      </c>
    </row>
    <row r="77" spans="1:28" ht="11.25" customHeight="1">
      <c r="A77" s="233">
        <v>41051</v>
      </c>
      <c r="B77" s="1" t="s">
        <v>466</v>
      </c>
      <c r="C77" s="1" t="s">
        <v>2189</v>
      </c>
      <c r="D77" s="1" t="s">
        <v>233</v>
      </c>
      <c r="E77" s="1" t="s">
        <v>2190</v>
      </c>
      <c r="F77" s="1">
        <v>3400</v>
      </c>
      <c r="G77" s="1" t="s">
        <v>232</v>
      </c>
      <c r="H77" s="234">
        <v>5.8</v>
      </c>
      <c r="I77" s="236">
        <f t="shared" si="4"/>
        <v>19720</v>
      </c>
      <c r="J77" s="351">
        <v>5.0999999999999996</v>
      </c>
      <c r="K77" s="241">
        <v>17340</v>
      </c>
      <c r="L77" s="237">
        <v>41051</v>
      </c>
      <c r="M77" s="236" t="s">
        <v>410</v>
      </c>
      <c r="N77" s="235">
        <f t="shared" si="5"/>
        <v>19720</v>
      </c>
      <c r="O77" s="235">
        <f t="shared" si="6"/>
        <v>0</v>
      </c>
      <c r="P77" s="238" t="s">
        <v>467</v>
      </c>
      <c r="Q77" s="1" t="s">
        <v>470</v>
      </c>
      <c r="R77" s="239" t="s">
        <v>471</v>
      </c>
      <c r="S77" s="238" t="s">
        <v>472</v>
      </c>
      <c r="U77" s="238" t="s">
        <v>473</v>
      </c>
      <c r="V77" s="238" t="s">
        <v>476</v>
      </c>
      <c r="W77" s="236" t="s">
        <v>477</v>
      </c>
      <c r="X77" s="233">
        <v>41072</v>
      </c>
      <c r="Y77" s="238" t="s">
        <v>2188</v>
      </c>
      <c r="Z77" s="238"/>
      <c r="AB77" s="1" t="s">
        <v>379</v>
      </c>
    </row>
    <row r="78" spans="1:28" ht="11.25" customHeight="1">
      <c r="A78" s="233">
        <v>41051</v>
      </c>
      <c r="B78" s="1" t="s">
        <v>466</v>
      </c>
      <c r="C78" s="1" t="s">
        <v>2189</v>
      </c>
      <c r="D78" s="1" t="s">
        <v>264</v>
      </c>
      <c r="E78" s="1">
        <v>501</v>
      </c>
      <c r="F78" s="1">
        <v>700</v>
      </c>
      <c r="G78" s="1" t="s">
        <v>230</v>
      </c>
      <c r="H78" s="234">
        <v>1.45</v>
      </c>
      <c r="I78" s="236">
        <f t="shared" si="4"/>
        <v>1015</v>
      </c>
      <c r="J78" s="351">
        <v>1.4</v>
      </c>
      <c r="K78" s="241">
        <v>979.99999999999989</v>
      </c>
      <c r="L78" s="237">
        <v>41051</v>
      </c>
      <c r="M78" s="236" t="s">
        <v>410</v>
      </c>
      <c r="N78" s="235">
        <f t="shared" si="5"/>
        <v>1015</v>
      </c>
      <c r="O78" s="235">
        <f t="shared" si="6"/>
        <v>0</v>
      </c>
      <c r="P78" s="238" t="s">
        <v>467</v>
      </c>
      <c r="Q78" s="1" t="s">
        <v>470</v>
      </c>
      <c r="R78" s="239" t="s">
        <v>471</v>
      </c>
      <c r="S78" s="238" t="s">
        <v>472</v>
      </c>
      <c r="U78" s="238" t="s">
        <v>473</v>
      </c>
      <c r="V78" s="238" t="s">
        <v>478</v>
      </c>
      <c r="W78" s="236">
        <v>10265</v>
      </c>
      <c r="X78" s="233">
        <v>41072</v>
      </c>
      <c r="Y78" s="238" t="s">
        <v>2188</v>
      </c>
      <c r="Z78" s="238"/>
      <c r="AB78" s="1" t="s">
        <v>379</v>
      </c>
    </row>
    <row r="79" spans="1:28" ht="11.25" customHeight="1">
      <c r="A79" s="233">
        <v>41053</v>
      </c>
      <c r="B79" s="1" t="s">
        <v>2191</v>
      </c>
      <c r="C79" s="1" t="s">
        <v>2189</v>
      </c>
      <c r="D79" s="1" t="s">
        <v>1720</v>
      </c>
      <c r="E79" s="1">
        <v>8210</v>
      </c>
      <c r="F79" s="1">
        <v>160</v>
      </c>
      <c r="G79" s="1" t="s">
        <v>2192</v>
      </c>
      <c r="H79" s="234">
        <v>4.5</v>
      </c>
      <c r="I79" s="236">
        <f t="shared" si="4"/>
        <v>720</v>
      </c>
      <c r="J79" s="351"/>
      <c r="K79" s="241">
        <v>691.2</v>
      </c>
      <c r="L79" s="237">
        <v>41053</v>
      </c>
      <c r="M79" s="236" t="s">
        <v>302</v>
      </c>
      <c r="N79" s="235">
        <f t="shared" si="5"/>
        <v>720</v>
      </c>
      <c r="O79" s="235">
        <f t="shared" si="6"/>
        <v>0</v>
      </c>
      <c r="P79" s="238" t="s">
        <v>479</v>
      </c>
      <c r="Q79" s="1" t="s">
        <v>429</v>
      </c>
      <c r="R79" s="239" t="s">
        <v>2193</v>
      </c>
      <c r="S79" s="238" t="s">
        <v>2194</v>
      </c>
      <c r="T79" s="238" t="s">
        <v>3562</v>
      </c>
      <c r="V79" s="238" t="s">
        <v>255</v>
      </c>
      <c r="Y79" s="249"/>
      <c r="Z79" s="239"/>
      <c r="AB79" s="1" t="s">
        <v>379</v>
      </c>
    </row>
    <row r="80" spans="1:28" ht="11.25" customHeight="1">
      <c r="A80" s="233">
        <v>41054</v>
      </c>
      <c r="B80" s="1" t="s">
        <v>480</v>
      </c>
      <c r="C80" s="1" t="s">
        <v>2086</v>
      </c>
      <c r="D80" s="5" t="s">
        <v>2103</v>
      </c>
      <c r="E80" s="1" t="s">
        <v>2104</v>
      </c>
      <c r="F80" s="5">
        <v>200</v>
      </c>
      <c r="G80" s="1" t="s">
        <v>5002</v>
      </c>
      <c r="H80" s="234">
        <v>2.6</v>
      </c>
      <c r="I80" s="236">
        <f t="shared" si="4"/>
        <v>520</v>
      </c>
      <c r="J80" s="351">
        <v>1.66</v>
      </c>
      <c r="K80" s="241">
        <f t="shared" ref="K80:K85" si="7">1.66*F80</f>
        <v>332</v>
      </c>
      <c r="L80" s="237">
        <v>41054</v>
      </c>
      <c r="M80" s="236" t="s">
        <v>302</v>
      </c>
      <c r="N80" s="235">
        <f t="shared" si="5"/>
        <v>520</v>
      </c>
      <c r="O80" s="235">
        <f t="shared" si="6"/>
        <v>0</v>
      </c>
      <c r="P80" s="238" t="s">
        <v>481</v>
      </c>
      <c r="Q80" s="1" t="s">
        <v>393</v>
      </c>
      <c r="S80" s="238" t="s">
        <v>2195</v>
      </c>
      <c r="V80" s="238" t="s">
        <v>255</v>
      </c>
      <c r="Y80" s="249"/>
      <c r="Z80" s="239"/>
      <c r="AB80" s="1" t="s">
        <v>384</v>
      </c>
    </row>
    <row r="81" spans="1:28" ht="12" customHeight="1">
      <c r="A81" s="233">
        <v>41054</v>
      </c>
      <c r="B81" s="1" t="s">
        <v>2196</v>
      </c>
      <c r="C81" s="1" t="s">
        <v>2086</v>
      </c>
      <c r="D81" s="5" t="s">
        <v>2103</v>
      </c>
      <c r="E81" s="1" t="s">
        <v>2104</v>
      </c>
      <c r="F81" s="5">
        <v>150</v>
      </c>
      <c r="G81" s="1" t="s">
        <v>5002</v>
      </c>
      <c r="H81" s="234">
        <v>2.6</v>
      </c>
      <c r="I81" s="236">
        <f t="shared" si="4"/>
        <v>390</v>
      </c>
      <c r="J81" s="351">
        <v>1.66</v>
      </c>
      <c r="K81" s="241">
        <f t="shared" si="7"/>
        <v>249</v>
      </c>
      <c r="L81" s="237">
        <v>41054</v>
      </c>
      <c r="M81" s="236" t="s">
        <v>302</v>
      </c>
      <c r="N81" s="235">
        <f t="shared" si="5"/>
        <v>390</v>
      </c>
      <c r="O81" s="235">
        <f t="shared" si="6"/>
        <v>0</v>
      </c>
      <c r="P81" s="238" t="s">
        <v>483</v>
      </c>
      <c r="Q81" s="1" t="s">
        <v>393</v>
      </c>
      <c r="R81" s="239" t="s">
        <v>2197</v>
      </c>
      <c r="S81" s="238" t="s">
        <v>2198</v>
      </c>
      <c r="V81" s="238" t="s">
        <v>255</v>
      </c>
      <c r="Y81" s="249"/>
      <c r="Z81" s="239"/>
      <c r="AB81" s="1" t="s">
        <v>384</v>
      </c>
    </row>
    <row r="82" spans="1:28" ht="11.25" customHeight="1">
      <c r="A82" s="233">
        <v>41054</v>
      </c>
      <c r="B82" s="1" t="s">
        <v>484</v>
      </c>
      <c r="C82" s="1" t="s">
        <v>2086</v>
      </c>
      <c r="D82" s="5" t="s">
        <v>2103</v>
      </c>
      <c r="E82" s="1" t="s">
        <v>2104</v>
      </c>
      <c r="F82" s="5">
        <v>100</v>
      </c>
      <c r="G82" s="1" t="s">
        <v>5002</v>
      </c>
      <c r="H82" s="234">
        <v>2.6</v>
      </c>
      <c r="I82" s="236">
        <f t="shared" si="4"/>
        <v>260</v>
      </c>
      <c r="J82" s="351">
        <v>1.66</v>
      </c>
      <c r="K82" s="241">
        <f t="shared" si="7"/>
        <v>166</v>
      </c>
      <c r="L82" s="237">
        <v>41054</v>
      </c>
      <c r="M82" s="236" t="s">
        <v>302</v>
      </c>
      <c r="N82" s="235">
        <f t="shared" si="5"/>
        <v>260</v>
      </c>
      <c r="O82" s="235">
        <f t="shared" si="6"/>
        <v>0</v>
      </c>
      <c r="P82" s="238" t="s">
        <v>485</v>
      </c>
      <c r="Q82" s="1" t="s">
        <v>393</v>
      </c>
      <c r="S82" s="238" t="s">
        <v>2199</v>
      </c>
      <c r="V82" s="238" t="s">
        <v>255</v>
      </c>
      <c r="Y82" s="239"/>
      <c r="Z82" s="239"/>
      <c r="AB82" s="1" t="s">
        <v>384</v>
      </c>
    </row>
    <row r="83" spans="1:28" ht="11.25" customHeight="1">
      <c r="A83" s="233">
        <v>41054</v>
      </c>
      <c r="B83" s="1" t="s">
        <v>486</v>
      </c>
      <c r="C83" s="1" t="s">
        <v>2086</v>
      </c>
      <c r="D83" s="5" t="s">
        <v>2103</v>
      </c>
      <c r="E83" s="1" t="s">
        <v>2104</v>
      </c>
      <c r="F83" s="5">
        <v>50</v>
      </c>
      <c r="G83" s="1" t="s">
        <v>5002</v>
      </c>
      <c r="H83" s="234">
        <v>2.6</v>
      </c>
      <c r="I83" s="236">
        <f t="shared" si="4"/>
        <v>130</v>
      </c>
      <c r="J83" s="351">
        <v>1.66</v>
      </c>
      <c r="K83" s="241">
        <f t="shared" si="7"/>
        <v>83</v>
      </c>
      <c r="L83" s="237">
        <v>41054</v>
      </c>
      <c r="M83" s="236" t="s">
        <v>302</v>
      </c>
      <c r="N83" s="235">
        <f t="shared" si="5"/>
        <v>130</v>
      </c>
      <c r="O83" s="235">
        <f t="shared" si="6"/>
        <v>0</v>
      </c>
      <c r="P83" s="238" t="s">
        <v>487</v>
      </c>
      <c r="Q83" s="1" t="s">
        <v>393</v>
      </c>
      <c r="V83" s="238" t="s">
        <v>255</v>
      </c>
      <c r="Y83" s="239"/>
      <c r="Z83" s="239"/>
      <c r="AB83" s="1" t="s">
        <v>384</v>
      </c>
    </row>
    <row r="84" spans="1:28" ht="11.25" customHeight="1">
      <c r="A84" s="233">
        <v>41054</v>
      </c>
      <c r="B84" s="1" t="s">
        <v>488</v>
      </c>
      <c r="C84" s="1" t="s">
        <v>2086</v>
      </c>
      <c r="D84" s="5" t="s">
        <v>2103</v>
      </c>
      <c r="E84" s="1" t="s">
        <v>2104</v>
      </c>
      <c r="F84" s="5">
        <v>150</v>
      </c>
      <c r="G84" s="1" t="s">
        <v>5002</v>
      </c>
      <c r="H84" s="234">
        <v>2.6</v>
      </c>
      <c r="I84" s="236">
        <f t="shared" si="4"/>
        <v>390</v>
      </c>
      <c r="J84" s="351">
        <v>1.66</v>
      </c>
      <c r="K84" s="241">
        <f t="shared" si="7"/>
        <v>249</v>
      </c>
      <c r="L84" s="237">
        <v>41054</v>
      </c>
      <c r="M84" s="236" t="s">
        <v>302</v>
      </c>
      <c r="N84" s="235">
        <f t="shared" si="5"/>
        <v>390</v>
      </c>
      <c r="O84" s="235">
        <f t="shared" si="6"/>
        <v>0</v>
      </c>
      <c r="P84" s="238" t="s">
        <v>489</v>
      </c>
      <c r="Q84" s="1" t="s">
        <v>393</v>
      </c>
      <c r="S84" s="238" t="s">
        <v>2200</v>
      </c>
      <c r="V84" s="238" t="s">
        <v>255</v>
      </c>
      <c r="Y84" s="239"/>
      <c r="Z84" s="239"/>
      <c r="AB84" s="1" t="s">
        <v>384</v>
      </c>
    </row>
    <row r="85" spans="1:28" ht="11.25" customHeight="1">
      <c r="A85" s="233">
        <v>41054</v>
      </c>
      <c r="B85" s="1" t="s">
        <v>490</v>
      </c>
      <c r="C85" s="1" t="s">
        <v>2086</v>
      </c>
      <c r="D85" s="5" t="s">
        <v>2103</v>
      </c>
      <c r="E85" s="1" t="s">
        <v>2104</v>
      </c>
      <c r="F85" s="5">
        <v>150</v>
      </c>
      <c r="G85" s="1" t="s">
        <v>5002</v>
      </c>
      <c r="H85" s="234">
        <v>2.6</v>
      </c>
      <c r="I85" s="236">
        <f t="shared" si="4"/>
        <v>390</v>
      </c>
      <c r="J85" s="351">
        <v>1.66</v>
      </c>
      <c r="K85" s="241">
        <f t="shared" si="7"/>
        <v>249</v>
      </c>
      <c r="L85" s="237">
        <v>41054</v>
      </c>
      <c r="M85" s="236" t="s">
        <v>302</v>
      </c>
      <c r="N85" s="235">
        <f t="shared" si="5"/>
        <v>390</v>
      </c>
      <c r="O85" s="235">
        <f t="shared" si="6"/>
        <v>0</v>
      </c>
      <c r="P85" s="238" t="s">
        <v>491</v>
      </c>
      <c r="Q85" s="1" t="s">
        <v>393</v>
      </c>
      <c r="S85" s="238" t="s">
        <v>2201</v>
      </c>
      <c r="V85" s="238" t="s">
        <v>255</v>
      </c>
      <c r="Y85" s="239"/>
      <c r="Z85" s="239"/>
      <c r="AB85" s="1" t="s">
        <v>384</v>
      </c>
    </row>
    <row r="86" spans="1:28" ht="11.25" customHeight="1">
      <c r="A86" s="233">
        <v>41054</v>
      </c>
      <c r="B86" s="1" t="s">
        <v>490</v>
      </c>
      <c r="C86" s="1" t="s">
        <v>2086</v>
      </c>
      <c r="D86" s="1" t="s">
        <v>492</v>
      </c>
      <c r="E86" s="1">
        <v>3200</v>
      </c>
      <c r="F86" s="1">
        <v>1</v>
      </c>
      <c r="G86" s="1" t="s">
        <v>230</v>
      </c>
      <c r="H86" s="234">
        <v>65</v>
      </c>
      <c r="I86" s="236">
        <f t="shared" si="4"/>
        <v>65</v>
      </c>
      <c r="J86" s="351">
        <v>11.96</v>
      </c>
      <c r="K86" s="241">
        <v>26.89</v>
      </c>
      <c r="L86" s="237">
        <v>41054</v>
      </c>
      <c r="M86" s="236" t="s">
        <v>302</v>
      </c>
      <c r="N86" s="235">
        <f t="shared" si="5"/>
        <v>65</v>
      </c>
      <c r="O86" s="235">
        <f t="shared" si="6"/>
        <v>0</v>
      </c>
      <c r="P86" s="238" t="s">
        <v>493</v>
      </c>
      <c r="Q86" s="1" t="s">
        <v>393</v>
      </c>
      <c r="S86" s="238" t="s">
        <v>2201</v>
      </c>
      <c r="V86" s="238" t="s">
        <v>255</v>
      </c>
      <c r="Y86" s="239"/>
      <c r="Z86" s="239"/>
      <c r="AB86" s="1" t="s">
        <v>384</v>
      </c>
    </row>
    <row r="87" spans="1:28" ht="11.25" customHeight="1">
      <c r="A87" s="233">
        <v>41054</v>
      </c>
      <c r="B87" s="1" t="s">
        <v>490</v>
      </c>
      <c r="C87" s="1" t="s">
        <v>2086</v>
      </c>
      <c r="D87" s="1" t="s">
        <v>355</v>
      </c>
      <c r="E87" s="1" t="s">
        <v>2118</v>
      </c>
      <c r="F87" s="1">
        <v>5</v>
      </c>
      <c r="G87" s="1" t="s">
        <v>230</v>
      </c>
      <c r="H87" s="234">
        <v>20</v>
      </c>
      <c r="I87" s="236">
        <f t="shared" si="4"/>
        <v>100</v>
      </c>
      <c r="J87" s="352">
        <v>12.93</v>
      </c>
      <c r="K87" s="241">
        <f>12.93*F87</f>
        <v>64.650000000000006</v>
      </c>
      <c r="L87" s="237">
        <v>41054</v>
      </c>
      <c r="M87" s="236" t="s">
        <v>302</v>
      </c>
      <c r="N87" s="235">
        <f t="shared" si="5"/>
        <v>100</v>
      </c>
      <c r="O87" s="235">
        <f t="shared" si="6"/>
        <v>0</v>
      </c>
      <c r="P87" s="238" t="s">
        <v>493</v>
      </c>
      <c r="Q87" s="1" t="s">
        <v>393</v>
      </c>
      <c r="S87" s="238" t="s">
        <v>2201</v>
      </c>
      <c r="V87" s="238" t="s">
        <v>255</v>
      </c>
      <c r="Y87" s="239"/>
      <c r="Z87" s="239"/>
      <c r="AB87" s="1" t="s">
        <v>384</v>
      </c>
    </row>
    <row r="88" spans="1:28" ht="11.25" customHeight="1">
      <c r="A88" s="233">
        <v>41054</v>
      </c>
      <c r="B88" s="1" t="s">
        <v>480</v>
      </c>
      <c r="C88" s="1" t="s">
        <v>2086</v>
      </c>
      <c r="D88" s="1" t="s">
        <v>492</v>
      </c>
      <c r="E88" s="1">
        <v>3200</v>
      </c>
      <c r="F88" s="1">
        <v>1</v>
      </c>
      <c r="G88" s="1" t="s">
        <v>230</v>
      </c>
      <c r="H88" s="234">
        <v>65</v>
      </c>
      <c r="I88" s="236">
        <f t="shared" si="4"/>
        <v>65</v>
      </c>
      <c r="J88" s="351">
        <v>11.96</v>
      </c>
      <c r="K88" s="241">
        <v>26.89</v>
      </c>
      <c r="L88" s="237">
        <v>41054</v>
      </c>
      <c r="M88" s="236" t="s">
        <v>302</v>
      </c>
      <c r="N88" s="235">
        <f t="shared" si="5"/>
        <v>65</v>
      </c>
      <c r="O88" s="235">
        <f t="shared" si="6"/>
        <v>0</v>
      </c>
      <c r="P88" s="238" t="s">
        <v>494</v>
      </c>
      <c r="Q88" s="1" t="s">
        <v>393</v>
      </c>
      <c r="S88" s="238" t="s">
        <v>2195</v>
      </c>
      <c r="V88" s="238" t="s">
        <v>255</v>
      </c>
      <c r="Y88" s="239"/>
      <c r="Z88" s="239"/>
      <c r="AB88" s="1" t="s">
        <v>384</v>
      </c>
    </row>
    <row r="89" spans="1:28" ht="11.25" customHeight="1">
      <c r="A89" s="233">
        <v>41054</v>
      </c>
      <c r="B89" s="1" t="s">
        <v>480</v>
      </c>
      <c r="C89" s="1" t="s">
        <v>2086</v>
      </c>
      <c r="D89" s="1" t="s">
        <v>355</v>
      </c>
      <c r="E89" s="1" t="s">
        <v>2118</v>
      </c>
      <c r="F89" s="1">
        <v>5</v>
      </c>
      <c r="G89" s="1" t="s">
        <v>230</v>
      </c>
      <c r="H89" s="234">
        <v>20</v>
      </c>
      <c r="I89" s="236">
        <f t="shared" si="4"/>
        <v>100</v>
      </c>
      <c r="J89" s="352">
        <v>12.93</v>
      </c>
      <c r="K89" s="241">
        <v>64.650000000000006</v>
      </c>
      <c r="L89" s="237">
        <v>41054</v>
      </c>
      <c r="M89" s="236" t="s">
        <v>302</v>
      </c>
      <c r="N89" s="235">
        <f t="shared" si="5"/>
        <v>100</v>
      </c>
      <c r="O89" s="235">
        <f t="shared" si="6"/>
        <v>0</v>
      </c>
      <c r="P89" s="238" t="s">
        <v>494</v>
      </c>
      <c r="Q89" s="1" t="s">
        <v>393</v>
      </c>
      <c r="S89" s="238" t="s">
        <v>2195</v>
      </c>
      <c r="V89" s="238" t="s">
        <v>255</v>
      </c>
      <c r="Y89" s="239"/>
      <c r="Z89" s="239"/>
      <c r="AB89" s="1" t="s">
        <v>384</v>
      </c>
    </row>
    <row r="90" spans="1:28" ht="11.25" customHeight="1">
      <c r="A90" s="233">
        <v>41054</v>
      </c>
      <c r="B90" s="1" t="s">
        <v>488</v>
      </c>
      <c r="C90" s="1" t="s">
        <v>2086</v>
      </c>
      <c r="D90" s="1" t="s">
        <v>492</v>
      </c>
      <c r="E90" s="1">
        <v>3200</v>
      </c>
      <c r="F90" s="1">
        <v>1</v>
      </c>
      <c r="G90" s="1" t="s">
        <v>230</v>
      </c>
      <c r="H90" s="234">
        <v>65</v>
      </c>
      <c r="I90" s="236">
        <f t="shared" si="4"/>
        <v>65</v>
      </c>
      <c r="J90" s="351">
        <v>11.96</v>
      </c>
      <c r="K90" s="241">
        <v>26.89</v>
      </c>
      <c r="L90" s="237">
        <v>41054</v>
      </c>
      <c r="M90" s="236" t="s">
        <v>302</v>
      </c>
      <c r="N90" s="235">
        <f t="shared" si="5"/>
        <v>65</v>
      </c>
      <c r="O90" s="235">
        <f t="shared" si="6"/>
        <v>0</v>
      </c>
      <c r="P90" s="238" t="s">
        <v>495</v>
      </c>
      <c r="Q90" s="1" t="s">
        <v>393</v>
      </c>
      <c r="S90" s="238" t="s">
        <v>2200</v>
      </c>
      <c r="V90" s="238" t="s">
        <v>255</v>
      </c>
      <c r="Y90" s="239"/>
      <c r="Z90" s="239"/>
      <c r="AB90" s="1" t="s">
        <v>384</v>
      </c>
    </row>
    <row r="91" spans="1:28" ht="11.25" customHeight="1">
      <c r="A91" s="233">
        <v>41054</v>
      </c>
      <c r="B91" s="1" t="s">
        <v>488</v>
      </c>
      <c r="C91" s="1" t="s">
        <v>2086</v>
      </c>
      <c r="D91" s="1" t="s">
        <v>355</v>
      </c>
      <c r="E91" s="1" t="s">
        <v>2118</v>
      </c>
      <c r="F91" s="1">
        <v>5</v>
      </c>
      <c r="G91" s="1" t="s">
        <v>230</v>
      </c>
      <c r="H91" s="234">
        <v>20</v>
      </c>
      <c r="I91" s="236">
        <f t="shared" si="4"/>
        <v>100</v>
      </c>
      <c r="J91" s="352">
        <v>12.93</v>
      </c>
      <c r="K91" s="241">
        <v>64.650000000000006</v>
      </c>
      <c r="L91" s="237">
        <v>41054</v>
      </c>
      <c r="M91" s="236" t="s">
        <v>302</v>
      </c>
      <c r="N91" s="235">
        <f t="shared" si="5"/>
        <v>100</v>
      </c>
      <c r="O91" s="235">
        <f t="shared" si="6"/>
        <v>0</v>
      </c>
      <c r="P91" s="238" t="s">
        <v>495</v>
      </c>
      <c r="Q91" s="1" t="s">
        <v>393</v>
      </c>
      <c r="S91" s="238" t="s">
        <v>2200</v>
      </c>
      <c r="V91" s="238" t="s">
        <v>255</v>
      </c>
      <c r="Y91" s="239"/>
      <c r="Z91" s="239"/>
      <c r="AB91" s="1" t="s">
        <v>384</v>
      </c>
    </row>
    <row r="92" spans="1:28" ht="11.25" customHeight="1">
      <c r="A92" s="233">
        <v>41054</v>
      </c>
      <c r="B92" s="1" t="s">
        <v>484</v>
      </c>
      <c r="C92" s="1" t="s">
        <v>2086</v>
      </c>
      <c r="D92" s="1" t="s">
        <v>492</v>
      </c>
      <c r="E92" s="1">
        <v>3200</v>
      </c>
      <c r="F92" s="1">
        <v>1</v>
      </c>
      <c r="G92" s="1" t="s">
        <v>230</v>
      </c>
      <c r="H92" s="234">
        <v>65</v>
      </c>
      <c r="I92" s="236">
        <f t="shared" si="4"/>
        <v>65</v>
      </c>
      <c r="J92" s="351">
        <v>11.96</v>
      </c>
      <c r="K92" s="241">
        <v>26.89</v>
      </c>
      <c r="L92" s="237">
        <v>41054</v>
      </c>
      <c r="M92" s="236" t="s">
        <v>302</v>
      </c>
      <c r="N92" s="235">
        <f t="shared" si="5"/>
        <v>65</v>
      </c>
      <c r="O92" s="235">
        <f t="shared" si="6"/>
        <v>0</v>
      </c>
      <c r="P92" s="238" t="s">
        <v>496</v>
      </c>
      <c r="Q92" s="1" t="s">
        <v>393</v>
      </c>
      <c r="S92" s="238" t="s">
        <v>2199</v>
      </c>
      <c r="V92" s="238" t="s">
        <v>255</v>
      </c>
      <c r="Y92" s="239"/>
      <c r="Z92" s="239"/>
      <c r="AB92" s="1" t="s">
        <v>384</v>
      </c>
    </row>
    <row r="93" spans="1:28" ht="11.25" customHeight="1">
      <c r="A93" s="233">
        <v>41054</v>
      </c>
      <c r="B93" s="1" t="s">
        <v>484</v>
      </c>
      <c r="C93" s="1" t="s">
        <v>2086</v>
      </c>
      <c r="D93" s="1" t="s">
        <v>355</v>
      </c>
      <c r="E93" s="1" t="s">
        <v>2118</v>
      </c>
      <c r="F93" s="1">
        <v>2</v>
      </c>
      <c r="G93" s="1" t="s">
        <v>230</v>
      </c>
      <c r="H93" s="234">
        <v>20</v>
      </c>
      <c r="I93" s="236">
        <f t="shared" si="4"/>
        <v>40</v>
      </c>
      <c r="J93" s="352">
        <v>12.93</v>
      </c>
      <c r="K93" s="241">
        <f>12.93*F93</f>
        <v>25.86</v>
      </c>
      <c r="L93" s="237">
        <v>41054</v>
      </c>
      <c r="M93" s="236" t="s">
        <v>302</v>
      </c>
      <c r="N93" s="235">
        <f t="shared" si="5"/>
        <v>40</v>
      </c>
      <c r="O93" s="235">
        <f t="shared" si="6"/>
        <v>0</v>
      </c>
      <c r="P93" s="238" t="s">
        <v>496</v>
      </c>
      <c r="Q93" s="1" t="s">
        <v>393</v>
      </c>
      <c r="S93" s="238" t="s">
        <v>2199</v>
      </c>
      <c r="V93" s="238" t="s">
        <v>255</v>
      </c>
      <c r="Y93" s="239"/>
      <c r="Z93" s="239"/>
      <c r="AB93" s="1" t="s">
        <v>384</v>
      </c>
    </row>
    <row r="94" spans="1:28" ht="11.25" customHeight="1">
      <c r="A94" s="233">
        <v>41054</v>
      </c>
      <c r="B94" s="1" t="s">
        <v>497</v>
      </c>
      <c r="C94" s="1" t="s">
        <v>2086</v>
      </c>
      <c r="D94" s="1" t="s">
        <v>492</v>
      </c>
      <c r="E94" s="1">
        <v>3200</v>
      </c>
      <c r="F94" s="1">
        <v>2</v>
      </c>
      <c r="G94" s="1" t="s">
        <v>230</v>
      </c>
      <c r="H94" s="234">
        <v>70</v>
      </c>
      <c r="I94" s="236">
        <f t="shared" si="4"/>
        <v>140</v>
      </c>
      <c r="J94" s="351">
        <v>11.96</v>
      </c>
      <c r="K94" s="241">
        <f>26.89*F94</f>
        <v>53.78</v>
      </c>
      <c r="L94" s="237">
        <v>41054</v>
      </c>
      <c r="M94" s="236" t="s">
        <v>302</v>
      </c>
      <c r="N94" s="235">
        <f t="shared" si="5"/>
        <v>140</v>
      </c>
      <c r="O94" s="235">
        <f t="shared" si="6"/>
        <v>0</v>
      </c>
      <c r="P94" s="238" t="s">
        <v>498</v>
      </c>
      <c r="Q94" s="1" t="s">
        <v>393</v>
      </c>
      <c r="R94" s="239" t="s">
        <v>2202</v>
      </c>
      <c r="S94" s="238" t="s">
        <v>2203</v>
      </c>
      <c r="T94" s="238" t="s">
        <v>2204</v>
      </c>
      <c r="V94" s="238" t="s">
        <v>255</v>
      </c>
      <c r="Y94" s="239"/>
      <c r="Z94" s="239"/>
      <c r="AB94" s="1" t="s">
        <v>384</v>
      </c>
    </row>
    <row r="95" spans="1:28" ht="11.25" customHeight="1">
      <c r="A95" s="233">
        <v>41054</v>
      </c>
      <c r="B95" s="1" t="s">
        <v>497</v>
      </c>
      <c r="C95" s="1" t="s">
        <v>2086</v>
      </c>
      <c r="D95" s="1" t="s">
        <v>355</v>
      </c>
      <c r="E95" s="1" t="s">
        <v>2118</v>
      </c>
      <c r="F95" s="1">
        <v>5</v>
      </c>
      <c r="G95" s="1" t="s">
        <v>230</v>
      </c>
      <c r="H95" s="234">
        <v>25</v>
      </c>
      <c r="I95" s="236">
        <f t="shared" si="4"/>
        <v>125</v>
      </c>
      <c r="J95" s="352">
        <v>12.93</v>
      </c>
      <c r="K95" s="241">
        <f>12.93*F95</f>
        <v>64.650000000000006</v>
      </c>
      <c r="L95" s="237">
        <v>41054</v>
      </c>
      <c r="M95" s="236" t="s">
        <v>302</v>
      </c>
      <c r="N95" s="235">
        <f t="shared" si="5"/>
        <v>125</v>
      </c>
      <c r="O95" s="235">
        <f t="shared" si="6"/>
        <v>0</v>
      </c>
      <c r="P95" s="238" t="s">
        <v>498</v>
      </c>
      <c r="Q95" s="1" t="s">
        <v>393</v>
      </c>
      <c r="R95" s="239" t="s">
        <v>2202</v>
      </c>
      <c r="S95" s="238" t="s">
        <v>2203</v>
      </c>
      <c r="T95" s="238" t="s">
        <v>2204</v>
      </c>
      <c r="V95" s="238" t="s">
        <v>255</v>
      </c>
      <c r="Y95" s="239"/>
      <c r="Z95" s="239"/>
      <c r="AB95" s="1" t="s">
        <v>384</v>
      </c>
    </row>
    <row r="96" spans="1:28" ht="11.25" customHeight="1">
      <c r="A96" s="233">
        <v>41054</v>
      </c>
      <c r="B96" s="1" t="s">
        <v>497</v>
      </c>
      <c r="C96" s="1" t="s">
        <v>2086</v>
      </c>
      <c r="D96" s="1" t="s">
        <v>231</v>
      </c>
      <c r="E96" s="1">
        <v>7711</v>
      </c>
      <c r="F96" s="1">
        <v>10</v>
      </c>
      <c r="G96" s="1" t="s">
        <v>232</v>
      </c>
      <c r="H96" s="234">
        <v>5</v>
      </c>
      <c r="I96" s="236">
        <f t="shared" si="4"/>
        <v>50</v>
      </c>
      <c r="J96" s="351"/>
      <c r="K96" s="241">
        <v>0</v>
      </c>
      <c r="L96" s="237">
        <v>41054</v>
      </c>
      <c r="M96" s="236" t="s">
        <v>302</v>
      </c>
      <c r="N96" s="235">
        <f t="shared" si="5"/>
        <v>50</v>
      </c>
      <c r="O96" s="235">
        <f t="shared" si="6"/>
        <v>0</v>
      </c>
      <c r="P96" s="238" t="s">
        <v>498</v>
      </c>
      <c r="Q96" s="1" t="s">
        <v>393</v>
      </c>
      <c r="R96" s="239" t="s">
        <v>2202</v>
      </c>
      <c r="S96" s="238" t="s">
        <v>2203</v>
      </c>
      <c r="T96" s="238" t="s">
        <v>2204</v>
      </c>
      <c r="V96" s="238" t="s">
        <v>255</v>
      </c>
      <c r="Y96" s="239"/>
      <c r="Z96" s="239"/>
      <c r="AB96" s="1" t="s">
        <v>384</v>
      </c>
    </row>
    <row r="97" spans="1:28" ht="11.25" customHeight="1">
      <c r="A97" s="233">
        <v>41054</v>
      </c>
      <c r="B97" s="1" t="s">
        <v>497</v>
      </c>
      <c r="C97" s="1" t="s">
        <v>2086</v>
      </c>
      <c r="D97" s="5" t="s">
        <v>2103</v>
      </c>
      <c r="E97" s="1" t="s">
        <v>2104</v>
      </c>
      <c r="F97" s="5">
        <v>50</v>
      </c>
      <c r="G97" s="1" t="s">
        <v>5002</v>
      </c>
      <c r="H97" s="234">
        <v>2.6</v>
      </c>
      <c r="I97" s="236">
        <f t="shared" si="4"/>
        <v>130</v>
      </c>
      <c r="J97" s="351">
        <v>1.62</v>
      </c>
      <c r="K97" s="241">
        <v>81</v>
      </c>
      <c r="L97" s="237">
        <v>41054</v>
      </c>
      <c r="M97" s="236" t="s">
        <v>302</v>
      </c>
      <c r="N97" s="235">
        <f t="shared" si="5"/>
        <v>130</v>
      </c>
      <c r="O97" s="235">
        <f t="shared" si="6"/>
        <v>0</v>
      </c>
      <c r="P97" s="238" t="s">
        <v>498</v>
      </c>
      <c r="Q97" s="1" t="s">
        <v>393</v>
      </c>
      <c r="R97" s="239" t="s">
        <v>2202</v>
      </c>
      <c r="S97" s="238" t="s">
        <v>2203</v>
      </c>
      <c r="T97" s="238" t="s">
        <v>2204</v>
      </c>
      <c r="V97" s="238" t="s">
        <v>255</v>
      </c>
      <c r="Y97" s="239"/>
      <c r="Z97" s="239"/>
      <c r="AB97" s="1" t="s">
        <v>384</v>
      </c>
    </row>
    <row r="98" spans="1:28" ht="11.25" customHeight="1">
      <c r="A98" s="233">
        <v>41054</v>
      </c>
      <c r="B98" s="1" t="s">
        <v>499</v>
      </c>
      <c r="C98" s="1" t="s">
        <v>2086</v>
      </c>
      <c r="D98" s="1" t="s">
        <v>492</v>
      </c>
      <c r="E98" s="1">
        <v>6200</v>
      </c>
      <c r="F98" s="1">
        <v>1</v>
      </c>
      <c r="G98" s="1" t="s">
        <v>237</v>
      </c>
      <c r="H98" s="234">
        <v>140</v>
      </c>
      <c r="I98" s="236">
        <f t="shared" si="4"/>
        <v>140</v>
      </c>
      <c r="J98" s="354">
        <v>50</v>
      </c>
      <c r="K98" s="241" t="e">
        <f>#REF!*F98</f>
        <v>#REF!</v>
      </c>
      <c r="L98" s="237">
        <v>41054</v>
      </c>
      <c r="M98" s="236" t="s">
        <v>302</v>
      </c>
      <c r="N98" s="235">
        <f t="shared" si="5"/>
        <v>140</v>
      </c>
      <c r="O98" s="235">
        <f t="shared" si="6"/>
        <v>0</v>
      </c>
      <c r="P98" s="238" t="s">
        <v>500</v>
      </c>
      <c r="Q98" s="1" t="s">
        <v>404</v>
      </c>
      <c r="R98" s="239" t="s">
        <v>2205</v>
      </c>
      <c r="S98" s="238" t="s">
        <v>2206</v>
      </c>
      <c r="U98" s="238" t="s">
        <v>503</v>
      </c>
      <c r="V98" s="238" t="s">
        <v>255</v>
      </c>
      <c r="Y98" s="239"/>
      <c r="Z98" s="239"/>
      <c r="AA98" s="240" t="s">
        <v>400</v>
      </c>
      <c r="AB98" s="1" t="s">
        <v>384</v>
      </c>
    </row>
    <row r="99" spans="1:28" ht="11.25" customHeight="1">
      <c r="A99" s="233">
        <v>41054</v>
      </c>
      <c r="B99" s="1" t="s">
        <v>499</v>
      </c>
      <c r="C99" s="1" t="s">
        <v>2086</v>
      </c>
      <c r="D99" s="1" t="s">
        <v>355</v>
      </c>
      <c r="E99" s="1" t="s">
        <v>2087</v>
      </c>
      <c r="F99" s="1">
        <v>2</v>
      </c>
      <c r="G99" s="1" t="s">
        <v>230</v>
      </c>
      <c r="H99" s="234">
        <v>30</v>
      </c>
      <c r="I99" s="236">
        <f t="shared" si="4"/>
        <v>60</v>
      </c>
      <c r="J99" s="351">
        <v>19.86</v>
      </c>
      <c r="K99" s="241">
        <v>39.72</v>
      </c>
      <c r="L99" s="237">
        <v>41054</v>
      </c>
      <c r="M99" s="236" t="s">
        <v>302</v>
      </c>
      <c r="N99" s="235">
        <f t="shared" si="5"/>
        <v>60</v>
      </c>
      <c r="O99" s="235">
        <f t="shared" si="6"/>
        <v>0</v>
      </c>
      <c r="P99" s="238" t="s">
        <v>500</v>
      </c>
      <c r="Q99" s="1" t="s">
        <v>404</v>
      </c>
      <c r="R99" s="239" t="s">
        <v>2205</v>
      </c>
      <c r="S99" s="238" t="s">
        <v>2206</v>
      </c>
      <c r="U99" s="238" t="s">
        <v>503</v>
      </c>
      <c r="V99" s="238" t="s">
        <v>255</v>
      </c>
      <c r="Y99" s="239"/>
      <c r="Z99" s="239"/>
      <c r="AA99" s="240" t="s">
        <v>400</v>
      </c>
      <c r="AB99" s="1" t="s">
        <v>384</v>
      </c>
    </row>
    <row r="100" spans="1:28" ht="11.25" customHeight="1">
      <c r="A100" s="233">
        <v>41054</v>
      </c>
      <c r="B100" s="1" t="s">
        <v>499</v>
      </c>
      <c r="C100" s="1" t="s">
        <v>2086</v>
      </c>
      <c r="D100" s="5" t="s">
        <v>2103</v>
      </c>
      <c r="E100" s="1" t="s">
        <v>2104</v>
      </c>
      <c r="F100" s="5">
        <v>50</v>
      </c>
      <c r="G100" s="1" t="s">
        <v>5002</v>
      </c>
      <c r="H100" s="234">
        <v>2.6</v>
      </c>
      <c r="I100" s="236">
        <f t="shared" si="4"/>
        <v>130</v>
      </c>
      <c r="J100" s="351">
        <v>1.62</v>
      </c>
      <c r="K100" s="241">
        <f>1.62*F100</f>
        <v>81</v>
      </c>
      <c r="L100" s="237">
        <v>41054</v>
      </c>
      <c r="M100" s="236" t="s">
        <v>302</v>
      </c>
      <c r="N100" s="235">
        <f t="shared" si="5"/>
        <v>130</v>
      </c>
      <c r="O100" s="235">
        <f t="shared" si="6"/>
        <v>0</v>
      </c>
      <c r="P100" s="238" t="s">
        <v>500</v>
      </c>
      <c r="Q100" s="1" t="s">
        <v>404</v>
      </c>
      <c r="R100" s="239" t="s">
        <v>2205</v>
      </c>
      <c r="S100" s="238" t="s">
        <v>2206</v>
      </c>
      <c r="U100" s="238" t="s">
        <v>503</v>
      </c>
      <c r="V100" s="238" t="s">
        <v>255</v>
      </c>
      <c r="Y100" s="239"/>
      <c r="Z100" s="239"/>
      <c r="AA100" s="240" t="s">
        <v>400</v>
      </c>
      <c r="AB100" s="1" t="s">
        <v>384</v>
      </c>
    </row>
    <row r="101" spans="1:28" ht="11.25" customHeight="1">
      <c r="A101" s="233">
        <v>41054</v>
      </c>
      <c r="B101" s="1" t="s">
        <v>504</v>
      </c>
      <c r="C101" s="1" t="s">
        <v>2086</v>
      </c>
      <c r="D101" s="1" t="s">
        <v>492</v>
      </c>
      <c r="E101" s="1">
        <v>6200</v>
      </c>
      <c r="F101" s="1">
        <v>1</v>
      </c>
      <c r="G101" s="1" t="s">
        <v>237</v>
      </c>
      <c r="H101" s="234">
        <v>140</v>
      </c>
      <c r="I101" s="236">
        <f t="shared" si="4"/>
        <v>140</v>
      </c>
      <c r="J101" s="354">
        <v>50</v>
      </c>
      <c r="K101" s="241" t="e">
        <f>#REF!*F101</f>
        <v>#REF!</v>
      </c>
      <c r="L101" s="237">
        <v>41054</v>
      </c>
      <c r="M101" s="236" t="s">
        <v>302</v>
      </c>
      <c r="N101" s="235">
        <f t="shared" si="5"/>
        <v>140</v>
      </c>
      <c r="O101" s="235">
        <f t="shared" si="6"/>
        <v>0</v>
      </c>
      <c r="P101" s="238" t="s">
        <v>505</v>
      </c>
      <c r="Q101" s="1" t="s">
        <v>404</v>
      </c>
      <c r="R101" s="239" t="s">
        <v>501</v>
      </c>
      <c r="S101" s="238" t="s">
        <v>502</v>
      </c>
      <c r="U101" s="238" t="s">
        <v>503</v>
      </c>
      <c r="V101" s="238" t="s">
        <v>255</v>
      </c>
      <c r="Y101" s="239"/>
      <c r="Z101" s="239"/>
      <c r="AA101" s="240" t="s">
        <v>400</v>
      </c>
      <c r="AB101" s="1" t="s">
        <v>384</v>
      </c>
    </row>
    <row r="102" spans="1:28" ht="11.25" customHeight="1">
      <c r="A102" s="233">
        <v>41054</v>
      </c>
      <c r="B102" s="1" t="s">
        <v>504</v>
      </c>
      <c r="C102" s="1" t="s">
        <v>2086</v>
      </c>
      <c r="D102" s="1" t="s">
        <v>355</v>
      </c>
      <c r="E102" s="1" t="s">
        <v>2087</v>
      </c>
      <c r="F102" s="1">
        <v>2</v>
      </c>
      <c r="G102" s="1" t="s">
        <v>230</v>
      </c>
      <c r="H102" s="234">
        <v>30</v>
      </c>
      <c r="I102" s="236">
        <f t="shared" ref="I102:I166" si="8">H102*F102</f>
        <v>60</v>
      </c>
      <c r="J102" s="351">
        <v>19.86</v>
      </c>
      <c r="K102" s="241">
        <v>39.72</v>
      </c>
      <c r="L102" s="237">
        <v>41054</v>
      </c>
      <c r="M102" s="236" t="s">
        <v>302</v>
      </c>
      <c r="N102" s="235">
        <f t="shared" si="5"/>
        <v>60</v>
      </c>
      <c r="O102" s="235">
        <f t="shared" si="6"/>
        <v>0</v>
      </c>
      <c r="P102" s="238" t="s">
        <v>505</v>
      </c>
      <c r="Q102" s="1" t="s">
        <v>404</v>
      </c>
      <c r="R102" s="239" t="s">
        <v>501</v>
      </c>
      <c r="S102" s="238" t="s">
        <v>502</v>
      </c>
      <c r="U102" s="238" t="s">
        <v>503</v>
      </c>
      <c r="V102" s="238" t="s">
        <v>255</v>
      </c>
      <c r="Y102" s="239"/>
      <c r="Z102" s="239"/>
      <c r="AA102" s="240" t="s">
        <v>400</v>
      </c>
      <c r="AB102" s="1" t="s">
        <v>384</v>
      </c>
    </row>
    <row r="103" spans="1:28" ht="11.25" customHeight="1">
      <c r="A103" s="233">
        <v>41054</v>
      </c>
      <c r="B103" s="1" t="s">
        <v>504</v>
      </c>
      <c r="C103" s="1" t="s">
        <v>2086</v>
      </c>
      <c r="D103" s="5" t="s">
        <v>2103</v>
      </c>
      <c r="E103" s="1" t="s">
        <v>2104</v>
      </c>
      <c r="F103" s="5">
        <v>50</v>
      </c>
      <c r="G103" s="1" t="s">
        <v>5002</v>
      </c>
      <c r="H103" s="234">
        <v>2.6</v>
      </c>
      <c r="I103" s="236">
        <f t="shared" si="8"/>
        <v>130</v>
      </c>
      <c r="J103" s="351">
        <v>1.62</v>
      </c>
      <c r="K103" s="241">
        <v>81</v>
      </c>
      <c r="L103" s="237">
        <v>41054</v>
      </c>
      <c r="M103" s="236" t="s">
        <v>302</v>
      </c>
      <c r="N103" s="235">
        <f t="shared" si="5"/>
        <v>130</v>
      </c>
      <c r="O103" s="235">
        <f t="shared" si="6"/>
        <v>0</v>
      </c>
      <c r="P103" s="238" t="s">
        <v>505</v>
      </c>
      <c r="Q103" s="1" t="s">
        <v>404</v>
      </c>
      <c r="R103" s="239" t="s">
        <v>501</v>
      </c>
      <c r="S103" s="238" t="s">
        <v>502</v>
      </c>
      <c r="U103" s="238" t="s">
        <v>503</v>
      </c>
      <c r="V103" s="238" t="s">
        <v>255</v>
      </c>
      <c r="Y103" s="239"/>
      <c r="Z103" s="239"/>
      <c r="AA103" s="240" t="s">
        <v>400</v>
      </c>
      <c r="AB103" s="1" t="s">
        <v>384</v>
      </c>
    </row>
    <row r="104" spans="1:28" ht="11.25" customHeight="1">
      <c r="A104" s="233">
        <v>41054</v>
      </c>
      <c r="B104" s="1" t="s">
        <v>506</v>
      </c>
      <c r="C104" s="1" t="s">
        <v>2086</v>
      </c>
      <c r="D104" s="1" t="s">
        <v>492</v>
      </c>
      <c r="E104" s="1">
        <v>6200</v>
      </c>
      <c r="F104" s="1">
        <v>1</v>
      </c>
      <c r="G104" s="1" t="s">
        <v>237</v>
      </c>
      <c r="H104" s="234">
        <v>140</v>
      </c>
      <c r="I104" s="236">
        <f t="shared" si="8"/>
        <v>140</v>
      </c>
      <c r="J104" s="354">
        <v>50</v>
      </c>
      <c r="K104" s="241" t="e">
        <f>#REF!*F104</f>
        <v>#REF!</v>
      </c>
      <c r="L104" s="237">
        <v>41054</v>
      </c>
      <c r="M104" s="236" t="s">
        <v>302</v>
      </c>
      <c r="N104" s="235">
        <f t="shared" si="5"/>
        <v>140</v>
      </c>
      <c r="O104" s="235">
        <f t="shared" si="6"/>
        <v>0</v>
      </c>
      <c r="P104" s="238" t="s">
        <v>507</v>
      </c>
      <c r="Q104" s="1" t="s">
        <v>404</v>
      </c>
      <c r="R104" s="239" t="s">
        <v>501</v>
      </c>
      <c r="S104" s="238" t="s">
        <v>502</v>
      </c>
      <c r="U104" s="238" t="s">
        <v>503</v>
      </c>
      <c r="V104" s="238" t="s">
        <v>255</v>
      </c>
      <c r="Y104" s="239"/>
      <c r="Z104" s="239"/>
      <c r="AA104" s="240" t="s">
        <v>400</v>
      </c>
      <c r="AB104" s="1" t="s">
        <v>384</v>
      </c>
    </row>
    <row r="105" spans="1:28" ht="11.25" customHeight="1">
      <c r="A105" s="233">
        <v>41054</v>
      </c>
      <c r="B105" s="1" t="s">
        <v>506</v>
      </c>
      <c r="C105" s="1" t="s">
        <v>2086</v>
      </c>
      <c r="D105" s="1" t="s">
        <v>355</v>
      </c>
      <c r="E105" s="1" t="s">
        <v>2087</v>
      </c>
      <c r="F105" s="1">
        <v>2</v>
      </c>
      <c r="G105" s="1" t="s">
        <v>230</v>
      </c>
      <c r="H105" s="234">
        <v>30</v>
      </c>
      <c r="I105" s="236">
        <f t="shared" si="8"/>
        <v>60</v>
      </c>
      <c r="J105" s="351">
        <v>19.86</v>
      </c>
      <c r="K105" s="241">
        <v>39.72</v>
      </c>
      <c r="L105" s="237">
        <v>41054</v>
      </c>
      <c r="M105" s="236" t="s">
        <v>302</v>
      </c>
      <c r="N105" s="235">
        <f t="shared" si="5"/>
        <v>60</v>
      </c>
      <c r="O105" s="235">
        <f t="shared" si="6"/>
        <v>0</v>
      </c>
      <c r="P105" s="238" t="s">
        <v>507</v>
      </c>
      <c r="Q105" s="1" t="s">
        <v>404</v>
      </c>
      <c r="R105" s="239" t="s">
        <v>501</v>
      </c>
      <c r="S105" s="238" t="s">
        <v>502</v>
      </c>
      <c r="U105" s="238" t="s">
        <v>503</v>
      </c>
      <c r="V105" s="238" t="s">
        <v>255</v>
      </c>
      <c r="Y105" s="239"/>
      <c r="Z105" s="239"/>
      <c r="AA105" s="240" t="s">
        <v>400</v>
      </c>
      <c r="AB105" s="1" t="s">
        <v>384</v>
      </c>
    </row>
    <row r="106" spans="1:28" ht="11.25" customHeight="1">
      <c r="A106" s="233">
        <v>41054</v>
      </c>
      <c r="B106" s="1" t="s">
        <v>506</v>
      </c>
      <c r="C106" s="1" t="s">
        <v>2086</v>
      </c>
      <c r="D106" s="5" t="s">
        <v>2103</v>
      </c>
      <c r="E106" s="1" t="s">
        <v>2104</v>
      </c>
      <c r="F106" s="5">
        <v>50</v>
      </c>
      <c r="G106" s="1" t="s">
        <v>5002</v>
      </c>
      <c r="H106" s="234">
        <v>2.6</v>
      </c>
      <c r="I106" s="236">
        <f t="shared" si="8"/>
        <v>130</v>
      </c>
      <c r="J106" s="351">
        <v>1.62</v>
      </c>
      <c r="K106" s="241">
        <v>81</v>
      </c>
      <c r="L106" s="237">
        <v>41054</v>
      </c>
      <c r="M106" s="236" t="s">
        <v>302</v>
      </c>
      <c r="N106" s="235">
        <f t="shared" si="5"/>
        <v>130</v>
      </c>
      <c r="O106" s="235">
        <f t="shared" si="6"/>
        <v>0</v>
      </c>
      <c r="P106" s="238" t="s">
        <v>507</v>
      </c>
      <c r="Q106" s="1" t="s">
        <v>404</v>
      </c>
      <c r="R106" s="239" t="s">
        <v>501</v>
      </c>
      <c r="S106" s="238" t="s">
        <v>502</v>
      </c>
      <c r="U106" s="238" t="s">
        <v>503</v>
      </c>
      <c r="V106" s="238" t="s">
        <v>255</v>
      </c>
      <c r="Y106" s="239"/>
      <c r="Z106" s="239"/>
      <c r="AA106" s="240" t="s">
        <v>400</v>
      </c>
      <c r="AB106" s="1" t="s">
        <v>384</v>
      </c>
    </row>
    <row r="107" spans="1:28" ht="11.25" customHeight="1">
      <c r="A107" s="233">
        <v>41054</v>
      </c>
      <c r="B107" s="1" t="s">
        <v>508</v>
      </c>
      <c r="C107" s="1" t="s">
        <v>2086</v>
      </c>
      <c r="D107" s="1" t="s">
        <v>492</v>
      </c>
      <c r="E107" s="1">
        <v>6200</v>
      </c>
      <c r="F107" s="1">
        <v>1</v>
      </c>
      <c r="G107" s="1" t="s">
        <v>237</v>
      </c>
      <c r="H107" s="234">
        <v>140</v>
      </c>
      <c r="I107" s="236">
        <f t="shared" si="8"/>
        <v>140</v>
      </c>
      <c r="J107" s="354">
        <v>50</v>
      </c>
      <c r="K107" s="241" t="e">
        <f>#REF!*F107</f>
        <v>#REF!</v>
      </c>
      <c r="L107" s="237">
        <v>41054</v>
      </c>
      <c r="M107" s="236" t="s">
        <v>302</v>
      </c>
      <c r="N107" s="235">
        <f t="shared" si="5"/>
        <v>140</v>
      </c>
      <c r="O107" s="235">
        <f t="shared" si="6"/>
        <v>0</v>
      </c>
      <c r="P107" s="238" t="s">
        <v>509</v>
      </c>
      <c r="Q107" s="1" t="s">
        <v>404</v>
      </c>
      <c r="R107" s="239" t="s">
        <v>501</v>
      </c>
      <c r="S107" s="238" t="s">
        <v>502</v>
      </c>
      <c r="U107" s="238" t="s">
        <v>503</v>
      </c>
      <c r="V107" s="238" t="s">
        <v>255</v>
      </c>
      <c r="Y107" s="239"/>
      <c r="Z107" s="239"/>
      <c r="AA107" s="240" t="s">
        <v>400</v>
      </c>
      <c r="AB107" s="1" t="s">
        <v>384</v>
      </c>
    </row>
    <row r="108" spans="1:28" ht="11.25" customHeight="1">
      <c r="A108" s="233">
        <v>41054</v>
      </c>
      <c r="B108" s="1" t="s">
        <v>508</v>
      </c>
      <c r="C108" s="1" t="s">
        <v>2086</v>
      </c>
      <c r="D108" s="1" t="s">
        <v>355</v>
      </c>
      <c r="E108" s="1" t="s">
        <v>2087</v>
      </c>
      <c r="F108" s="1">
        <v>2</v>
      </c>
      <c r="G108" s="1" t="s">
        <v>230</v>
      </c>
      <c r="H108" s="234">
        <v>30</v>
      </c>
      <c r="I108" s="236">
        <f t="shared" si="8"/>
        <v>60</v>
      </c>
      <c r="J108" s="351">
        <v>19.86</v>
      </c>
      <c r="K108" s="241">
        <v>39.72</v>
      </c>
      <c r="L108" s="237">
        <v>41054</v>
      </c>
      <c r="M108" s="236" t="s">
        <v>302</v>
      </c>
      <c r="N108" s="235">
        <f t="shared" si="5"/>
        <v>60</v>
      </c>
      <c r="O108" s="235">
        <f t="shared" si="6"/>
        <v>0</v>
      </c>
      <c r="P108" s="238" t="s">
        <v>509</v>
      </c>
      <c r="Q108" s="1" t="s">
        <v>404</v>
      </c>
      <c r="R108" s="239" t="s">
        <v>501</v>
      </c>
      <c r="S108" s="238" t="s">
        <v>502</v>
      </c>
      <c r="U108" s="238" t="s">
        <v>503</v>
      </c>
      <c r="V108" s="238" t="s">
        <v>255</v>
      </c>
      <c r="Y108" s="239"/>
      <c r="Z108" s="239"/>
      <c r="AA108" s="240" t="s">
        <v>400</v>
      </c>
      <c r="AB108" s="1" t="s">
        <v>384</v>
      </c>
    </row>
    <row r="109" spans="1:28" ht="11.25" customHeight="1">
      <c r="A109" s="233">
        <v>41054</v>
      </c>
      <c r="B109" s="1" t="s">
        <v>508</v>
      </c>
      <c r="C109" s="1" t="s">
        <v>2086</v>
      </c>
      <c r="D109" s="5" t="s">
        <v>2103</v>
      </c>
      <c r="E109" s="1" t="s">
        <v>2104</v>
      </c>
      <c r="F109" s="5">
        <v>50</v>
      </c>
      <c r="G109" s="1" t="s">
        <v>5002</v>
      </c>
      <c r="H109" s="234">
        <v>2.6</v>
      </c>
      <c r="I109" s="236">
        <f t="shared" si="8"/>
        <v>130</v>
      </c>
      <c r="J109" s="351">
        <v>1.62</v>
      </c>
      <c r="K109" s="241">
        <v>81</v>
      </c>
      <c r="L109" s="237">
        <v>41054</v>
      </c>
      <c r="M109" s="236" t="s">
        <v>302</v>
      </c>
      <c r="N109" s="235">
        <f t="shared" si="5"/>
        <v>130</v>
      </c>
      <c r="O109" s="235">
        <f t="shared" si="6"/>
        <v>0</v>
      </c>
      <c r="P109" s="238" t="s">
        <v>509</v>
      </c>
      <c r="Q109" s="1" t="s">
        <v>404</v>
      </c>
      <c r="R109" s="239" t="s">
        <v>501</v>
      </c>
      <c r="S109" s="238" t="s">
        <v>502</v>
      </c>
      <c r="U109" s="238" t="s">
        <v>503</v>
      </c>
      <c r="V109" s="238" t="s">
        <v>255</v>
      </c>
      <c r="Y109" s="239"/>
      <c r="Z109" s="239"/>
      <c r="AA109" s="240" t="s">
        <v>400</v>
      </c>
      <c r="AB109" s="1" t="s">
        <v>384</v>
      </c>
    </row>
    <row r="110" spans="1:28" ht="11.25" customHeight="1">
      <c r="A110" s="233">
        <v>41054</v>
      </c>
      <c r="B110" s="1" t="s">
        <v>510</v>
      </c>
      <c r="C110" s="1" t="s">
        <v>2086</v>
      </c>
      <c r="D110" s="1" t="s">
        <v>492</v>
      </c>
      <c r="E110" s="1">
        <v>6200</v>
      </c>
      <c r="F110" s="1">
        <v>3</v>
      </c>
      <c r="G110" s="1" t="s">
        <v>237</v>
      </c>
      <c r="H110" s="234">
        <v>140</v>
      </c>
      <c r="I110" s="236">
        <f t="shared" si="8"/>
        <v>420</v>
      </c>
      <c r="J110" s="354">
        <v>50</v>
      </c>
      <c r="K110" s="241" t="e">
        <f>#REF!*F110</f>
        <v>#REF!</v>
      </c>
      <c r="L110" s="237">
        <v>41054</v>
      </c>
      <c r="M110" s="236" t="s">
        <v>302</v>
      </c>
      <c r="N110" s="235">
        <f t="shared" si="5"/>
        <v>420</v>
      </c>
      <c r="O110" s="235">
        <f t="shared" si="6"/>
        <v>0</v>
      </c>
      <c r="P110" s="238" t="s">
        <v>511</v>
      </c>
      <c r="Q110" s="1" t="s">
        <v>404</v>
      </c>
      <c r="R110" s="239" t="s">
        <v>512</v>
      </c>
      <c r="S110" s="238" t="s">
        <v>513</v>
      </c>
      <c r="U110" s="238" t="s">
        <v>514</v>
      </c>
      <c r="V110" s="238" t="s">
        <v>255</v>
      </c>
      <c r="Y110" s="239"/>
      <c r="Z110" s="239"/>
      <c r="AA110" s="240" t="s">
        <v>400</v>
      </c>
      <c r="AB110" s="1" t="s">
        <v>384</v>
      </c>
    </row>
    <row r="111" spans="1:28" ht="11.25" customHeight="1">
      <c r="A111" s="233">
        <v>41054</v>
      </c>
      <c r="B111" s="1" t="s">
        <v>510</v>
      </c>
      <c r="C111" s="1" t="s">
        <v>2086</v>
      </c>
      <c r="D111" s="1" t="s">
        <v>492</v>
      </c>
      <c r="E111" s="1">
        <v>3200</v>
      </c>
      <c r="F111" s="1">
        <v>12</v>
      </c>
      <c r="G111" s="1" t="s">
        <v>230</v>
      </c>
      <c r="H111" s="234">
        <v>65</v>
      </c>
      <c r="I111" s="236">
        <f t="shared" si="8"/>
        <v>780</v>
      </c>
      <c r="J111" s="351">
        <v>11.96</v>
      </c>
      <c r="K111" s="241">
        <f>28.37*F111</f>
        <v>340.44</v>
      </c>
      <c r="L111" s="237">
        <v>41054</v>
      </c>
      <c r="M111" s="236" t="s">
        <v>302</v>
      </c>
      <c r="N111" s="235">
        <f t="shared" si="5"/>
        <v>780</v>
      </c>
      <c r="O111" s="235">
        <f t="shared" si="6"/>
        <v>0</v>
      </c>
      <c r="P111" s="238" t="s">
        <v>511</v>
      </c>
      <c r="Q111" s="1" t="s">
        <v>404</v>
      </c>
      <c r="R111" s="239" t="s">
        <v>512</v>
      </c>
      <c r="S111" s="238" t="s">
        <v>513</v>
      </c>
      <c r="U111" s="238" t="s">
        <v>514</v>
      </c>
      <c r="V111" s="238" t="s">
        <v>255</v>
      </c>
      <c r="Y111" s="239"/>
      <c r="Z111" s="239"/>
      <c r="AA111" s="240" t="s">
        <v>400</v>
      </c>
      <c r="AB111" s="1" t="s">
        <v>384</v>
      </c>
    </row>
    <row r="112" spans="1:28" ht="11.25" customHeight="1">
      <c r="A112" s="233">
        <v>41054</v>
      </c>
      <c r="B112" s="1" t="s">
        <v>510</v>
      </c>
      <c r="C112" s="1" t="s">
        <v>2086</v>
      </c>
      <c r="D112" s="1" t="s">
        <v>2207</v>
      </c>
      <c r="E112" s="1" t="s">
        <v>2208</v>
      </c>
      <c r="F112" s="1">
        <v>50</v>
      </c>
      <c r="G112" s="1" t="s">
        <v>232</v>
      </c>
      <c r="H112" s="234">
        <v>3.5</v>
      </c>
      <c r="I112" s="236">
        <f t="shared" si="8"/>
        <v>175</v>
      </c>
      <c r="J112" s="351"/>
      <c r="K112" s="241">
        <v>123.50000000000001</v>
      </c>
      <c r="L112" s="237">
        <v>41054</v>
      </c>
      <c r="M112" s="236" t="s">
        <v>302</v>
      </c>
      <c r="N112" s="235">
        <f t="shared" si="5"/>
        <v>175</v>
      </c>
      <c r="O112" s="235">
        <f t="shared" si="6"/>
        <v>0</v>
      </c>
      <c r="P112" s="238" t="s">
        <v>511</v>
      </c>
      <c r="Q112" s="1" t="s">
        <v>404</v>
      </c>
      <c r="R112" s="239" t="s">
        <v>512</v>
      </c>
      <c r="S112" s="238" t="s">
        <v>513</v>
      </c>
      <c r="U112" s="238" t="s">
        <v>514</v>
      </c>
      <c r="V112" s="238" t="s">
        <v>255</v>
      </c>
      <c r="Y112" s="239"/>
      <c r="Z112" s="239"/>
      <c r="AA112" s="240" t="s">
        <v>400</v>
      </c>
      <c r="AB112" s="1" t="s">
        <v>384</v>
      </c>
    </row>
    <row r="113" spans="1:28" ht="11.25" customHeight="1">
      <c r="A113" s="233">
        <v>41054</v>
      </c>
      <c r="B113" s="1" t="s">
        <v>510</v>
      </c>
      <c r="C113" s="1" t="s">
        <v>2086</v>
      </c>
      <c r="D113" s="1" t="s">
        <v>2108</v>
      </c>
      <c r="E113" s="1" t="s">
        <v>2109</v>
      </c>
      <c r="F113" s="1">
        <v>10</v>
      </c>
      <c r="G113" s="1" t="s">
        <v>240</v>
      </c>
      <c r="H113" s="234">
        <v>23</v>
      </c>
      <c r="I113" s="236">
        <f t="shared" si="8"/>
        <v>230</v>
      </c>
      <c r="J113" s="351"/>
      <c r="K113" s="241">
        <f>15.41*F113</f>
        <v>154.1</v>
      </c>
      <c r="L113" s="237">
        <v>41054</v>
      </c>
      <c r="M113" s="236" t="s">
        <v>302</v>
      </c>
      <c r="N113" s="235">
        <f t="shared" si="5"/>
        <v>230</v>
      </c>
      <c r="O113" s="235">
        <f t="shared" si="6"/>
        <v>0</v>
      </c>
      <c r="P113" s="238" t="s">
        <v>511</v>
      </c>
      <c r="Q113" s="1" t="s">
        <v>404</v>
      </c>
      <c r="R113" s="239" t="s">
        <v>512</v>
      </c>
      <c r="S113" s="238" t="s">
        <v>513</v>
      </c>
      <c r="U113" s="238" t="s">
        <v>514</v>
      </c>
      <c r="V113" s="238" t="s">
        <v>255</v>
      </c>
      <c r="Y113" s="239"/>
      <c r="Z113" s="239"/>
      <c r="AA113" s="240" t="s">
        <v>400</v>
      </c>
      <c r="AB113" s="1" t="s">
        <v>384</v>
      </c>
    </row>
    <row r="114" spans="1:28" ht="11.25" customHeight="1">
      <c r="A114" s="233">
        <v>41054</v>
      </c>
      <c r="B114" s="1" t="s">
        <v>510</v>
      </c>
      <c r="C114" s="1" t="s">
        <v>2086</v>
      </c>
      <c r="D114" s="1" t="s">
        <v>683</v>
      </c>
      <c r="E114" s="1" t="s">
        <v>2209</v>
      </c>
      <c r="F114" s="1">
        <v>15</v>
      </c>
      <c r="G114" s="1" t="s">
        <v>240</v>
      </c>
      <c r="H114" s="234">
        <v>4.9000000000000004</v>
      </c>
      <c r="I114" s="236">
        <f t="shared" si="8"/>
        <v>73.5</v>
      </c>
      <c r="J114" s="351">
        <v>3.31</v>
      </c>
      <c r="K114" s="241">
        <f>3.31*F114</f>
        <v>49.65</v>
      </c>
      <c r="L114" s="237">
        <v>41054</v>
      </c>
      <c r="M114" s="236" t="s">
        <v>302</v>
      </c>
      <c r="N114" s="235">
        <f t="shared" si="5"/>
        <v>73.5</v>
      </c>
      <c r="O114" s="235">
        <f t="shared" si="6"/>
        <v>0</v>
      </c>
      <c r="P114" s="238" t="s">
        <v>511</v>
      </c>
      <c r="Q114" s="1" t="s">
        <v>404</v>
      </c>
      <c r="R114" s="239" t="s">
        <v>512</v>
      </c>
      <c r="S114" s="238" t="s">
        <v>513</v>
      </c>
      <c r="U114" s="238" t="s">
        <v>514</v>
      </c>
      <c r="V114" s="238" t="s">
        <v>255</v>
      </c>
      <c r="Y114" s="239"/>
      <c r="Z114" s="239"/>
      <c r="AA114" s="240" t="s">
        <v>400</v>
      </c>
      <c r="AB114" s="1" t="s">
        <v>384</v>
      </c>
    </row>
    <row r="115" spans="1:28" ht="11.25" customHeight="1">
      <c r="A115" s="233">
        <v>41057</v>
      </c>
      <c r="B115" s="1" t="s">
        <v>380</v>
      </c>
      <c r="C115" s="1" t="s">
        <v>2086</v>
      </c>
      <c r="D115" s="1" t="s">
        <v>828</v>
      </c>
      <c r="E115" s="1" t="s">
        <v>2210</v>
      </c>
      <c r="F115" s="1">
        <v>200</v>
      </c>
      <c r="G115" s="1" t="s">
        <v>2211</v>
      </c>
      <c r="H115" s="234">
        <v>5.835</v>
      </c>
      <c r="I115" s="236">
        <f t="shared" si="8"/>
        <v>1167</v>
      </c>
      <c r="J115" s="351"/>
      <c r="K115" s="241">
        <v>1032</v>
      </c>
      <c r="L115" s="237">
        <v>41085</v>
      </c>
      <c r="M115" s="1" t="s">
        <v>2116</v>
      </c>
      <c r="N115" s="235">
        <f t="shared" si="5"/>
        <v>1167</v>
      </c>
      <c r="O115" s="235">
        <f t="shared" si="6"/>
        <v>0</v>
      </c>
      <c r="P115" s="238" t="s">
        <v>515</v>
      </c>
      <c r="Q115" s="1" t="s">
        <v>393</v>
      </c>
      <c r="R115" s="239" t="s">
        <v>405</v>
      </c>
      <c r="S115" s="238" t="s">
        <v>406</v>
      </c>
      <c r="V115" s="238" t="s">
        <v>255</v>
      </c>
      <c r="Y115" s="239"/>
      <c r="Z115" s="239"/>
      <c r="AA115" s="240" t="s">
        <v>400</v>
      </c>
      <c r="AB115" s="1" t="s">
        <v>2212</v>
      </c>
    </row>
    <row r="116" spans="1:28" ht="11.25" customHeight="1">
      <c r="A116" s="233">
        <v>41057</v>
      </c>
      <c r="B116" s="1" t="s">
        <v>516</v>
      </c>
      <c r="C116" s="1" t="s">
        <v>2086</v>
      </c>
      <c r="D116" s="1" t="s">
        <v>492</v>
      </c>
      <c r="E116" s="1">
        <v>3200</v>
      </c>
      <c r="F116" s="1">
        <v>4</v>
      </c>
      <c r="G116" s="1" t="s">
        <v>230</v>
      </c>
      <c r="H116" s="234">
        <v>70</v>
      </c>
      <c r="I116" s="236">
        <f t="shared" si="8"/>
        <v>280</v>
      </c>
      <c r="J116" s="351">
        <v>28.73</v>
      </c>
      <c r="K116" s="241">
        <f>45.14*F116</f>
        <v>180.56</v>
      </c>
      <c r="L116" s="237">
        <v>41057</v>
      </c>
      <c r="M116" s="1" t="s">
        <v>345</v>
      </c>
      <c r="N116" s="235">
        <f t="shared" si="5"/>
        <v>280</v>
      </c>
      <c r="O116" s="235">
        <f t="shared" si="6"/>
        <v>0</v>
      </c>
      <c r="P116" s="238" t="s">
        <v>517</v>
      </c>
      <c r="Q116" s="1" t="s">
        <v>404</v>
      </c>
      <c r="R116" s="239" t="s">
        <v>518</v>
      </c>
      <c r="S116" s="238" t="s">
        <v>519</v>
      </c>
      <c r="U116" s="238" t="s">
        <v>520</v>
      </c>
      <c r="V116" s="238" t="s">
        <v>255</v>
      </c>
      <c r="Y116" s="239"/>
      <c r="Z116" s="239"/>
      <c r="AA116" s="240" t="s">
        <v>400</v>
      </c>
      <c r="AB116" s="1" t="s">
        <v>384</v>
      </c>
    </row>
    <row r="117" spans="1:28" ht="11.25" customHeight="1">
      <c r="A117" s="233">
        <v>41057</v>
      </c>
      <c r="B117" s="1" t="s">
        <v>516</v>
      </c>
      <c r="C117" s="1" t="s">
        <v>2086</v>
      </c>
      <c r="D117" s="1" t="s">
        <v>355</v>
      </c>
      <c r="E117" s="1" t="s">
        <v>2118</v>
      </c>
      <c r="F117" s="1">
        <v>20</v>
      </c>
      <c r="G117" s="1" t="s">
        <v>230</v>
      </c>
      <c r="H117" s="234">
        <v>20</v>
      </c>
      <c r="I117" s="236">
        <f t="shared" si="8"/>
        <v>400</v>
      </c>
      <c r="J117" s="352" t="s">
        <v>6086</v>
      </c>
      <c r="K117" s="241">
        <f>13.33*3+12.93*17</f>
        <v>259.8</v>
      </c>
      <c r="L117" s="237">
        <v>41057</v>
      </c>
      <c r="M117" s="1" t="s">
        <v>345</v>
      </c>
      <c r="N117" s="235">
        <f t="shared" si="5"/>
        <v>400</v>
      </c>
      <c r="O117" s="235">
        <f t="shared" si="6"/>
        <v>0</v>
      </c>
      <c r="P117" s="238" t="s">
        <v>517</v>
      </c>
      <c r="Q117" s="1" t="s">
        <v>404</v>
      </c>
      <c r="R117" s="239" t="s">
        <v>518</v>
      </c>
      <c r="S117" s="238" t="s">
        <v>519</v>
      </c>
      <c r="U117" s="238" t="s">
        <v>520</v>
      </c>
      <c r="V117" s="238" t="s">
        <v>255</v>
      </c>
      <c r="Y117" s="239"/>
      <c r="Z117" s="239"/>
      <c r="AA117" s="240" t="s">
        <v>400</v>
      </c>
      <c r="AB117" s="1" t="s">
        <v>384</v>
      </c>
    </row>
    <row r="118" spans="1:28" ht="11.25" customHeight="1">
      <c r="A118" s="233">
        <v>41057</v>
      </c>
      <c r="B118" s="1" t="s">
        <v>516</v>
      </c>
      <c r="C118" s="1" t="s">
        <v>2086</v>
      </c>
      <c r="D118" s="1" t="s">
        <v>269</v>
      </c>
      <c r="E118" s="1" t="s">
        <v>2122</v>
      </c>
      <c r="F118" s="1">
        <v>40</v>
      </c>
      <c r="G118" s="1" t="s">
        <v>232</v>
      </c>
      <c r="H118" s="234">
        <v>2.1</v>
      </c>
      <c r="I118" s="236">
        <f t="shared" si="8"/>
        <v>84</v>
      </c>
      <c r="J118" s="352">
        <v>1.48</v>
      </c>
      <c r="K118" s="241">
        <f>1.48*F118</f>
        <v>59.2</v>
      </c>
      <c r="L118" s="237">
        <v>41057</v>
      </c>
      <c r="M118" s="1" t="s">
        <v>345</v>
      </c>
      <c r="N118" s="235">
        <f t="shared" si="5"/>
        <v>84</v>
      </c>
      <c r="O118" s="235">
        <f t="shared" si="6"/>
        <v>0</v>
      </c>
      <c r="P118" s="238" t="s">
        <v>517</v>
      </c>
      <c r="Q118" s="1" t="s">
        <v>404</v>
      </c>
      <c r="R118" s="239" t="s">
        <v>518</v>
      </c>
      <c r="S118" s="238" t="s">
        <v>519</v>
      </c>
      <c r="U118" s="238" t="s">
        <v>520</v>
      </c>
      <c r="V118" s="238" t="s">
        <v>255</v>
      </c>
      <c r="Y118" s="239"/>
      <c r="Z118" s="239"/>
      <c r="AA118" s="240" t="s">
        <v>400</v>
      </c>
      <c r="AB118" s="1" t="s">
        <v>384</v>
      </c>
    </row>
    <row r="119" spans="1:28" ht="11.25" customHeight="1">
      <c r="A119" s="233">
        <v>41057</v>
      </c>
      <c r="B119" s="1" t="s">
        <v>516</v>
      </c>
      <c r="C119" s="1" t="s">
        <v>2086</v>
      </c>
      <c r="D119" s="5" t="s">
        <v>2103</v>
      </c>
      <c r="E119" s="1" t="s">
        <v>2104</v>
      </c>
      <c r="F119" s="5">
        <v>500</v>
      </c>
      <c r="G119" s="1" t="s">
        <v>5002</v>
      </c>
      <c r="H119" s="234">
        <v>2.6</v>
      </c>
      <c r="I119" s="236">
        <f t="shared" si="8"/>
        <v>1300</v>
      </c>
      <c r="J119" s="351">
        <v>1.66</v>
      </c>
      <c r="K119" s="241">
        <f>1.66*F119</f>
        <v>830</v>
      </c>
      <c r="L119" s="237">
        <v>41057</v>
      </c>
      <c r="M119" s="1" t="s">
        <v>345</v>
      </c>
      <c r="N119" s="235">
        <f t="shared" si="5"/>
        <v>1300</v>
      </c>
      <c r="O119" s="235">
        <f t="shared" si="6"/>
        <v>0</v>
      </c>
      <c r="P119" s="238" t="s">
        <v>517</v>
      </c>
      <c r="Q119" s="1" t="s">
        <v>404</v>
      </c>
      <c r="R119" s="239" t="s">
        <v>518</v>
      </c>
      <c r="S119" s="238" t="s">
        <v>519</v>
      </c>
      <c r="U119" s="238" t="s">
        <v>520</v>
      </c>
      <c r="V119" s="238" t="s">
        <v>255</v>
      </c>
      <c r="Y119" s="239"/>
      <c r="Z119" s="239"/>
      <c r="AA119" s="240" t="s">
        <v>400</v>
      </c>
      <c r="AB119" s="1" t="s">
        <v>384</v>
      </c>
    </row>
    <row r="120" spans="1:28" ht="11.25" customHeight="1">
      <c r="A120" s="233">
        <v>41057</v>
      </c>
      <c r="B120" s="1" t="s">
        <v>516</v>
      </c>
      <c r="C120" s="1" t="s">
        <v>2086</v>
      </c>
      <c r="D120" s="1" t="s">
        <v>247</v>
      </c>
      <c r="E120" s="1">
        <v>4620</v>
      </c>
      <c r="F120" s="1">
        <v>5</v>
      </c>
      <c r="G120" s="1" t="s">
        <v>244</v>
      </c>
      <c r="H120" s="234">
        <v>26.4</v>
      </c>
      <c r="I120" s="236">
        <f t="shared" si="8"/>
        <v>132</v>
      </c>
      <c r="J120" s="351"/>
      <c r="K120" s="241">
        <f>17.79*F120</f>
        <v>88.949999999999989</v>
      </c>
      <c r="L120" s="237">
        <v>41057</v>
      </c>
      <c r="M120" s="1" t="s">
        <v>345</v>
      </c>
      <c r="N120" s="235">
        <f t="shared" si="5"/>
        <v>132</v>
      </c>
      <c r="O120" s="235">
        <f t="shared" si="6"/>
        <v>0</v>
      </c>
      <c r="P120" s="238" t="s">
        <v>517</v>
      </c>
      <c r="Q120" s="1" t="s">
        <v>404</v>
      </c>
      <c r="R120" s="239" t="s">
        <v>518</v>
      </c>
      <c r="S120" s="238" t="s">
        <v>519</v>
      </c>
      <c r="U120" s="238" t="s">
        <v>520</v>
      </c>
      <c r="V120" s="238" t="s">
        <v>255</v>
      </c>
      <c r="Y120" s="239"/>
      <c r="Z120" s="239"/>
      <c r="AA120" s="240" t="s">
        <v>400</v>
      </c>
      <c r="AB120" s="1" t="s">
        <v>384</v>
      </c>
    </row>
    <row r="121" spans="1:28" ht="11.25" customHeight="1">
      <c r="A121" s="233">
        <v>41057</v>
      </c>
      <c r="B121" s="1" t="s">
        <v>521</v>
      </c>
      <c r="C121" s="1" t="s">
        <v>2086</v>
      </c>
      <c r="D121" s="1" t="s">
        <v>492</v>
      </c>
      <c r="E121" s="1">
        <v>6200</v>
      </c>
      <c r="F121" s="1">
        <v>8</v>
      </c>
      <c r="G121" s="1" t="s">
        <v>237</v>
      </c>
      <c r="H121" s="234">
        <v>145</v>
      </c>
      <c r="I121" s="236">
        <f t="shared" si="8"/>
        <v>1160</v>
      </c>
      <c r="J121" s="354">
        <v>50</v>
      </c>
      <c r="K121" s="241" t="e">
        <f>#REF!*F121</f>
        <v>#REF!</v>
      </c>
      <c r="L121" s="237">
        <v>41057</v>
      </c>
      <c r="M121" s="1" t="s">
        <v>332</v>
      </c>
      <c r="N121" s="235">
        <f t="shared" si="5"/>
        <v>1160</v>
      </c>
      <c r="O121" s="235">
        <f t="shared" si="6"/>
        <v>0</v>
      </c>
      <c r="P121" s="238" t="s">
        <v>522</v>
      </c>
      <c r="Q121" s="1" t="s">
        <v>523</v>
      </c>
      <c r="R121" s="239" t="s">
        <v>524</v>
      </c>
      <c r="S121" s="238" t="s">
        <v>525</v>
      </c>
      <c r="U121" s="238" t="s">
        <v>526</v>
      </c>
      <c r="V121" s="238" t="s">
        <v>2213</v>
      </c>
      <c r="Y121" s="239"/>
      <c r="Z121" s="239"/>
      <c r="AA121" s="240" t="s">
        <v>400</v>
      </c>
      <c r="AB121" s="1" t="s">
        <v>384</v>
      </c>
    </row>
    <row r="122" spans="1:28" ht="11.25" customHeight="1">
      <c r="A122" s="233">
        <v>41057</v>
      </c>
      <c r="B122" s="1" t="s">
        <v>521</v>
      </c>
      <c r="C122" s="1" t="s">
        <v>2214</v>
      </c>
      <c r="D122" s="1" t="s">
        <v>355</v>
      </c>
      <c r="E122" s="1" t="s">
        <v>2215</v>
      </c>
      <c r="F122" s="1">
        <v>16</v>
      </c>
      <c r="G122" s="1" t="s">
        <v>230</v>
      </c>
      <c r="H122" s="234">
        <v>30</v>
      </c>
      <c r="I122" s="236">
        <f t="shared" si="8"/>
        <v>480</v>
      </c>
      <c r="J122" s="351">
        <v>19.559999999999999</v>
      </c>
      <c r="K122" s="241">
        <v>312.95999999999998</v>
      </c>
      <c r="L122" s="237">
        <v>41057</v>
      </c>
      <c r="M122" s="1" t="s">
        <v>332</v>
      </c>
      <c r="N122" s="235">
        <f t="shared" si="5"/>
        <v>480</v>
      </c>
      <c r="O122" s="235">
        <f t="shared" si="6"/>
        <v>0</v>
      </c>
      <c r="P122" s="238" t="s">
        <v>522</v>
      </c>
      <c r="Q122" s="1" t="s">
        <v>523</v>
      </c>
      <c r="R122" s="239" t="s">
        <v>524</v>
      </c>
      <c r="S122" s="238" t="s">
        <v>525</v>
      </c>
      <c r="U122" s="238" t="s">
        <v>526</v>
      </c>
      <c r="V122" s="238" t="s">
        <v>2213</v>
      </c>
      <c r="Y122" s="239"/>
      <c r="Z122" s="239"/>
      <c r="AA122" s="240" t="s">
        <v>400</v>
      </c>
      <c r="AB122" s="1" t="s">
        <v>384</v>
      </c>
    </row>
    <row r="123" spans="1:28" ht="11.25" customHeight="1">
      <c r="A123" s="233">
        <v>41057</v>
      </c>
      <c r="B123" s="1" t="s">
        <v>521</v>
      </c>
      <c r="C123" s="1" t="s">
        <v>2214</v>
      </c>
      <c r="D123" s="1" t="s">
        <v>233</v>
      </c>
      <c r="E123" s="1" t="s">
        <v>2216</v>
      </c>
      <c r="F123" s="1">
        <v>16</v>
      </c>
      <c r="G123" s="1" t="s">
        <v>232</v>
      </c>
      <c r="H123" s="234">
        <v>7.5</v>
      </c>
      <c r="I123" s="236">
        <v>120</v>
      </c>
      <c r="J123" s="351">
        <v>5.0999999999999996</v>
      </c>
      <c r="K123" s="241">
        <v>81.599999999999994</v>
      </c>
      <c r="L123" s="237">
        <v>41057</v>
      </c>
      <c r="M123" s="1" t="s">
        <v>332</v>
      </c>
      <c r="N123" s="235">
        <f t="shared" si="5"/>
        <v>120</v>
      </c>
      <c r="O123" s="235">
        <f t="shared" si="6"/>
        <v>0</v>
      </c>
      <c r="P123" s="238" t="s">
        <v>522</v>
      </c>
      <c r="Q123" s="1" t="s">
        <v>523</v>
      </c>
      <c r="R123" s="239" t="s">
        <v>524</v>
      </c>
      <c r="S123" s="238" t="s">
        <v>525</v>
      </c>
      <c r="U123" s="238" t="s">
        <v>526</v>
      </c>
      <c r="V123" s="238" t="s">
        <v>2213</v>
      </c>
      <c r="Y123" s="239"/>
      <c r="Z123" s="239"/>
      <c r="AA123" s="240" t="s">
        <v>400</v>
      </c>
      <c r="AB123" s="1" t="s">
        <v>384</v>
      </c>
    </row>
    <row r="124" spans="1:28" ht="11.25" customHeight="1">
      <c r="A124" s="233">
        <v>41057</v>
      </c>
      <c r="B124" s="1" t="s">
        <v>521</v>
      </c>
      <c r="C124" s="1" t="s">
        <v>2214</v>
      </c>
      <c r="D124" s="5" t="s">
        <v>2217</v>
      </c>
      <c r="E124" s="1" t="s">
        <v>2218</v>
      </c>
      <c r="F124" s="5">
        <v>500</v>
      </c>
      <c r="G124" s="1" t="s">
        <v>5002</v>
      </c>
      <c r="H124" s="234">
        <v>2.6</v>
      </c>
      <c r="I124" s="236">
        <f t="shared" si="8"/>
        <v>1300</v>
      </c>
      <c r="J124" s="351">
        <v>1.66</v>
      </c>
      <c r="K124" s="241">
        <f>1.66*F124</f>
        <v>830</v>
      </c>
      <c r="L124" s="237">
        <v>41057</v>
      </c>
      <c r="M124" s="1" t="s">
        <v>332</v>
      </c>
      <c r="N124" s="235">
        <f t="shared" si="5"/>
        <v>1300</v>
      </c>
      <c r="O124" s="235">
        <f t="shared" si="6"/>
        <v>0</v>
      </c>
      <c r="P124" s="238" t="s">
        <v>522</v>
      </c>
      <c r="Q124" s="1" t="s">
        <v>523</v>
      </c>
      <c r="R124" s="239" t="s">
        <v>524</v>
      </c>
      <c r="S124" s="238" t="s">
        <v>525</v>
      </c>
      <c r="U124" s="238" t="s">
        <v>526</v>
      </c>
      <c r="V124" s="238" t="s">
        <v>2213</v>
      </c>
      <c r="Y124" s="239"/>
      <c r="Z124" s="239"/>
      <c r="AA124" s="240" t="s">
        <v>400</v>
      </c>
      <c r="AB124" s="1" t="s">
        <v>384</v>
      </c>
    </row>
    <row r="125" spans="1:28" ht="11.25" customHeight="1">
      <c r="A125" s="233">
        <v>41057</v>
      </c>
      <c r="B125" s="1" t="s">
        <v>527</v>
      </c>
      <c r="C125" s="1" t="s">
        <v>2214</v>
      </c>
      <c r="D125" s="1" t="s">
        <v>492</v>
      </c>
      <c r="E125" s="1">
        <v>3200</v>
      </c>
      <c r="F125" s="1">
        <v>2</v>
      </c>
      <c r="G125" s="1" t="s">
        <v>230</v>
      </c>
      <c r="H125" s="234">
        <v>70</v>
      </c>
      <c r="I125" s="236">
        <f t="shared" si="8"/>
        <v>140</v>
      </c>
      <c r="J125" s="351">
        <v>11.96</v>
      </c>
      <c r="K125" s="241">
        <f>28.76*F125</f>
        <v>57.52</v>
      </c>
      <c r="L125" s="237">
        <v>41061</v>
      </c>
      <c r="M125" s="1" t="s">
        <v>332</v>
      </c>
      <c r="N125" s="235">
        <f t="shared" si="5"/>
        <v>140</v>
      </c>
      <c r="O125" s="235">
        <f t="shared" si="6"/>
        <v>0</v>
      </c>
      <c r="P125" s="238" t="s">
        <v>528</v>
      </c>
      <c r="Q125" s="1" t="s">
        <v>404</v>
      </c>
      <c r="R125" s="239" t="s">
        <v>529</v>
      </c>
      <c r="S125" s="238" t="s">
        <v>530</v>
      </c>
      <c r="U125" s="238" t="s">
        <v>531</v>
      </c>
      <c r="V125" s="238" t="s">
        <v>255</v>
      </c>
      <c r="Y125" s="239"/>
      <c r="Z125" s="239"/>
      <c r="AA125" s="240" t="s">
        <v>400</v>
      </c>
      <c r="AB125" s="1" t="s">
        <v>384</v>
      </c>
    </row>
    <row r="126" spans="1:28" ht="11.25" customHeight="1">
      <c r="A126" s="233">
        <v>41057</v>
      </c>
      <c r="B126" s="1" t="s">
        <v>527</v>
      </c>
      <c r="C126" s="1" t="s">
        <v>2086</v>
      </c>
      <c r="D126" s="5" t="s">
        <v>2103</v>
      </c>
      <c r="E126" s="1" t="s">
        <v>2104</v>
      </c>
      <c r="F126" s="5">
        <v>500</v>
      </c>
      <c r="G126" s="1" t="s">
        <v>5002</v>
      </c>
      <c r="H126" s="234">
        <v>2.6</v>
      </c>
      <c r="I126" s="236">
        <f t="shared" si="8"/>
        <v>1300</v>
      </c>
      <c r="J126" s="351" t="s">
        <v>6083</v>
      </c>
      <c r="K126" s="241">
        <f>1.66*400+1.62*100</f>
        <v>826</v>
      </c>
      <c r="L126" s="237">
        <v>41061</v>
      </c>
      <c r="M126" s="1" t="s">
        <v>332</v>
      </c>
      <c r="N126" s="235">
        <f t="shared" si="5"/>
        <v>1300</v>
      </c>
      <c r="O126" s="235">
        <f t="shared" si="6"/>
        <v>0</v>
      </c>
      <c r="P126" s="238" t="s">
        <v>528</v>
      </c>
      <c r="Q126" s="1" t="s">
        <v>404</v>
      </c>
      <c r="R126" s="239" t="s">
        <v>529</v>
      </c>
      <c r="S126" s="238" t="s">
        <v>530</v>
      </c>
      <c r="U126" s="238" t="s">
        <v>531</v>
      </c>
      <c r="V126" s="238" t="s">
        <v>255</v>
      </c>
      <c r="Y126" s="239"/>
      <c r="Z126" s="239"/>
      <c r="AA126" s="240" t="s">
        <v>400</v>
      </c>
      <c r="AB126" s="1" t="s">
        <v>384</v>
      </c>
    </row>
    <row r="127" spans="1:28" ht="11.25" customHeight="1">
      <c r="A127" s="233">
        <v>41057</v>
      </c>
      <c r="B127" s="1" t="s">
        <v>527</v>
      </c>
      <c r="C127" s="1" t="s">
        <v>2086</v>
      </c>
      <c r="D127" s="1" t="s">
        <v>683</v>
      </c>
      <c r="E127" s="1" t="s">
        <v>2209</v>
      </c>
      <c r="F127" s="1">
        <v>10</v>
      </c>
      <c r="G127" s="1" t="s">
        <v>240</v>
      </c>
      <c r="H127" s="234">
        <v>4.9000000000000004</v>
      </c>
      <c r="I127" s="236">
        <f t="shared" si="8"/>
        <v>49</v>
      </c>
      <c r="J127" s="351">
        <v>3.31</v>
      </c>
      <c r="K127" s="241">
        <f>3.31*F127</f>
        <v>33.1</v>
      </c>
      <c r="L127" s="237">
        <v>41061</v>
      </c>
      <c r="M127" s="1" t="s">
        <v>332</v>
      </c>
      <c r="N127" s="235">
        <f t="shared" si="5"/>
        <v>49</v>
      </c>
      <c r="O127" s="235">
        <f t="shared" si="6"/>
        <v>0</v>
      </c>
      <c r="P127" s="238" t="s">
        <v>528</v>
      </c>
      <c r="Q127" s="1" t="s">
        <v>404</v>
      </c>
      <c r="R127" s="239" t="s">
        <v>529</v>
      </c>
      <c r="S127" s="238" t="s">
        <v>530</v>
      </c>
      <c r="U127" s="238" t="s">
        <v>531</v>
      </c>
      <c r="V127" s="238" t="s">
        <v>255</v>
      </c>
      <c r="Y127" s="239"/>
      <c r="Z127" s="239"/>
      <c r="AA127" s="240" t="s">
        <v>400</v>
      </c>
      <c r="AB127" s="1" t="s">
        <v>384</v>
      </c>
    </row>
    <row r="128" spans="1:28" ht="11.25" customHeight="1">
      <c r="A128" s="233">
        <v>41057</v>
      </c>
      <c r="B128" s="1" t="s">
        <v>527</v>
      </c>
      <c r="C128" s="1" t="s">
        <v>2086</v>
      </c>
      <c r="D128" s="1" t="s">
        <v>2219</v>
      </c>
      <c r="E128" s="1">
        <v>4620</v>
      </c>
      <c r="F128" s="1">
        <v>6</v>
      </c>
      <c r="G128" s="1" t="s">
        <v>244</v>
      </c>
      <c r="H128" s="234">
        <v>27.5</v>
      </c>
      <c r="I128" s="236">
        <f t="shared" si="8"/>
        <v>165</v>
      </c>
      <c r="J128" s="351"/>
      <c r="K128" s="241">
        <f>17.79*F128</f>
        <v>106.74</v>
      </c>
      <c r="L128" s="237">
        <v>41061</v>
      </c>
      <c r="M128" s="1" t="s">
        <v>332</v>
      </c>
      <c r="N128" s="235">
        <f t="shared" si="5"/>
        <v>165</v>
      </c>
      <c r="O128" s="235">
        <f t="shared" si="6"/>
        <v>0</v>
      </c>
      <c r="P128" s="238" t="s">
        <v>528</v>
      </c>
      <c r="Q128" s="1" t="s">
        <v>404</v>
      </c>
      <c r="R128" s="239" t="s">
        <v>529</v>
      </c>
      <c r="S128" s="238" t="s">
        <v>530</v>
      </c>
      <c r="U128" s="238" t="s">
        <v>531</v>
      </c>
      <c r="V128" s="238" t="s">
        <v>255</v>
      </c>
      <c r="Y128" s="239"/>
      <c r="Z128" s="239"/>
      <c r="AA128" s="240" t="s">
        <v>400</v>
      </c>
      <c r="AB128" s="1" t="s">
        <v>384</v>
      </c>
    </row>
    <row r="129" spans="1:28" ht="11.25" customHeight="1">
      <c r="A129" s="233">
        <v>41057</v>
      </c>
      <c r="B129" s="1" t="s">
        <v>527</v>
      </c>
      <c r="C129" s="1" t="s">
        <v>2086</v>
      </c>
      <c r="D129" s="1" t="s">
        <v>267</v>
      </c>
      <c r="E129" s="1">
        <v>12308</v>
      </c>
      <c r="F129" s="1">
        <v>10</v>
      </c>
      <c r="G129" s="1" t="s">
        <v>240</v>
      </c>
      <c r="H129" s="234">
        <v>29</v>
      </c>
      <c r="I129" s="236">
        <f t="shared" si="8"/>
        <v>290</v>
      </c>
      <c r="J129" s="351"/>
      <c r="K129" s="241">
        <f>19.43*F129</f>
        <v>194.3</v>
      </c>
      <c r="L129" s="237">
        <v>41061</v>
      </c>
      <c r="M129" s="1" t="s">
        <v>332</v>
      </c>
      <c r="N129" s="235">
        <f t="shared" si="5"/>
        <v>290</v>
      </c>
      <c r="O129" s="235">
        <f t="shared" si="6"/>
        <v>0</v>
      </c>
      <c r="P129" s="238" t="s">
        <v>528</v>
      </c>
      <c r="Q129" s="1" t="s">
        <v>404</v>
      </c>
      <c r="R129" s="239" t="s">
        <v>529</v>
      </c>
      <c r="S129" s="238" t="s">
        <v>530</v>
      </c>
      <c r="U129" s="238" t="s">
        <v>531</v>
      </c>
      <c r="V129" s="238" t="s">
        <v>255</v>
      </c>
      <c r="Y129" s="239"/>
      <c r="Z129" s="239"/>
      <c r="AA129" s="240" t="s">
        <v>400</v>
      </c>
      <c r="AB129" s="1" t="s">
        <v>384</v>
      </c>
    </row>
    <row r="130" spans="1:28" ht="11.25" customHeight="1">
      <c r="A130" s="233">
        <v>41057</v>
      </c>
      <c r="B130" s="1" t="s">
        <v>527</v>
      </c>
      <c r="C130" s="1" t="s">
        <v>2086</v>
      </c>
      <c r="D130" s="1" t="s">
        <v>2220</v>
      </c>
      <c r="E130" s="1" t="s">
        <v>2221</v>
      </c>
      <c r="F130" s="1">
        <v>2</v>
      </c>
      <c r="G130" s="1" t="s">
        <v>240</v>
      </c>
      <c r="H130" s="234">
        <v>45</v>
      </c>
      <c r="I130" s="236">
        <f t="shared" si="8"/>
        <v>90</v>
      </c>
      <c r="J130" s="351"/>
      <c r="K130" s="241">
        <v>0</v>
      </c>
      <c r="L130" s="237">
        <v>41061</v>
      </c>
      <c r="M130" s="1" t="s">
        <v>332</v>
      </c>
      <c r="N130" s="235">
        <f t="shared" si="5"/>
        <v>90</v>
      </c>
      <c r="O130" s="235">
        <f t="shared" si="6"/>
        <v>0</v>
      </c>
      <c r="P130" s="238" t="s">
        <v>528</v>
      </c>
      <c r="Q130" s="1" t="s">
        <v>404</v>
      </c>
      <c r="R130" s="239" t="s">
        <v>529</v>
      </c>
      <c r="S130" s="238" t="s">
        <v>530</v>
      </c>
      <c r="U130" s="238" t="s">
        <v>531</v>
      </c>
      <c r="V130" s="238" t="s">
        <v>255</v>
      </c>
      <c r="Y130" s="239"/>
      <c r="Z130" s="239"/>
      <c r="AA130" s="240" t="s">
        <v>400</v>
      </c>
      <c r="AB130" s="1" t="s">
        <v>384</v>
      </c>
    </row>
    <row r="131" spans="1:28" ht="11.25" customHeight="1">
      <c r="A131" s="233">
        <v>41057</v>
      </c>
      <c r="B131" s="1" t="s">
        <v>532</v>
      </c>
      <c r="C131" s="1" t="s">
        <v>2086</v>
      </c>
      <c r="D131" s="1" t="s">
        <v>492</v>
      </c>
      <c r="E131" s="1">
        <v>3200</v>
      </c>
      <c r="F131" s="1">
        <v>2</v>
      </c>
      <c r="G131" s="1" t="s">
        <v>230</v>
      </c>
      <c r="H131" s="234">
        <v>75</v>
      </c>
      <c r="I131" s="236">
        <f t="shared" si="8"/>
        <v>150</v>
      </c>
      <c r="J131" s="351">
        <v>28.73</v>
      </c>
      <c r="K131" s="241">
        <f>43.54+45.26</f>
        <v>88.8</v>
      </c>
      <c r="L131" s="237">
        <v>41057</v>
      </c>
      <c r="M131" s="1" t="s">
        <v>345</v>
      </c>
      <c r="N131" s="235">
        <f t="shared" ref="N131:N194" si="9">I131</f>
        <v>150</v>
      </c>
      <c r="O131" s="235">
        <f t="shared" ref="O131:O194" si="10">I131-N131</f>
        <v>0</v>
      </c>
      <c r="P131" s="238" t="s">
        <v>533</v>
      </c>
      <c r="Q131" s="1" t="s">
        <v>523</v>
      </c>
      <c r="R131" s="239" t="s">
        <v>534</v>
      </c>
      <c r="S131" s="238" t="s">
        <v>535</v>
      </c>
      <c r="U131" s="238" t="s">
        <v>536</v>
      </c>
      <c r="V131" s="238" t="s">
        <v>255</v>
      </c>
      <c r="Y131" s="239"/>
      <c r="Z131" s="239"/>
      <c r="AA131" s="240" t="s">
        <v>400</v>
      </c>
      <c r="AB131" s="1" t="s">
        <v>384</v>
      </c>
    </row>
    <row r="132" spans="1:28" ht="11.25" customHeight="1">
      <c r="A132" s="233">
        <v>41057</v>
      </c>
      <c r="B132" s="1" t="s">
        <v>532</v>
      </c>
      <c r="C132" s="1" t="s">
        <v>2086</v>
      </c>
      <c r="D132" s="1" t="s">
        <v>355</v>
      </c>
      <c r="E132" s="1" t="s">
        <v>2118</v>
      </c>
      <c r="F132" s="1">
        <v>2</v>
      </c>
      <c r="G132" s="1" t="s">
        <v>230</v>
      </c>
      <c r="H132" s="234">
        <v>18</v>
      </c>
      <c r="I132" s="236">
        <f t="shared" si="8"/>
        <v>36</v>
      </c>
      <c r="J132" s="352">
        <v>13.33</v>
      </c>
      <c r="K132" s="241">
        <f>13.33*F132</f>
        <v>26.66</v>
      </c>
      <c r="L132" s="237">
        <v>41057</v>
      </c>
      <c r="M132" s="1" t="s">
        <v>345</v>
      </c>
      <c r="N132" s="235">
        <f t="shared" si="9"/>
        <v>36</v>
      </c>
      <c r="O132" s="235">
        <f t="shared" si="10"/>
        <v>0</v>
      </c>
      <c r="P132" s="238" t="s">
        <v>533</v>
      </c>
      <c r="Q132" s="1" t="s">
        <v>523</v>
      </c>
      <c r="R132" s="239" t="s">
        <v>534</v>
      </c>
      <c r="S132" s="238" t="s">
        <v>535</v>
      </c>
      <c r="U132" s="238" t="s">
        <v>536</v>
      </c>
      <c r="V132" s="238" t="s">
        <v>255</v>
      </c>
      <c r="Y132" s="239"/>
      <c r="Z132" s="239"/>
      <c r="AA132" s="240" t="s">
        <v>400</v>
      </c>
      <c r="AB132" s="1" t="s">
        <v>384</v>
      </c>
    </row>
    <row r="133" spans="1:28" ht="11.25" customHeight="1">
      <c r="A133" s="233">
        <v>41057</v>
      </c>
      <c r="B133" s="1" t="s">
        <v>532</v>
      </c>
      <c r="C133" s="1" t="s">
        <v>2086</v>
      </c>
      <c r="D133" s="1" t="s">
        <v>269</v>
      </c>
      <c r="E133" s="1" t="s">
        <v>2122</v>
      </c>
      <c r="F133" s="1">
        <v>2</v>
      </c>
      <c r="G133" s="1" t="s">
        <v>232</v>
      </c>
      <c r="H133" s="234">
        <v>2</v>
      </c>
      <c r="I133" s="236">
        <f t="shared" si="8"/>
        <v>4</v>
      </c>
      <c r="J133" s="352">
        <v>1.48</v>
      </c>
      <c r="K133" s="241">
        <f>1.48*F133</f>
        <v>2.96</v>
      </c>
      <c r="L133" s="237">
        <v>41057</v>
      </c>
      <c r="M133" s="1" t="s">
        <v>345</v>
      </c>
      <c r="N133" s="235">
        <f t="shared" si="9"/>
        <v>4</v>
      </c>
      <c r="O133" s="235">
        <f t="shared" si="10"/>
        <v>0</v>
      </c>
      <c r="P133" s="238" t="s">
        <v>533</v>
      </c>
      <c r="Q133" s="1" t="s">
        <v>523</v>
      </c>
      <c r="R133" s="239" t="s">
        <v>534</v>
      </c>
      <c r="S133" s="238" t="s">
        <v>535</v>
      </c>
      <c r="U133" s="238" t="s">
        <v>536</v>
      </c>
      <c r="V133" s="238" t="s">
        <v>255</v>
      </c>
      <c r="Y133" s="239"/>
      <c r="Z133" s="239"/>
      <c r="AA133" s="240" t="s">
        <v>400</v>
      </c>
      <c r="AB133" s="1" t="s">
        <v>384</v>
      </c>
    </row>
    <row r="134" spans="1:28" ht="11.25" customHeight="1">
      <c r="A134" s="233">
        <v>41057</v>
      </c>
      <c r="B134" s="1" t="s">
        <v>532</v>
      </c>
      <c r="C134" s="1" t="s">
        <v>2086</v>
      </c>
      <c r="D134" s="5" t="s">
        <v>2103</v>
      </c>
      <c r="E134" s="1" t="s">
        <v>2104</v>
      </c>
      <c r="F134" s="5">
        <v>50</v>
      </c>
      <c r="G134" s="1" t="s">
        <v>5002</v>
      </c>
      <c r="H134" s="234">
        <v>2.6</v>
      </c>
      <c r="I134" s="236">
        <f>F134*H134</f>
        <v>130</v>
      </c>
      <c r="J134" s="351">
        <v>1.62</v>
      </c>
      <c r="K134" s="241">
        <f>1.62*F134</f>
        <v>81</v>
      </c>
      <c r="L134" s="237">
        <v>41057</v>
      </c>
      <c r="M134" s="1" t="s">
        <v>345</v>
      </c>
      <c r="N134" s="235">
        <f t="shared" si="9"/>
        <v>130</v>
      </c>
      <c r="O134" s="235">
        <f t="shared" si="10"/>
        <v>0</v>
      </c>
      <c r="P134" s="238" t="s">
        <v>533</v>
      </c>
      <c r="Q134" s="1" t="s">
        <v>523</v>
      </c>
      <c r="R134" s="239" t="s">
        <v>534</v>
      </c>
      <c r="S134" s="238" t="s">
        <v>535</v>
      </c>
      <c r="U134" s="238" t="s">
        <v>536</v>
      </c>
      <c r="V134" s="238" t="s">
        <v>255</v>
      </c>
      <c r="Y134" s="239"/>
      <c r="Z134" s="239"/>
      <c r="AA134" s="240" t="s">
        <v>400</v>
      </c>
      <c r="AB134" s="1" t="s">
        <v>384</v>
      </c>
    </row>
    <row r="135" spans="1:28" ht="11.25" customHeight="1">
      <c r="A135" s="233">
        <v>41057</v>
      </c>
      <c r="B135" s="1" t="s">
        <v>537</v>
      </c>
      <c r="C135" s="1" t="s">
        <v>2086</v>
      </c>
      <c r="D135" s="1" t="s">
        <v>492</v>
      </c>
      <c r="E135" s="1">
        <v>6200</v>
      </c>
      <c r="F135" s="1">
        <v>1</v>
      </c>
      <c r="G135" s="1" t="s">
        <v>237</v>
      </c>
      <c r="H135" s="234">
        <v>145</v>
      </c>
      <c r="I135" s="236">
        <f t="shared" si="8"/>
        <v>145</v>
      </c>
      <c r="J135" s="354">
        <v>50</v>
      </c>
      <c r="K135" s="241" t="e">
        <f>#REF!*F135</f>
        <v>#REF!</v>
      </c>
      <c r="L135" s="237">
        <v>41057</v>
      </c>
      <c r="M135" s="1" t="s">
        <v>329</v>
      </c>
      <c r="N135" s="235">
        <f t="shared" si="9"/>
        <v>145</v>
      </c>
      <c r="O135" s="235">
        <f t="shared" si="10"/>
        <v>0</v>
      </c>
      <c r="P135" s="238" t="s">
        <v>538</v>
      </c>
      <c r="Q135" s="1" t="s">
        <v>404</v>
      </c>
      <c r="R135" s="239" t="s">
        <v>2222</v>
      </c>
      <c r="S135" s="238" t="s">
        <v>539</v>
      </c>
      <c r="U135" s="238" t="s">
        <v>540</v>
      </c>
      <c r="V135" s="238" t="s">
        <v>255</v>
      </c>
      <c r="Y135" s="239"/>
      <c r="Z135" s="239"/>
      <c r="AA135" s="240" t="s">
        <v>400</v>
      </c>
      <c r="AB135" s="1" t="s">
        <v>384</v>
      </c>
    </row>
    <row r="136" spans="1:28" ht="11.25" customHeight="1">
      <c r="A136" s="233">
        <v>41057</v>
      </c>
      <c r="B136" s="1" t="s">
        <v>537</v>
      </c>
      <c r="C136" s="1" t="s">
        <v>2086</v>
      </c>
      <c r="D136" s="1" t="s">
        <v>355</v>
      </c>
      <c r="E136" s="1" t="s">
        <v>2087</v>
      </c>
      <c r="F136" s="1">
        <v>2</v>
      </c>
      <c r="G136" s="1" t="s">
        <v>230</v>
      </c>
      <c r="H136" s="234">
        <v>30</v>
      </c>
      <c r="I136" s="236">
        <f t="shared" si="8"/>
        <v>60</v>
      </c>
      <c r="J136" s="351">
        <v>19.86</v>
      </c>
      <c r="K136" s="241">
        <v>39.72</v>
      </c>
      <c r="L136" s="237">
        <v>41057</v>
      </c>
      <c r="M136" s="1" t="s">
        <v>329</v>
      </c>
      <c r="N136" s="235">
        <f t="shared" si="9"/>
        <v>60</v>
      </c>
      <c r="O136" s="235">
        <f t="shared" si="10"/>
        <v>0</v>
      </c>
      <c r="P136" s="238" t="s">
        <v>538</v>
      </c>
      <c r="Q136" s="1" t="s">
        <v>404</v>
      </c>
      <c r="R136" s="239" t="s">
        <v>2222</v>
      </c>
      <c r="S136" s="238" t="s">
        <v>539</v>
      </c>
      <c r="U136" s="238" t="s">
        <v>540</v>
      </c>
      <c r="V136" s="238" t="s">
        <v>255</v>
      </c>
      <c r="Y136" s="239"/>
      <c r="Z136" s="239"/>
      <c r="AA136" s="240" t="s">
        <v>400</v>
      </c>
      <c r="AB136" s="1" t="s">
        <v>384</v>
      </c>
    </row>
    <row r="137" spans="1:28" ht="11.25" customHeight="1">
      <c r="A137" s="233">
        <v>41057</v>
      </c>
      <c r="B137" s="1" t="s">
        <v>537</v>
      </c>
      <c r="C137" s="1" t="s">
        <v>2086</v>
      </c>
      <c r="D137" s="1" t="s">
        <v>233</v>
      </c>
      <c r="E137" s="1" t="s">
        <v>2091</v>
      </c>
      <c r="F137" s="1">
        <v>2</v>
      </c>
      <c r="G137" s="1" t="s">
        <v>232</v>
      </c>
      <c r="H137" s="234">
        <v>7.5</v>
      </c>
      <c r="I137" s="236">
        <f t="shared" si="8"/>
        <v>15</v>
      </c>
      <c r="J137" s="351">
        <v>5.0999999999999996</v>
      </c>
      <c r="K137" s="241">
        <v>10.199999999999999</v>
      </c>
      <c r="L137" s="237">
        <v>41057</v>
      </c>
      <c r="M137" s="1" t="s">
        <v>329</v>
      </c>
      <c r="N137" s="235">
        <f t="shared" si="9"/>
        <v>15</v>
      </c>
      <c r="O137" s="235">
        <f t="shared" si="10"/>
        <v>0</v>
      </c>
      <c r="P137" s="238" t="s">
        <v>538</v>
      </c>
      <c r="Q137" s="1" t="s">
        <v>404</v>
      </c>
      <c r="R137" s="239" t="s">
        <v>2222</v>
      </c>
      <c r="S137" s="238" t="s">
        <v>539</v>
      </c>
      <c r="U137" s="238" t="s">
        <v>540</v>
      </c>
      <c r="V137" s="238" t="s">
        <v>255</v>
      </c>
      <c r="Y137" s="239"/>
      <c r="Z137" s="239"/>
      <c r="AA137" s="240" t="s">
        <v>400</v>
      </c>
      <c r="AB137" s="1" t="s">
        <v>384</v>
      </c>
    </row>
    <row r="138" spans="1:28" ht="11.25" customHeight="1">
      <c r="A138" s="233">
        <v>41057</v>
      </c>
      <c r="B138" s="1" t="s">
        <v>537</v>
      </c>
      <c r="C138" s="1" t="s">
        <v>2086</v>
      </c>
      <c r="D138" s="5" t="s">
        <v>2103</v>
      </c>
      <c r="E138" s="1" t="s">
        <v>2104</v>
      </c>
      <c r="F138" s="5">
        <v>100</v>
      </c>
      <c r="G138" s="1" t="s">
        <v>5002</v>
      </c>
      <c r="H138" s="234">
        <v>2.6</v>
      </c>
      <c r="I138" s="236">
        <f t="shared" si="8"/>
        <v>260</v>
      </c>
      <c r="J138" s="351">
        <v>1.62</v>
      </c>
      <c r="K138" s="241">
        <f>1.62*F138</f>
        <v>162</v>
      </c>
      <c r="L138" s="237">
        <v>41057</v>
      </c>
      <c r="M138" s="1" t="s">
        <v>329</v>
      </c>
      <c r="N138" s="235">
        <f t="shared" si="9"/>
        <v>260</v>
      </c>
      <c r="O138" s="235">
        <f t="shared" si="10"/>
        <v>0</v>
      </c>
      <c r="P138" s="238" t="s">
        <v>538</v>
      </c>
      <c r="Q138" s="1" t="s">
        <v>404</v>
      </c>
      <c r="R138" s="239" t="s">
        <v>2222</v>
      </c>
      <c r="S138" s="238" t="s">
        <v>539</v>
      </c>
      <c r="U138" s="238" t="s">
        <v>540</v>
      </c>
      <c r="V138" s="238" t="s">
        <v>255</v>
      </c>
      <c r="Y138" s="239"/>
      <c r="Z138" s="239"/>
      <c r="AA138" s="240" t="s">
        <v>400</v>
      </c>
      <c r="AB138" s="1" t="s">
        <v>384</v>
      </c>
    </row>
    <row r="139" spans="1:28" ht="11.25" customHeight="1">
      <c r="A139" s="233">
        <v>41057</v>
      </c>
      <c r="B139" s="1" t="s">
        <v>537</v>
      </c>
      <c r="C139" s="1" t="s">
        <v>2086</v>
      </c>
      <c r="D139" s="1" t="s">
        <v>683</v>
      </c>
      <c r="E139" s="1" t="s">
        <v>2209</v>
      </c>
      <c r="F139" s="1">
        <v>10</v>
      </c>
      <c r="G139" s="1" t="s">
        <v>240</v>
      </c>
      <c r="H139" s="234">
        <v>4.9000000000000004</v>
      </c>
      <c r="I139" s="236">
        <f t="shared" si="8"/>
        <v>49</v>
      </c>
      <c r="J139" s="351">
        <v>3.31</v>
      </c>
      <c r="K139" s="241">
        <f>3.31*H139</f>
        <v>16.219000000000001</v>
      </c>
      <c r="L139" s="237">
        <v>41057</v>
      </c>
      <c r="M139" s="1" t="s">
        <v>329</v>
      </c>
      <c r="N139" s="235">
        <f t="shared" si="9"/>
        <v>49</v>
      </c>
      <c r="O139" s="235">
        <f t="shared" si="10"/>
        <v>0</v>
      </c>
      <c r="P139" s="238" t="s">
        <v>538</v>
      </c>
      <c r="Q139" s="1" t="s">
        <v>404</v>
      </c>
      <c r="R139" s="239" t="s">
        <v>2222</v>
      </c>
      <c r="S139" s="238" t="s">
        <v>539</v>
      </c>
      <c r="U139" s="238" t="s">
        <v>540</v>
      </c>
      <c r="V139" s="238" t="s">
        <v>255</v>
      </c>
      <c r="Y139" s="239"/>
      <c r="Z139" s="239"/>
      <c r="AA139" s="240" t="s">
        <v>400</v>
      </c>
      <c r="AB139" s="1" t="s">
        <v>384</v>
      </c>
    </row>
    <row r="140" spans="1:28" ht="11.25" customHeight="1">
      <c r="A140" s="233">
        <v>41057</v>
      </c>
      <c r="B140" s="1" t="s">
        <v>537</v>
      </c>
      <c r="C140" s="1" t="s">
        <v>2086</v>
      </c>
      <c r="D140" s="1" t="s">
        <v>2108</v>
      </c>
      <c r="E140" s="1" t="s">
        <v>2109</v>
      </c>
      <c r="F140" s="1">
        <v>5</v>
      </c>
      <c r="G140" s="1" t="s">
        <v>240</v>
      </c>
      <c r="H140" s="234">
        <v>23</v>
      </c>
      <c r="I140" s="236">
        <f t="shared" si="8"/>
        <v>115</v>
      </c>
      <c r="J140" s="351"/>
      <c r="K140" s="241">
        <f>15.41*F140</f>
        <v>77.05</v>
      </c>
      <c r="L140" s="237">
        <v>41057</v>
      </c>
      <c r="M140" s="1" t="s">
        <v>329</v>
      </c>
      <c r="N140" s="235">
        <f t="shared" si="9"/>
        <v>115</v>
      </c>
      <c r="O140" s="235">
        <f t="shared" si="10"/>
        <v>0</v>
      </c>
      <c r="P140" s="238" t="s">
        <v>538</v>
      </c>
      <c r="Q140" s="1" t="s">
        <v>404</v>
      </c>
      <c r="R140" s="239" t="s">
        <v>2222</v>
      </c>
      <c r="S140" s="238" t="s">
        <v>539</v>
      </c>
      <c r="U140" s="238" t="s">
        <v>540</v>
      </c>
      <c r="V140" s="238" t="s">
        <v>255</v>
      </c>
      <c r="Y140" s="239"/>
      <c r="Z140" s="239"/>
      <c r="AA140" s="240" t="s">
        <v>400</v>
      </c>
      <c r="AB140" s="1" t="s">
        <v>384</v>
      </c>
    </row>
    <row r="141" spans="1:28" ht="11.25" customHeight="1">
      <c r="A141" s="233">
        <v>41059</v>
      </c>
      <c r="B141" s="1" t="s">
        <v>383</v>
      </c>
      <c r="C141" s="1" t="s">
        <v>2086</v>
      </c>
      <c r="D141" s="5" t="s">
        <v>2103</v>
      </c>
      <c r="E141" s="1" t="s">
        <v>2104</v>
      </c>
      <c r="F141" s="5">
        <v>300</v>
      </c>
      <c r="G141" s="1" t="s">
        <v>5002</v>
      </c>
      <c r="H141" s="234">
        <v>2.68</v>
      </c>
      <c r="I141" s="236">
        <f t="shared" si="8"/>
        <v>804</v>
      </c>
      <c r="J141" s="351">
        <v>1.66</v>
      </c>
      <c r="K141" s="241">
        <f>1.66*F141</f>
        <v>498</v>
      </c>
      <c r="L141" s="237">
        <v>41059</v>
      </c>
      <c r="M141" s="1" t="s">
        <v>302</v>
      </c>
      <c r="N141" s="235">
        <f t="shared" si="9"/>
        <v>804</v>
      </c>
      <c r="O141" s="235">
        <f t="shared" si="10"/>
        <v>0</v>
      </c>
      <c r="P141" s="238" t="s">
        <v>541</v>
      </c>
      <c r="Q141" s="1" t="s">
        <v>429</v>
      </c>
      <c r="R141" s="239" t="s">
        <v>2223</v>
      </c>
      <c r="S141" s="238" t="s">
        <v>450</v>
      </c>
      <c r="T141" s="238" t="s">
        <v>2224</v>
      </c>
      <c r="V141" s="238" t="s">
        <v>2225</v>
      </c>
      <c r="W141" s="236">
        <v>1072</v>
      </c>
      <c r="X141" s="233">
        <v>41120</v>
      </c>
      <c r="Y141" s="238" t="s">
        <v>2226</v>
      </c>
      <c r="Z141" s="238"/>
      <c r="AA141" s="240" t="s">
        <v>2227</v>
      </c>
      <c r="AB141" s="1" t="s">
        <v>384</v>
      </c>
    </row>
    <row r="142" spans="1:28" ht="11.25" customHeight="1">
      <c r="A142" s="233">
        <v>41060</v>
      </c>
      <c r="B142" s="1" t="s">
        <v>542</v>
      </c>
      <c r="C142" s="1" t="s">
        <v>2086</v>
      </c>
      <c r="D142" s="5" t="s">
        <v>2103</v>
      </c>
      <c r="E142" s="1" t="s">
        <v>2104</v>
      </c>
      <c r="F142" s="5">
        <v>100</v>
      </c>
      <c r="G142" s="1" t="s">
        <v>5002</v>
      </c>
      <c r="H142" s="234">
        <v>2.6</v>
      </c>
      <c r="I142" s="236">
        <f t="shared" si="8"/>
        <v>260</v>
      </c>
      <c r="J142" s="351">
        <v>1.6</v>
      </c>
      <c r="K142" s="241">
        <f>1.6*F142</f>
        <v>160</v>
      </c>
      <c r="L142" s="237">
        <v>41060</v>
      </c>
      <c r="M142" s="1" t="s">
        <v>302</v>
      </c>
      <c r="N142" s="235">
        <f t="shared" si="9"/>
        <v>260</v>
      </c>
      <c r="O142" s="235">
        <f t="shared" si="10"/>
        <v>0</v>
      </c>
      <c r="P142" s="238" t="s">
        <v>543</v>
      </c>
      <c r="Q142" s="1" t="s">
        <v>2228</v>
      </c>
      <c r="R142" s="239" t="s">
        <v>544</v>
      </c>
      <c r="S142" s="238" t="s">
        <v>545</v>
      </c>
      <c r="V142" s="238" t="s">
        <v>255</v>
      </c>
      <c r="Y142" s="239"/>
      <c r="Z142" s="239"/>
      <c r="AB142" s="1" t="s">
        <v>384</v>
      </c>
    </row>
    <row r="143" spans="1:28" ht="11.25" customHeight="1">
      <c r="A143" s="233">
        <v>41060</v>
      </c>
      <c r="B143" s="1" t="s">
        <v>542</v>
      </c>
      <c r="C143" s="1" t="s">
        <v>2086</v>
      </c>
      <c r="D143" s="5" t="s">
        <v>2229</v>
      </c>
      <c r="E143" s="1">
        <v>7502</v>
      </c>
      <c r="F143" s="5">
        <v>2</v>
      </c>
      <c r="G143" s="1" t="s">
        <v>230</v>
      </c>
      <c r="H143" s="234">
        <v>179</v>
      </c>
      <c r="I143" s="236">
        <f t="shared" si="8"/>
        <v>358</v>
      </c>
      <c r="J143" s="351"/>
      <c r="K143" s="241">
        <v>0</v>
      </c>
      <c r="L143" s="237">
        <v>41060</v>
      </c>
      <c r="M143" s="1" t="s">
        <v>302</v>
      </c>
      <c r="N143" s="235">
        <f t="shared" si="9"/>
        <v>358</v>
      </c>
      <c r="O143" s="235">
        <f t="shared" si="10"/>
        <v>0</v>
      </c>
      <c r="P143" s="238" t="s">
        <v>543</v>
      </c>
      <c r="Q143" s="1" t="s">
        <v>2228</v>
      </c>
      <c r="R143" s="239" t="s">
        <v>544</v>
      </c>
      <c r="S143" s="238" t="s">
        <v>545</v>
      </c>
      <c r="V143" s="238" t="s">
        <v>255</v>
      </c>
      <c r="Y143" s="239"/>
      <c r="Z143" s="239"/>
      <c r="AB143" s="1" t="s">
        <v>384</v>
      </c>
    </row>
    <row r="144" spans="1:28" ht="11.25" customHeight="1">
      <c r="A144" s="233">
        <v>41060</v>
      </c>
      <c r="B144" s="1" t="s">
        <v>542</v>
      </c>
      <c r="C144" s="1" t="s">
        <v>2086</v>
      </c>
      <c r="D144" s="1" t="s">
        <v>355</v>
      </c>
      <c r="E144" s="1" t="s">
        <v>2087</v>
      </c>
      <c r="F144" s="5">
        <v>4</v>
      </c>
      <c r="G144" s="1" t="s">
        <v>230</v>
      </c>
      <c r="H144" s="234">
        <v>30</v>
      </c>
      <c r="I144" s="236">
        <f t="shared" si="8"/>
        <v>120</v>
      </c>
      <c r="J144" s="351">
        <v>19</v>
      </c>
      <c r="K144" s="241">
        <f>19*F144</f>
        <v>76</v>
      </c>
      <c r="L144" s="237">
        <v>41060</v>
      </c>
      <c r="M144" s="1" t="s">
        <v>302</v>
      </c>
      <c r="N144" s="235">
        <f t="shared" si="9"/>
        <v>120</v>
      </c>
      <c r="O144" s="235">
        <f t="shared" si="10"/>
        <v>0</v>
      </c>
      <c r="P144" s="238" t="s">
        <v>543</v>
      </c>
      <c r="Q144" s="1" t="s">
        <v>2228</v>
      </c>
      <c r="R144" s="239" t="s">
        <v>544</v>
      </c>
      <c r="S144" s="238" t="s">
        <v>545</v>
      </c>
      <c r="V144" s="238" t="s">
        <v>255</v>
      </c>
      <c r="Y144" s="239"/>
      <c r="Z144" s="239"/>
      <c r="AB144" s="1" t="s">
        <v>384</v>
      </c>
    </row>
    <row r="145" spans="1:28" ht="11.25" customHeight="1">
      <c r="A145" s="233">
        <v>41060</v>
      </c>
      <c r="B145" s="1" t="s">
        <v>542</v>
      </c>
      <c r="C145" s="1" t="s">
        <v>2086</v>
      </c>
      <c r="D145" s="1" t="s">
        <v>233</v>
      </c>
      <c r="E145" s="1" t="s">
        <v>2091</v>
      </c>
      <c r="F145" s="5">
        <v>10</v>
      </c>
      <c r="G145" s="1" t="s">
        <v>232</v>
      </c>
      <c r="H145" s="234">
        <v>8</v>
      </c>
      <c r="I145" s="236">
        <f t="shared" si="8"/>
        <v>80</v>
      </c>
      <c r="J145" s="351">
        <v>5.0999999999999996</v>
      </c>
      <c r="K145" s="241">
        <f>5.1*F145</f>
        <v>51</v>
      </c>
      <c r="L145" s="237">
        <v>41060</v>
      </c>
      <c r="M145" s="1" t="s">
        <v>302</v>
      </c>
      <c r="N145" s="235">
        <f t="shared" si="9"/>
        <v>80</v>
      </c>
      <c r="O145" s="235">
        <f t="shared" si="10"/>
        <v>0</v>
      </c>
      <c r="P145" s="238" t="s">
        <v>543</v>
      </c>
      <c r="Q145" s="1" t="s">
        <v>2228</v>
      </c>
      <c r="R145" s="239" t="s">
        <v>544</v>
      </c>
      <c r="S145" s="238" t="s">
        <v>545</v>
      </c>
      <c r="V145" s="238" t="s">
        <v>255</v>
      </c>
      <c r="Y145" s="239"/>
      <c r="Z145" s="239"/>
      <c r="AB145" s="1" t="s">
        <v>384</v>
      </c>
    </row>
    <row r="146" spans="1:28" ht="11.25" customHeight="1">
      <c r="A146" s="233">
        <v>41060</v>
      </c>
      <c r="B146" s="1" t="s">
        <v>542</v>
      </c>
      <c r="C146" s="1" t="s">
        <v>2086</v>
      </c>
      <c r="D146" s="1" t="s">
        <v>264</v>
      </c>
      <c r="E146" s="1">
        <v>501</v>
      </c>
      <c r="F146" s="5">
        <v>4</v>
      </c>
      <c r="G146" s="1" t="s">
        <v>230</v>
      </c>
      <c r="H146" s="234">
        <v>2</v>
      </c>
      <c r="I146" s="236">
        <f t="shared" si="8"/>
        <v>8</v>
      </c>
      <c r="J146" s="351">
        <v>1.4</v>
      </c>
      <c r="K146" s="241">
        <f>1.4*F146</f>
        <v>5.6</v>
      </c>
      <c r="L146" s="237">
        <v>41060</v>
      </c>
      <c r="M146" s="1" t="s">
        <v>302</v>
      </c>
      <c r="N146" s="235">
        <f t="shared" si="9"/>
        <v>8</v>
      </c>
      <c r="O146" s="235">
        <f t="shared" si="10"/>
        <v>0</v>
      </c>
      <c r="P146" s="238" t="s">
        <v>543</v>
      </c>
      <c r="Q146" s="1" t="s">
        <v>2230</v>
      </c>
      <c r="R146" s="239" t="s">
        <v>544</v>
      </c>
      <c r="S146" s="238" t="s">
        <v>545</v>
      </c>
      <c r="V146" s="238" t="s">
        <v>255</v>
      </c>
      <c r="Y146" s="239"/>
      <c r="Z146" s="239"/>
      <c r="AB146" s="1" t="s">
        <v>384</v>
      </c>
    </row>
    <row r="147" spans="1:28" ht="11.25" customHeight="1">
      <c r="A147" s="233">
        <v>41060</v>
      </c>
      <c r="B147" s="1" t="s">
        <v>542</v>
      </c>
      <c r="C147" s="1" t="s">
        <v>2086</v>
      </c>
      <c r="D147" s="1" t="s">
        <v>2220</v>
      </c>
      <c r="E147" s="1" t="s">
        <v>2221</v>
      </c>
      <c r="F147" s="5">
        <v>1</v>
      </c>
      <c r="G147" s="1" t="s">
        <v>240</v>
      </c>
      <c r="H147" s="234">
        <v>49</v>
      </c>
      <c r="I147" s="236">
        <f t="shared" si="8"/>
        <v>49</v>
      </c>
      <c r="J147" s="351">
        <v>30.15</v>
      </c>
      <c r="K147" s="241">
        <v>30.15</v>
      </c>
      <c r="L147" s="237">
        <v>41060</v>
      </c>
      <c r="M147" s="1" t="s">
        <v>302</v>
      </c>
      <c r="N147" s="235">
        <f t="shared" si="9"/>
        <v>49</v>
      </c>
      <c r="O147" s="235">
        <f t="shared" si="10"/>
        <v>0</v>
      </c>
      <c r="P147" s="238" t="s">
        <v>543</v>
      </c>
      <c r="Q147" s="1" t="s">
        <v>2228</v>
      </c>
      <c r="R147" s="239" t="s">
        <v>544</v>
      </c>
      <c r="S147" s="238" t="s">
        <v>545</v>
      </c>
      <c r="V147" s="238" t="s">
        <v>255</v>
      </c>
      <c r="Y147" s="239"/>
      <c r="Z147" s="239"/>
      <c r="AB147" s="1" t="s">
        <v>384</v>
      </c>
    </row>
    <row r="148" spans="1:28" ht="11.25" customHeight="1">
      <c r="A148" s="233">
        <v>41060</v>
      </c>
      <c r="B148" s="1" t="s">
        <v>547</v>
      </c>
      <c r="C148" s="1" t="s">
        <v>2086</v>
      </c>
      <c r="D148" s="5" t="s">
        <v>2103</v>
      </c>
      <c r="E148" s="1" t="s">
        <v>2104</v>
      </c>
      <c r="F148" s="5">
        <v>100</v>
      </c>
      <c r="G148" s="1" t="s">
        <v>5002</v>
      </c>
      <c r="H148" s="234">
        <v>2.6</v>
      </c>
      <c r="I148" s="236">
        <f t="shared" si="8"/>
        <v>260</v>
      </c>
      <c r="J148" s="351">
        <v>1.6</v>
      </c>
      <c r="K148" s="241">
        <v>160</v>
      </c>
      <c r="L148" s="237">
        <v>41060</v>
      </c>
      <c r="M148" s="1" t="s">
        <v>302</v>
      </c>
      <c r="N148" s="235">
        <f t="shared" si="9"/>
        <v>260</v>
      </c>
      <c r="O148" s="235">
        <f t="shared" si="10"/>
        <v>0</v>
      </c>
      <c r="P148" s="238" t="s">
        <v>548</v>
      </c>
      <c r="Q148" s="1" t="s">
        <v>2228</v>
      </c>
      <c r="R148" s="239" t="s">
        <v>549</v>
      </c>
      <c r="S148" s="238" t="s">
        <v>550</v>
      </c>
      <c r="V148" s="238" t="s">
        <v>255</v>
      </c>
      <c r="Y148" s="239"/>
      <c r="Z148" s="239"/>
      <c r="AB148" s="1" t="s">
        <v>384</v>
      </c>
    </row>
    <row r="149" spans="1:28" ht="11.25" customHeight="1">
      <c r="A149" s="233">
        <v>41060</v>
      </c>
      <c r="B149" s="1" t="s">
        <v>551</v>
      </c>
      <c r="C149" s="1" t="s">
        <v>2086</v>
      </c>
      <c r="D149" s="1" t="s">
        <v>241</v>
      </c>
      <c r="E149" s="1">
        <v>6200</v>
      </c>
      <c r="F149" s="5">
        <v>2</v>
      </c>
      <c r="G149" s="1" t="s">
        <v>230</v>
      </c>
      <c r="H149" s="234">
        <v>86</v>
      </c>
      <c r="I149" s="236">
        <f t="shared" si="8"/>
        <v>172</v>
      </c>
      <c r="J149" s="354">
        <v>45.8</v>
      </c>
      <c r="K149" s="241" t="e">
        <f>#REF!*F149</f>
        <v>#REF!</v>
      </c>
      <c r="L149" s="237">
        <v>41060</v>
      </c>
      <c r="M149" s="1" t="s">
        <v>302</v>
      </c>
      <c r="N149" s="235">
        <f t="shared" si="9"/>
        <v>172</v>
      </c>
      <c r="O149" s="235">
        <f t="shared" si="10"/>
        <v>0</v>
      </c>
      <c r="P149" s="238" t="s">
        <v>552</v>
      </c>
      <c r="Q149" s="1" t="s">
        <v>2228</v>
      </c>
      <c r="R149" s="239" t="s">
        <v>553</v>
      </c>
      <c r="S149" s="238" t="s">
        <v>554</v>
      </c>
      <c r="V149" s="238" t="s">
        <v>255</v>
      </c>
      <c r="Y149" s="239"/>
      <c r="Z149" s="239"/>
      <c r="AB149" s="1" t="s">
        <v>384</v>
      </c>
    </row>
    <row r="150" spans="1:28" ht="11.25" customHeight="1">
      <c r="A150" s="233">
        <v>41060</v>
      </c>
      <c r="B150" s="1" t="s">
        <v>551</v>
      </c>
      <c r="C150" s="1" t="s">
        <v>2086</v>
      </c>
      <c r="D150" s="1" t="s">
        <v>355</v>
      </c>
      <c r="E150" s="1" t="s">
        <v>2087</v>
      </c>
      <c r="F150" s="5">
        <v>4</v>
      </c>
      <c r="G150" s="1" t="s">
        <v>230</v>
      </c>
      <c r="H150" s="234">
        <v>30</v>
      </c>
      <c r="I150" s="236">
        <f t="shared" si="8"/>
        <v>120</v>
      </c>
      <c r="J150" s="351">
        <v>19</v>
      </c>
      <c r="K150" s="241">
        <f>19*F150</f>
        <v>76</v>
      </c>
      <c r="L150" s="237">
        <v>41060</v>
      </c>
      <c r="M150" s="1" t="s">
        <v>302</v>
      </c>
      <c r="N150" s="235">
        <f t="shared" si="9"/>
        <v>120</v>
      </c>
      <c r="O150" s="235">
        <f t="shared" si="10"/>
        <v>0</v>
      </c>
      <c r="P150" s="238" t="s">
        <v>552</v>
      </c>
      <c r="Q150" s="1" t="s">
        <v>2228</v>
      </c>
      <c r="R150" s="239" t="s">
        <v>553</v>
      </c>
      <c r="S150" s="238" t="s">
        <v>554</v>
      </c>
      <c r="V150" s="238" t="s">
        <v>255</v>
      </c>
      <c r="Y150" s="239"/>
      <c r="Z150" s="239"/>
      <c r="AB150" s="1" t="s">
        <v>384</v>
      </c>
    </row>
    <row r="151" spans="1:28" ht="11.25" customHeight="1">
      <c r="A151" s="233">
        <v>41060</v>
      </c>
      <c r="B151" s="1" t="s">
        <v>551</v>
      </c>
      <c r="C151" s="1" t="s">
        <v>2086</v>
      </c>
      <c r="D151" s="1" t="s">
        <v>233</v>
      </c>
      <c r="E151" s="1" t="s">
        <v>2091</v>
      </c>
      <c r="F151" s="5">
        <v>10</v>
      </c>
      <c r="G151" s="1" t="s">
        <v>232</v>
      </c>
      <c r="H151" s="234">
        <v>8</v>
      </c>
      <c r="I151" s="236">
        <f t="shared" si="8"/>
        <v>80</v>
      </c>
      <c r="J151" s="351">
        <v>5.0999999999999996</v>
      </c>
      <c r="K151" s="241">
        <f>5.1*F151</f>
        <v>51</v>
      </c>
      <c r="L151" s="237">
        <v>41060</v>
      </c>
      <c r="M151" s="1" t="s">
        <v>302</v>
      </c>
      <c r="N151" s="235">
        <f t="shared" si="9"/>
        <v>80</v>
      </c>
      <c r="O151" s="235">
        <f t="shared" si="10"/>
        <v>0</v>
      </c>
      <c r="P151" s="238" t="s">
        <v>552</v>
      </c>
      <c r="Q151" s="1" t="s">
        <v>2228</v>
      </c>
      <c r="R151" s="239" t="s">
        <v>553</v>
      </c>
      <c r="S151" s="238" t="s">
        <v>554</v>
      </c>
      <c r="V151" s="238" t="s">
        <v>255</v>
      </c>
      <c r="Y151" s="239"/>
      <c r="Z151" s="239"/>
      <c r="AB151" s="1" t="s">
        <v>384</v>
      </c>
    </row>
    <row r="152" spans="1:28" ht="11.25" customHeight="1">
      <c r="A152" s="233">
        <v>41060</v>
      </c>
      <c r="B152" s="1" t="s">
        <v>551</v>
      </c>
      <c r="C152" s="1" t="s">
        <v>2086</v>
      </c>
      <c r="D152" s="1" t="s">
        <v>264</v>
      </c>
      <c r="E152" s="1">
        <v>501</v>
      </c>
      <c r="F152" s="5">
        <v>4</v>
      </c>
      <c r="G152" s="1" t="s">
        <v>230</v>
      </c>
      <c r="H152" s="234">
        <v>2</v>
      </c>
      <c r="I152" s="236">
        <f t="shared" si="8"/>
        <v>8</v>
      </c>
      <c r="J152" s="351">
        <v>1.4</v>
      </c>
      <c r="K152" s="241">
        <f>1.4*F152</f>
        <v>5.6</v>
      </c>
      <c r="L152" s="237">
        <v>41060</v>
      </c>
      <c r="M152" s="1" t="s">
        <v>302</v>
      </c>
      <c r="N152" s="235">
        <f t="shared" si="9"/>
        <v>8</v>
      </c>
      <c r="O152" s="235">
        <f t="shared" si="10"/>
        <v>0</v>
      </c>
      <c r="P152" s="238" t="s">
        <v>552</v>
      </c>
      <c r="Q152" s="1" t="s">
        <v>2230</v>
      </c>
      <c r="R152" s="239" t="s">
        <v>553</v>
      </c>
      <c r="S152" s="238" t="s">
        <v>554</v>
      </c>
      <c r="V152" s="238" t="s">
        <v>255</v>
      </c>
      <c r="Y152" s="239"/>
      <c r="Z152" s="239"/>
      <c r="AB152" s="1" t="s">
        <v>384</v>
      </c>
    </row>
    <row r="153" spans="1:28" ht="11.25" customHeight="1">
      <c r="A153" s="233">
        <v>41060</v>
      </c>
      <c r="B153" s="1" t="s">
        <v>551</v>
      </c>
      <c r="C153" s="1" t="s">
        <v>2086</v>
      </c>
      <c r="D153" s="5" t="s">
        <v>2103</v>
      </c>
      <c r="E153" s="1" t="s">
        <v>2104</v>
      </c>
      <c r="F153" s="5">
        <v>100</v>
      </c>
      <c r="G153" s="1" t="s">
        <v>5002</v>
      </c>
      <c r="H153" s="234">
        <v>2.6</v>
      </c>
      <c r="I153" s="236">
        <f t="shared" si="8"/>
        <v>260</v>
      </c>
      <c r="J153" s="351">
        <v>1.6</v>
      </c>
      <c r="K153" s="241">
        <v>160</v>
      </c>
      <c r="L153" s="237">
        <v>41060</v>
      </c>
      <c r="M153" s="1" t="s">
        <v>302</v>
      </c>
      <c r="N153" s="235">
        <f t="shared" si="9"/>
        <v>260</v>
      </c>
      <c r="O153" s="235">
        <f t="shared" si="10"/>
        <v>0</v>
      </c>
      <c r="P153" s="238" t="s">
        <v>552</v>
      </c>
      <c r="Q153" s="1" t="s">
        <v>2228</v>
      </c>
      <c r="R153" s="239" t="s">
        <v>553</v>
      </c>
      <c r="S153" s="238" t="s">
        <v>554</v>
      </c>
      <c r="V153" s="238" t="s">
        <v>255</v>
      </c>
      <c r="Y153" s="239"/>
      <c r="Z153" s="239"/>
      <c r="AB153" s="1" t="s">
        <v>384</v>
      </c>
    </row>
    <row r="154" spans="1:28" ht="11.25" customHeight="1">
      <c r="A154" s="233">
        <v>41060</v>
      </c>
      <c r="B154" s="1" t="s">
        <v>555</v>
      </c>
      <c r="C154" s="1" t="s">
        <v>2086</v>
      </c>
      <c r="D154" s="1" t="s">
        <v>241</v>
      </c>
      <c r="E154" s="1">
        <v>6200</v>
      </c>
      <c r="F154" s="5">
        <v>2</v>
      </c>
      <c r="G154" s="1" t="s">
        <v>230</v>
      </c>
      <c r="H154" s="234">
        <v>86</v>
      </c>
      <c r="I154" s="236">
        <f t="shared" si="8"/>
        <v>172</v>
      </c>
      <c r="J154" s="354">
        <v>45.8</v>
      </c>
      <c r="K154" s="241" t="e">
        <f>#REF!*F154</f>
        <v>#REF!</v>
      </c>
      <c r="L154" s="237">
        <v>41060</v>
      </c>
      <c r="M154" s="1" t="s">
        <v>302</v>
      </c>
      <c r="N154" s="235">
        <f t="shared" si="9"/>
        <v>172</v>
      </c>
      <c r="O154" s="235">
        <f t="shared" si="10"/>
        <v>0</v>
      </c>
      <c r="P154" s="238" t="s">
        <v>556</v>
      </c>
      <c r="Q154" s="1" t="s">
        <v>2228</v>
      </c>
      <c r="R154" s="239" t="s">
        <v>557</v>
      </c>
      <c r="S154" s="238" t="s">
        <v>558</v>
      </c>
      <c r="V154" s="238" t="s">
        <v>2213</v>
      </c>
      <c r="Y154" s="239"/>
      <c r="Z154" s="239"/>
      <c r="AB154" s="1" t="s">
        <v>384</v>
      </c>
    </row>
    <row r="155" spans="1:28" ht="11.25" customHeight="1">
      <c r="A155" s="233">
        <v>41060</v>
      </c>
      <c r="B155" s="1" t="s">
        <v>555</v>
      </c>
      <c r="C155" s="1" t="s">
        <v>2214</v>
      </c>
      <c r="D155" s="1" t="s">
        <v>355</v>
      </c>
      <c r="E155" s="1" t="s">
        <v>2215</v>
      </c>
      <c r="F155" s="5">
        <v>14</v>
      </c>
      <c r="G155" s="1" t="s">
        <v>230</v>
      </c>
      <c r="H155" s="234">
        <v>30</v>
      </c>
      <c r="I155" s="236">
        <f t="shared" si="8"/>
        <v>420</v>
      </c>
      <c r="J155" s="351">
        <v>19</v>
      </c>
      <c r="K155" s="241">
        <f>19*F155</f>
        <v>266</v>
      </c>
      <c r="L155" s="237">
        <v>41060</v>
      </c>
      <c r="M155" s="1" t="s">
        <v>302</v>
      </c>
      <c r="N155" s="235">
        <f t="shared" si="9"/>
        <v>420</v>
      </c>
      <c r="O155" s="235">
        <f t="shared" si="10"/>
        <v>0</v>
      </c>
      <c r="P155" s="238" t="s">
        <v>556</v>
      </c>
      <c r="Q155" s="1" t="s">
        <v>2231</v>
      </c>
      <c r="R155" s="239" t="s">
        <v>557</v>
      </c>
      <c r="S155" s="238" t="s">
        <v>558</v>
      </c>
      <c r="V155" s="238" t="s">
        <v>2213</v>
      </c>
      <c r="Y155" s="239"/>
      <c r="Z155" s="239"/>
      <c r="AB155" s="1" t="s">
        <v>384</v>
      </c>
    </row>
    <row r="156" spans="1:28" ht="11.25" customHeight="1">
      <c r="A156" s="233">
        <v>41060</v>
      </c>
      <c r="B156" s="1" t="s">
        <v>555</v>
      </c>
      <c r="C156" s="1" t="s">
        <v>2214</v>
      </c>
      <c r="D156" s="1" t="s">
        <v>233</v>
      </c>
      <c r="E156" s="1" t="s">
        <v>2216</v>
      </c>
      <c r="F156" s="5">
        <v>50</v>
      </c>
      <c r="G156" s="1" t="s">
        <v>232</v>
      </c>
      <c r="H156" s="234">
        <v>8</v>
      </c>
      <c r="I156" s="236">
        <f t="shared" si="8"/>
        <v>400</v>
      </c>
      <c r="J156" s="351">
        <v>5.0999999999999996</v>
      </c>
      <c r="K156" s="241">
        <f>5.1*F156</f>
        <v>254.99999999999997</v>
      </c>
      <c r="L156" s="237">
        <v>41060</v>
      </c>
      <c r="M156" s="1" t="s">
        <v>302</v>
      </c>
      <c r="N156" s="235">
        <f t="shared" si="9"/>
        <v>400</v>
      </c>
      <c r="O156" s="235">
        <f t="shared" si="10"/>
        <v>0</v>
      </c>
      <c r="P156" s="238" t="s">
        <v>556</v>
      </c>
      <c r="Q156" s="1" t="s">
        <v>2231</v>
      </c>
      <c r="R156" s="239" t="s">
        <v>557</v>
      </c>
      <c r="S156" s="238" t="s">
        <v>558</v>
      </c>
      <c r="V156" s="238" t="s">
        <v>2213</v>
      </c>
      <c r="Y156" s="239"/>
      <c r="Z156" s="239"/>
      <c r="AB156" s="1" t="s">
        <v>384</v>
      </c>
    </row>
    <row r="157" spans="1:28" ht="11.25" customHeight="1">
      <c r="A157" s="233">
        <v>41060</v>
      </c>
      <c r="B157" s="1" t="s">
        <v>555</v>
      </c>
      <c r="C157" s="1" t="s">
        <v>2214</v>
      </c>
      <c r="D157" s="1" t="s">
        <v>264</v>
      </c>
      <c r="E157" s="1">
        <v>501</v>
      </c>
      <c r="F157" s="5">
        <v>4</v>
      </c>
      <c r="G157" s="1" t="s">
        <v>230</v>
      </c>
      <c r="H157" s="234">
        <v>2</v>
      </c>
      <c r="I157" s="236">
        <f t="shared" si="8"/>
        <v>8</v>
      </c>
      <c r="J157" s="351">
        <v>1.4</v>
      </c>
      <c r="K157" s="241">
        <f>1.4*F157</f>
        <v>5.6</v>
      </c>
      <c r="L157" s="237">
        <v>41060</v>
      </c>
      <c r="M157" s="1" t="s">
        <v>302</v>
      </c>
      <c r="N157" s="235">
        <f t="shared" si="9"/>
        <v>8</v>
      </c>
      <c r="O157" s="235">
        <f t="shared" si="10"/>
        <v>0</v>
      </c>
      <c r="P157" s="238" t="s">
        <v>556</v>
      </c>
      <c r="Q157" s="1" t="s">
        <v>2230</v>
      </c>
      <c r="R157" s="239" t="s">
        <v>557</v>
      </c>
      <c r="S157" s="238" t="s">
        <v>558</v>
      </c>
      <c r="V157" s="238" t="s">
        <v>2213</v>
      </c>
      <c r="Y157" s="239"/>
      <c r="Z157" s="239"/>
      <c r="AB157" s="1" t="s">
        <v>384</v>
      </c>
    </row>
    <row r="158" spans="1:28" ht="11.25" customHeight="1">
      <c r="A158" s="233">
        <v>41060</v>
      </c>
      <c r="B158" s="1" t="s">
        <v>555</v>
      </c>
      <c r="C158" s="1" t="s">
        <v>2214</v>
      </c>
      <c r="D158" s="5" t="s">
        <v>2217</v>
      </c>
      <c r="E158" s="1" t="s">
        <v>2218</v>
      </c>
      <c r="F158" s="5">
        <v>500</v>
      </c>
      <c r="G158" s="1" t="s">
        <v>5002</v>
      </c>
      <c r="H158" s="234">
        <v>2.6</v>
      </c>
      <c r="I158" s="236">
        <f t="shared" si="8"/>
        <v>1300</v>
      </c>
      <c r="J158" s="351">
        <v>1.6</v>
      </c>
      <c r="K158" s="241">
        <f>1.6*F158</f>
        <v>800</v>
      </c>
      <c r="L158" s="237">
        <v>41060</v>
      </c>
      <c r="M158" s="1" t="s">
        <v>302</v>
      </c>
      <c r="N158" s="235">
        <f t="shared" si="9"/>
        <v>1300</v>
      </c>
      <c r="O158" s="235">
        <f t="shared" si="10"/>
        <v>0</v>
      </c>
      <c r="P158" s="238" t="s">
        <v>556</v>
      </c>
      <c r="Q158" s="1" t="s">
        <v>2231</v>
      </c>
      <c r="R158" s="239" t="s">
        <v>557</v>
      </c>
      <c r="S158" s="238" t="s">
        <v>558</v>
      </c>
      <c r="V158" s="238" t="s">
        <v>2213</v>
      </c>
      <c r="Y158" s="239"/>
      <c r="Z158" s="239"/>
      <c r="AB158" s="1" t="s">
        <v>384</v>
      </c>
    </row>
    <row r="159" spans="1:28" ht="11.25" customHeight="1">
      <c r="A159" s="233">
        <v>41060</v>
      </c>
      <c r="B159" s="1" t="s">
        <v>555</v>
      </c>
      <c r="C159" s="1" t="s">
        <v>2214</v>
      </c>
      <c r="D159" s="1" t="s">
        <v>2232</v>
      </c>
      <c r="E159" s="1">
        <v>10434</v>
      </c>
      <c r="F159" s="5">
        <v>10</v>
      </c>
      <c r="G159" s="1" t="s">
        <v>240</v>
      </c>
      <c r="H159" s="234">
        <v>24</v>
      </c>
      <c r="I159" s="236">
        <f t="shared" si="8"/>
        <v>240</v>
      </c>
      <c r="J159" s="351"/>
      <c r="K159" s="241">
        <v>0</v>
      </c>
      <c r="L159" s="237">
        <v>41060</v>
      </c>
      <c r="M159" s="1" t="s">
        <v>302</v>
      </c>
      <c r="N159" s="235">
        <f t="shared" si="9"/>
        <v>240</v>
      </c>
      <c r="O159" s="235">
        <f t="shared" si="10"/>
        <v>0</v>
      </c>
      <c r="P159" s="238" t="s">
        <v>556</v>
      </c>
      <c r="Q159" s="1" t="s">
        <v>2231</v>
      </c>
      <c r="R159" s="239" t="s">
        <v>557</v>
      </c>
      <c r="S159" s="238" t="s">
        <v>558</v>
      </c>
      <c r="V159" s="238" t="s">
        <v>2213</v>
      </c>
      <c r="Y159" s="239"/>
      <c r="Z159" s="239"/>
      <c r="AB159" s="1" t="s">
        <v>384</v>
      </c>
    </row>
    <row r="160" spans="1:28" ht="11.25" customHeight="1">
      <c r="A160" s="233">
        <v>41060</v>
      </c>
      <c r="B160" s="1" t="s">
        <v>559</v>
      </c>
      <c r="C160" s="1" t="s">
        <v>2214</v>
      </c>
      <c r="D160" s="1" t="s">
        <v>241</v>
      </c>
      <c r="E160" s="1">
        <v>6200</v>
      </c>
      <c r="F160" s="5">
        <v>1</v>
      </c>
      <c r="G160" s="1" t="s">
        <v>230</v>
      </c>
      <c r="H160" s="234">
        <v>86</v>
      </c>
      <c r="I160" s="236">
        <f t="shared" si="8"/>
        <v>86</v>
      </c>
      <c r="J160" s="354">
        <v>45.8</v>
      </c>
      <c r="K160" s="241" t="e">
        <f>#REF!*F160</f>
        <v>#REF!</v>
      </c>
      <c r="L160" s="237">
        <v>41060</v>
      </c>
      <c r="M160" s="1" t="s">
        <v>302</v>
      </c>
      <c r="N160" s="235">
        <f t="shared" si="9"/>
        <v>86</v>
      </c>
      <c r="O160" s="235">
        <f t="shared" si="10"/>
        <v>0</v>
      </c>
      <c r="P160" s="238" t="s">
        <v>560</v>
      </c>
      <c r="Q160" s="1" t="s">
        <v>2231</v>
      </c>
      <c r="R160" s="239" t="s">
        <v>561</v>
      </c>
      <c r="S160" s="238" t="s">
        <v>562</v>
      </c>
      <c r="V160" s="238" t="s">
        <v>255</v>
      </c>
      <c r="Y160" s="239"/>
      <c r="Z160" s="239"/>
      <c r="AB160" s="1" t="s">
        <v>384</v>
      </c>
    </row>
    <row r="161" spans="1:44" ht="11.25" customHeight="1">
      <c r="A161" s="233">
        <v>41060</v>
      </c>
      <c r="B161" s="1" t="s">
        <v>559</v>
      </c>
      <c r="C161" s="1" t="s">
        <v>2086</v>
      </c>
      <c r="D161" s="1" t="s">
        <v>355</v>
      </c>
      <c r="E161" s="1" t="s">
        <v>2087</v>
      </c>
      <c r="F161" s="5">
        <v>4</v>
      </c>
      <c r="G161" s="1" t="s">
        <v>230</v>
      </c>
      <c r="H161" s="234">
        <v>30</v>
      </c>
      <c r="I161" s="236">
        <f t="shared" si="8"/>
        <v>120</v>
      </c>
      <c r="J161" s="351">
        <v>19</v>
      </c>
      <c r="K161" s="241">
        <f>19.56*F161</f>
        <v>78.239999999999995</v>
      </c>
      <c r="L161" s="237">
        <v>41060</v>
      </c>
      <c r="M161" s="1" t="s">
        <v>302</v>
      </c>
      <c r="N161" s="235">
        <f t="shared" si="9"/>
        <v>120</v>
      </c>
      <c r="O161" s="235">
        <f t="shared" si="10"/>
        <v>0</v>
      </c>
      <c r="P161" s="238" t="s">
        <v>560</v>
      </c>
      <c r="Q161" s="1" t="s">
        <v>2228</v>
      </c>
      <c r="R161" s="239" t="s">
        <v>561</v>
      </c>
      <c r="S161" s="238" t="s">
        <v>562</v>
      </c>
      <c r="V161" s="238" t="s">
        <v>255</v>
      </c>
      <c r="Y161" s="239"/>
      <c r="Z161" s="239"/>
      <c r="AB161" s="1" t="s">
        <v>384</v>
      </c>
    </row>
    <row r="162" spans="1:44" ht="11.25" customHeight="1">
      <c r="A162" s="233">
        <v>41060</v>
      </c>
      <c r="B162" s="1" t="s">
        <v>559</v>
      </c>
      <c r="C162" s="1" t="s">
        <v>2086</v>
      </c>
      <c r="D162" s="1" t="s">
        <v>233</v>
      </c>
      <c r="E162" s="1" t="s">
        <v>2091</v>
      </c>
      <c r="F162" s="5">
        <v>10</v>
      </c>
      <c r="G162" s="1" t="s">
        <v>232</v>
      </c>
      <c r="H162" s="234">
        <v>8</v>
      </c>
      <c r="I162" s="236">
        <f t="shared" si="8"/>
        <v>80</v>
      </c>
      <c r="J162" s="351">
        <v>5.0999999999999996</v>
      </c>
      <c r="K162" s="241">
        <f>5.1*F162</f>
        <v>51</v>
      </c>
      <c r="L162" s="237">
        <v>41060</v>
      </c>
      <c r="M162" s="1" t="s">
        <v>302</v>
      </c>
      <c r="N162" s="235">
        <f t="shared" si="9"/>
        <v>80</v>
      </c>
      <c r="O162" s="235">
        <f t="shared" si="10"/>
        <v>0</v>
      </c>
      <c r="P162" s="238" t="s">
        <v>560</v>
      </c>
      <c r="Q162" s="1" t="s">
        <v>2228</v>
      </c>
      <c r="R162" s="239" t="s">
        <v>561</v>
      </c>
      <c r="S162" s="238" t="s">
        <v>562</v>
      </c>
      <c r="V162" s="238" t="s">
        <v>255</v>
      </c>
      <c r="Y162" s="239"/>
      <c r="Z162" s="239"/>
      <c r="AB162" s="1" t="s">
        <v>384</v>
      </c>
    </row>
    <row r="163" spans="1:44" ht="11.25" customHeight="1">
      <c r="A163" s="233">
        <v>41060</v>
      </c>
      <c r="B163" s="1" t="s">
        <v>559</v>
      </c>
      <c r="C163" s="1" t="s">
        <v>2086</v>
      </c>
      <c r="D163" s="1" t="s">
        <v>264</v>
      </c>
      <c r="E163" s="1">
        <v>501</v>
      </c>
      <c r="F163" s="5">
        <v>2</v>
      </c>
      <c r="G163" s="1" t="s">
        <v>230</v>
      </c>
      <c r="H163" s="234">
        <v>2</v>
      </c>
      <c r="I163" s="236">
        <f t="shared" si="8"/>
        <v>4</v>
      </c>
      <c r="J163" s="351">
        <v>1.4</v>
      </c>
      <c r="K163" s="241">
        <f>1.4*F163</f>
        <v>2.8</v>
      </c>
      <c r="L163" s="237">
        <v>41060</v>
      </c>
      <c r="M163" s="1" t="s">
        <v>302</v>
      </c>
      <c r="N163" s="235">
        <f t="shared" si="9"/>
        <v>4</v>
      </c>
      <c r="O163" s="235">
        <f t="shared" si="10"/>
        <v>0</v>
      </c>
      <c r="P163" s="238" t="s">
        <v>560</v>
      </c>
      <c r="Q163" s="1" t="s">
        <v>2230</v>
      </c>
      <c r="R163" s="239" t="s">
        <v>561</v>
      </c>
      <c r="S163" s="238" t="s">
        <v>562</v>
      </c>
      <c r="V163" s="238" t="s">
        <v>255</v>
      </c>
      <c r="Y163" s="239"/>
      <c r="Z163" s="239"/>
      <c r="AB163" s="1" t="s">
        <v>384</v>
      </c>
    </row>
    <row r="164" spans="1:44" ht="11.25" customHeight="1">
      <c r="A164" s="233">
        <v>41060</v>
      </c>
      <c r="B164" s="1" t="s">
        <v>559</v>
      </c>
      <c r="C164" s="1" t="s">
        <v>2086</v>
      </c>
      <c r="D164" s="5" t="s">
        <v>2103</v>
      </c>
      <c r="E164" s="1" t="s">
        <v>2104</v>
      </c>
      <c r="F164" s="5">
        <v>100</v>
      </c>
      <c r="G164" s="1" t="s">
        <v>5002</v>
      </c>
      <c r="H164" s="234">
        <v>2.6</v>
      </c>
      <c r="I164" s="236">
        <f t="shared" si="8"/>
        <v>260</v>
      </c>
      <c r="J164" s="351">
        <v>1.6</v>
      </c>
      <c r="K164" s="241">
        <v>160</v>
      </c>
      <c r="L164" s="237">
        <v>41060</v>
      </c>
      <c r="M164" s="1" t="s">
        <v>302</v>
      </c>
      <c r="N164" s="235">
        <f t="shared" si="9"/>
        <v>260</v>
      </c>
      <c r="O164" s="235">
        <f t="shared" si="10"/>
        <v>0</v>
      </c>
      <c r="P164" s="238" t="s">
        <v>560</v>
      </c>
      <c r="Q164" s="1" t="s">
        <v>2228</v>
      </c>
      <c r="R164" s="239" t="s">
        <v>561</v>
      </c>
      <c r="S164" s="238" t="s">
        <v>562</v>
      </c>
      <c r="V164" s="238" t="s">
        <v>255</v>
      </c>
      <c r="Y164" s="239"/>
      <c r="Z164" s="239"/>
      <c r="AB164" s="1" t="s">
        <v>384</v>
      </c>
    </row>
    <row r="165" spans="1:44" ht="11.25" customHeight="1">
      <c r="A165" s="233">
        <v>41060</v>
      </c>
      <c r="B165" s="1" t="s">
        <v>559</v>
      </c>
      <c r="C165" s="1" t="s">
        <v>2086</v>
      </c>
      <c r="D165" s="1" t="s">
        <v>1219</v>
      </c>
      <c r="E165" s="1" t="s">
        <v>2178</v>
      </c>
      <c r="F165" s="5">
        <v>2</v>
      </c>
      <c r="G165" s="1" t="s">
        <v>240</v>
      </c>
      <c r="H165" s="234">
        <v>29</v>
      </c>
      <c r="I165" s="236">
        <f t="shared" si="8"/>
        <v>58</v>
      </c>
      <c r="J165" s="351">
        <v>13.4</v>
      </c>
      <c r="K165" s="250">
        <f>13.4*F165</f>
        <v>26.8</v>
      </c>
      <c r="L165" s="237">
        <v>41060</v>
      </c>
      <c r="M165" s="1" t="s">
        <v>302</v>
      </c>
      <c r="N165" s="235">
        <f t="shared" si="9"/>
        <v>58</v>
      </c>
      <c r="O165" s="235">
        <f t="shared" si="10"/>
        <v>0</v>
      </c>
      <c r="P165" s="238" t="s">
        <v>560</v>
      </c>
      <c r="Q165" s="1" t="s">
        <v>2228</v>
      </c>
      <c r="R165" s="239" t="s">
        <v>561</v>
      </c>
      <c r="S165" s="238" t="s">
        <v>562</v>
      </c>
      <c r="V165" s="238" t="s">
        <v>255</v>
      </c>
      <c r="Y165" s="239"/>
      <c r="Z165" s="239"/>
      <c r="AB165" s="1" t="s">
        <v>384</v>
      </c>
    </row>
    <row r="166" spans="1:44" ht="11.25" customHeight="1">
      <c r="A166" s="233">
        <v>41060</v>
      </c>
      <c r="B166" s="1" t="s">
        <v>423</v>
      </c>
      <c r="C166" s="1" t="s">
        <v>2086</v>
      </c>
      <c r="D166" s="1" t="s">
        <v>2233</v>
      </c>
      <c r="E166" s="1">
        <v>8247</v>
      </c>
      <c r="F166" s="5">
        <v>3000</v>
      </c>
      <c r="G166" s="1" t="s">
        <v>232</v>
      </c>
      <c r="H166" s="234">
        <v>12.75</v>
      </c>
      <c r="I166" s="236">
        <f t="shared" si="8"/>
        <v>38250</v>
      </c>
      <c r="J166" s="351"/>
      <c r="K166" s="241">
        <f>12.6*3000</f>
        <v>37800</v>
      </c>
      <c r="L166" s="237">
        <v>41060</v>
      </c>
      <c r="M166" s="1" t="s">
        <v>332</v>
      </c>
      <c r="N166" s="235">
        <f t="shared" si="9"/>
        <v>38250</v>
      </c>
      <c r="O166" s="235">
        <f t="shared" si="10"/>
        <v>0</v>
      </c>
      <c r="P166" s="238" t="s">
        <v>4918</v>
      </c>
      <c r="Q166" s="1" t="s">
        <v>1875</v>
      </c>
      <c r="V166" s="238" t="s">
        <v>2234</v>
      </c>
      <c r="W166" s="236" t="s">
        <v>2235</v>
      </c>
      <c r="X166" s="233">
        <v>41088</v>
      </c>
      <c r="Y166" s="239"/>
      <c r="Z166" s="239"/>
      <c r="AB166" s="1" t="s">
        <v>379</v>
      </c>
    </row>
    <row r="167" spans="1:44" ht="11.25" customHeight="1">
      <c r="A167" s="233">
        <v>41061</v>
      </c>
      <c r="B167" s="1" t="s">
        <v>2236</v>
      </c>
      <c r="C167" s="1" t="s">
        <v>2086</v>
      </c>
      <c r="D167" s="1" t="s">
        <v>2237</v>
      </c>
      <c r="E167" s="1" t="s">
        <v>2129</v>
      </c>
      <c r="F167" s="5">
        <v>5000</v>
      </c>
      <c r="G167" s="1" t="s">
        <v>232</v>
      </c>
      <c r="H167" s="234">
        <v>1.85</v>
      </c>
      <c r="I167" s="236">
        <f>H167*F167</f>
        <v>9250</v>
      </c>
      <c r="J167" s="352">
        <v>1.8</v>
      </c>
      <c r="K167" s="241">
        <v>9000</v>
      </c>
      <c r="L167" s="237">
        <v>41061</v>
      </c>
      <c r="M167" s="1" t="s">
        <v>332</v>
      </c>
      <c r="N167" s="235">
        <f t="shared" si="9"/>
        <v>9250</v>
      </c>
      <c r="O167" s="235">
        <f t="shared" si="10"/>
        <v>0</v>
      </c>
      <c r="P167" s="238" t="s">
        <v>4918</v>
      </c>
      <c r="Q167" s="1" t="s">
        <v>1875</v>
      </c>
      <c r="R167" s="239" t="s">
        <v>471</v>
      </c>
      <c r="S167" s="238" t="s">
        <v>472</v>
      </c>
      <c r="U167" s="238" t="s">
        <v>473</v>
      </c>
      <c r="V167" s="238" t="s">
        <v>478</v>
      </c>
      <c r="W167" s="236">
        <v>10265</v>
      </c>
      <c r="X167" s="233">
        <v>41072</v>
      </c>
      <c r="Y167" s="238" t="s">
        <v>2188</v>
      </c>
      <c r="Z167" s="238"/>
      <c r="AB167" s="1" t="s">
        <v>379</v>
      </c>
    </row>
    <row r="168" spans="1:44" ht="11.25" customHeight="1">
      <c r="A168" s="233">
        <v>41062</v>
      </c>
      <c r="B168" s="1" t="s">
        <v>563</v>
      </c>
      <c r="C168" s="1" t="s">
        <v>2189</v>
      </c>
      <c r="D168" s="1" t="s">
        <v>2238</v>
      </c>
      <c r="E168" s="1" t="s">
        <v>2239</v>
      </c>
      <c r="F168" s="5">
        <v>200</v>
      </c>
      <c r="G168" s="1" t="s">
        <v>5002</v>
      </c>
      <c r="H168" s="234">
        <v>2.6</v>
      </c>
      <c r="I168" s="236">
        <f t="shared" ref="I168:I232" si="11">H168*F168</f>
        <v>520</v>
      </c>
      <c r="J168" s="351">
        <v>1.6</v>
      </c>
      <c r="K168" s="241">
        <f>1.6*200</f>
        <v>320</v>
      </c>
      <c r="L168" s="237">
        <v>41062</v>
      </c>
      <c r="M168" s="1" t="s">
        <v>302</v>
      </c>
      <c r="N168" s="235">
        <f t="shared" si="9"/>
        <v>520</v>
      </c>
      <c r="O168" s="235">
        <f t="shared" si="10"/>
        <v>0</v>
      </c>
      <c r="P168" s="238" t="s">
        <v>564</v>
      </c>
      <c r="Q168" s="1" t="s">
        <v>393</v>
      </c>
      <c r="R168" s="239" t="s">
        <v>565</v>
      </c>
      <c r="S168" s="238" t="s">
        <v>566</v>
      </c>
      <c r="T168" s="240" t="s">
        <v>2240</v>
      </c>
      <c r="V168" s="238" t="s">
        <v>255</v>
      </c>
      <c r="Y168" s="239"/>
      <c r="Z168" s="239"/>
      <c r="AB168" s="1" t="s">
        <v>384</v>
      </c>
    </row>
    <row r="169" spans="1:44" ht="11.25" customHeight="1">
      <c r="A169" s="233">
        <v>41064</v>
      </c>
      <c r="B169" s="1" t="s">
        <v>567</v>
      </c>
      <c r="C169" s="1" t="s">
        <v>2086</v>
      </c>
      <c r="D169" s="1" t="s">
        <v>2103</v>
      </c>
      <c r="E169" s="1" t="s">
        <v>2104</v>
      </c>
      <c r="F169" s="5">
        <v>200</v>
      </c>
      <c r="G169" s="1" t="s">
        <v>5002</v>
      </c>
      <c r="H169" s="234">
        <v>2.6</v>
      </c>
      <c r="I169" s="236">
        <f t="shared" si="11"/>
        <v>520</v>
      </c>
      <c r="J169" s="351">
        <v>1.6</v>
      </c>
      <c r="K169" s="241">
        <f>1.6*200</f>
        <v>320</v>
      </c>
      <c r="L169" s="237">
        <v>41064</v>
      </c>
      <c r="M169" s="1" t="s">
        <v>302</v>
      </c>
      <c r="N169" s="235">
        <f t="shared" si="9"/>
        <v>520</v>
      </c>
      <c r="O169" s="235">
        <f t="shared" si="10"/>
        <v>0</v>
      </c>
      <c r="P169" s="238" t="s">
        <v>568</v>
      </c>
      <c r="Q169" s="1" t="s">
        <v>393</v>
      </c>
      <c r="R169" s="239" t="s">
        <v>2131</v>
      </c>
      <c r="S169" s="238" t="s">
        <v>569</v>
      </c>
      <c r="T169" s="238" t="s">
        <v>2241</v>
      </c>
      <c r="V169" s="238" t="s">
        <v>255</v>
      </c>
      <c r="Y169" s="239"/>
      <c r="Z169" s="239"/>
      <c r="AB169" s="1" t="s">
        <v>384</v>
      </c>
    </row>
    <row r="170" spans="1:44" ht="11.25" customHeight="1">
      <c r="A170" s="233">
        <v>41064</v>
      </c>
      <c r="B170" s="1" t="s">
        <v>567</v>
      </c>
      <c r="C170" s="1" t="s">
        <v>2086</v>
      </c>
      <c r="D170" s="1" t="s">
        <v>241</v>
      </c>
      <c r="E170" s="1">
        <v>6200</v>
      </c>
      <c r="F170" s="5">
        <v>3</v>
      </c>
      <c r="G170" s="1" t="s">
        <v>230</v>
      </c>
      <c r="H170" s="234">
        <v>80</v>
      </c>
      <c r="I170" s="236">
        <f t="shared" si="11"/>
        <v>240</v>
      </c>
      <c r="J170" s="354">
        <v>45.8</v>
      </c>
      <c r="K170" s="241" t="e">
        <f>#REF!*F170</f>
        <v>#REF!</v>
      </c>
      <c r="L170" s="237">
        <v>41064</v>
      </c>
      <c r="M170" s="1" t="s">
        <v>302</v>
      </c>
      <c r="N170" s="235">
        <f t="shared" si="9"/>
        <v>240</v>
      </c>
      <c r="O170" s="235">
        <f t="shared" si="10"/>
        <v>0</v>
      </c>
      <c r="P170" s="238" t="s">
        <v>568</v>
      </c>
      <c r="Q170" s="1" t="s">
        <v>393</v>
      </c>
      <c r="R170" s="239" t="s">
        <v>2131</v>
      </c>
      <c r="S170" s="238" t="s">
        <v>569</v>
      </c>
      <c r="T170" s="238" t="s">
        <v>2241</v>
      </c>
      <c r="V170" s="238" t="s">
        <v>255</v>
      </c>
      <c r="Y170" s="239"/>
      <c r="Z170" s="239"/>
      <c r="AB170" s="1" t="s">
        <v>384</v>
      </c>
    </row>
    <row r="171" spans="1:44" ht="11.25" customHeight="1">
      <c r="A171" s="233">
        <v>41064</v>
      </c>
      <c r="B171" s="1" t="s">
        <v>567</v>
      </c>
      <c r="C171" s="1" t="s">
        <v>2086</v>
      </c>
      <c r="D171" s="1" t="s">
        <v>2117</v>
      </c>
      <c r="E171" s="1" t="s">
        <v>2087</v>
      </c>
      <c r="F171" s="5">
        <v>26</v>
      </c>
      <c r="G171" s="1" t="s">
        <v>230</v>
      </c>
      <c r="H171" s="234">
        <v>30</v>
      </c>
      <c r="I171" s="236">
        <f t="shared" si="11"/>
        <v>780</v>
      </c>
      <c r="J171" s="351">
        <v>19</v>
      </c>
      <c r="K171" s="241">
        <f>19*26</f>
        <v>494</v>
      </c>
      <c r="L171" s="237">
        <v>41064</v>
      </c>
      <c r="M171" s="1" t="s">
        <v>302</v>
      </c>
      <c r="N171" s="235">
        <f t="shared" si="9"/>
        <v>780</v>
      </c>
      <c r="O171" s="235">
        <f t="shared" si="10"/>
        <v>0</v>
      </c>
      <c r="P171" s="238" t="s">
        <v>568</v>
      </c>
      <c r="Q171" s="1" t="s">
        <v>393</v>
      </c>
      <c r="R171" s="239" t="s">
        <v>2131</v>
      </c>
      <c r="S171" s="238" t="s">
        <v>569</v>
      </c>
      <c r="T171" s="238" t="s">
        <v>2241</v>
      </c>
      <c r="V171" s="238" t="s">
        <v>255</v>
      </c>
      <c r="Y171" s="239"/>
      <c r="Z171" s="239"/>
      <c r="AB171" s="1" t="s">
        <v>384</v>
      </c>
    </row>
    <row r="172" spans="1:44" ht="11.25" customHeight="1">
      <c r="A172" s="233">
        <v>41064</v>
      </c>
      <c r="B172" s="1" t="s">
        <v>567</v>
      </c>
      <c r="C172" s="1" t="s">
        <v>2086</v>
      </c>
      <c r="D172" s="1" t="s">
        <v>233</v>
      </c>
      <c r="E172" s="1" t="s">
        <v>2091</v>
      </c>
      <c r="F172" s="5">
        <v>50</v>
      </c>
      <c r="G172" s="1" t="s">
        <v>232</v>
      </c>
      <c r="H172" s="234">
        <v>7</v>
      </c>
      <c r="I172" s="236">
        <f t="shared" si="11"/>
        <v>350</v>
      </c>
      <c r="J172" s="351">
        <v>5.0999999999999996</v>
      </c>
      <c r="K172" s="241">
        <f>5.1*50</f>
        <v>254.99999999999997</v>
      </c>
      <c r="L172" s="237">
        <v>41064</v>
      </c>
      <c r="M172" s="1" t="s">
        <v>302</v>
      </c>
      <c r="N172" s="235">
        <f t="shared" si="9"/>
        <v>350</v>
      </c>
      <c r="O172" s="235">
        <f t="shared" si="10"/>
        <v>0</v>
      </c>
      <c r="P172" s="238" t="s">
        <v>568</v>
      </c>
      <c r="Q172" s="1" t="s">
        <v>393</v>
      </c>
      <c r="R172" s="239" t="s">
        <v>2131</v>
      </c>
      <c r="S172" s="238" t="s">
        <v>569</v>
      </c>
      <c r="T172" s="238" t="s">
        <v>2241</v>
      </c>
      <c r="V172" s="238" t="s">
        <v>255</v>
      </c>
      <c r="Y172" s="239"/>
      <c r="Z172" s="239"/>
      <c r="AB172" s="1" t="s">
        <v>384</v>
      </c>
    </row>
    <row r="173" spans="1:44" ht="11.25" customHeight="1">
      <c r="A173" s="233">
        <v>41064</v>
      </c>
      <c r="B173" s="1" t="s">
        <v>567</v>
      </c>
      <c r="C173" s="1" t="s">
        <v>2086</v>
      </c>
      <c r="D173" s="1" t="s">
        <v>2242</v>
      </c>
      <c r="E173" s="1">
        <v>501</v>
      </c>
      <c r="F173" s="5">
        <v>6</v>
      </c>
      <c r="G173" s="1" t="s">
        <v>230</v>
      </c>
      <c r="H173" s="234">
        <v>1.66</v>
      </c>
      <c r="I173" s="236">
        <f t="shared" si="11"/>
        <v>9.9599999999999991</v>
      </c>
      <c r="J173" s="351">
        <v>1.81</v>
      </c>
      <c r="K173" s="241">
        <f>1.81*6</f>
        <v>10.86</v>
      </c>
      <c r="L173" s="237">
        <v>41064</v>
      </c>
      <c r="M173" s="1" t="s">
        <v>302</v>
      </c>
      <c r="N173" s="235">
        <f t="shared" si="9"/>
        <v>9.9599999999999991</v>
      </c>
      <c r="O173" s="235">
        <f t="shared" si="10"/>
        <v>0</v>
      </c>
      <c r="P173" s="238" t="s">
        <v>568</v>
      </c>
      <c r="Q173" s="1" t="s">
        <v>393</v>
      </c>
      <c r="R173" s="239" t="s">
        <v>2131</v>
      </c>
      <c r="S173" s="238" t="s">
        <v>569</v>
      </c>
      <c r="T173" s="238" t="s">
        <v>2241</v>
      </c>
      <c r="V173" s="238" t="s">
        <v>255</v>
      </c>
      <c r="Y173" s="239"/>
      <c r="Z173" s="239"/>
      <c r="AB173" s="1" t="s">
        <v>384</v>
      </c>
    </row>
    <row r="174" spans="1:44" s="252" customFormat="1" ht="11.25" customHeight="1">
      <c r="A174" s="233">
        <v>41064</v>
      </c>
      <c r="B174" s="1" t="s">
        <v>570</v>
      </c>
      <c r="C174" s="1" t="s">
        <v>2086</v>
      </c>
      <c r="D174" s="1" t="s">
        <v>241</v>
      </c>
      <c r="E174" s="1">
        <v>6200</v>
      </c>
      <c r="F174" s="5">
        <v>6</v>
      </c>
      <c r="G174" s="1" t="s">
        <v>230</v>
      </c>
      <c r="H174" s="234">
        <v>86</v>
      </c>
      <c r="I174" s="236">
        <f t="shared" si="11"/>
        <v>516</v>
      </c>
      <c r="J174" s="354">
        <v>45.8</v>
      </c>
      <c r="K174" s="241" t="e">
        <f>#REF!*F174</f>
        <v>#REF!</v>
      </c>
      <c r="L174" s="237">
        <v>41064</v>
      </c>
      <c r="M174" s="1" t="s">
        <v>345</v>
      </c>
      <c r="N174" s="235">
        <f t="shared" si="9"/>
        <v>516</v>
      </c>
      <c r="O174" s="235">
        <f t="shared" si="10"/>
        <v>0</v>
      </c>
      <c r="P174" s="238" t="s">
        <v>571</v>
      </c>
      <c r="Q174" s="1" t="s">
        <v>1256</v>
      </c>
      <c r="R174" s="239" t="s">
        <v>572</v>
      </c>
      <c r="S174" s="238" t="s">
        <v>573</v>
      </c>
      <c r="T174" s="238" t="s">
        <v>2243</v>
      </c>
      <c r="U174" s="238" t="s">
        <v>2244</v>
      </c>
      <c r="V174" s="238" t="s">
        <v>255</v>
      </c>
      <c r="W174" s="236"/>
      <c r="X174" s="233"/>
      <c r="Y174" s="239"/>
      <c r="Z174" s="239"/>
      <c r="AA174" s="240"/>
      <c r="AB174" s="1" t="s">
        <v>384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1.25" customHeight="1">
      <c r="A175" s="233">
        <v>41064</v>
      </c>
      <c r="B175" s="1" t="s">
        <v>570</v>
      </c>
      <c r="C175" s="1" t="s">
        <v>2086</v>
      </c>
      <c r="D175" s="1" t="s">
        <v>2117</v>
      </c>
      <c r="E175" s="1" t="s">
        <v>2087</v>
      </c>
      <c r="F175" s="5">
        <v>36</v>
      </c>
      <c r="G175" s="1" t="s">
        <v>230</v>
      </c>
      <c r="H175" s="234">
        <v>30</v>
      </c>
      <c r="I175" s="236">
        <f t="shared" si="11"/>
        <v>1080</v>
      </c>
      <c r="J175" s="351">
        <v>19</v>
      </c>
      <c r="K175" s="241">
        <f>19*36</f>
        <v>684</v>
      </c>
      <c r="L175" s="237">
        <v>41064</v>
      </c>
      <c r="M175" s="1" t="s">
        <v>345</v>
      </c>
      <c r="N175" s="235">
        <f t="shared" si="9"/>
        <v>1080</v>
      </c>
      <c r="O175" s="235">
        <f t="shared" si="10"/>
        <v>0</v>
      </c>
      <c r="P175" s="238" t="s">
        <v>571</v>
      </c>
      <c r="Q175" s="1" t="s">
        <v>2245</v>
      </c>
      <c r="R175" s="239" t="s">
        <v>572</v>
      </c>
      <c r="S175" s="238" t="s">
        <v>573</v>
      </c>
      <c r="T175" s="238" t="s">
        <v>2243</v>
      </c>
      <c r="U175" s="238" t="s">
        <v>574</v>
      </c>
      <c r="V175" s="238" t="s">
        <v>255</v>
      </c>
      <c r="Y175" s="239"/>
      <c r="Z175" s="239"/>
      <c r="AB175" s="1" t="s">
        <v>384</v>
      </c>
    </row>
    <row r="176" spans="1:44" s="252" customFormat="1" ht="11.25" customHeight="1">
      <c r="A176" s="233">
        <v>41064</v>
      </c>
      <c r="B176" s="1" t="s">
        <v>570</v>
      </c>
      <c r="C176" s="1" t="s">
        <v>2086</v>
      </c>
      <c r="D176" s="1" t="s">
        <v>233</v>
      </c>
      <c r="E176" s="1" t="s">
        <v>2091</v>
      </c>
      <c r="F176" s="5">
        <v>100</v>
      </c>
      <c r="G176" s="1" t="s">
        <v>232</v>
      </c>
      <c r="H176" s="234">
        <v>8</v>
      </c>
      <c r="I176" s="236">
        <f t="shared" si="11"/>
        <v>800</v>
      </c>
      <c r="J176" s="351">
        <v>5.0999999999999996</v>
      </c>
      <c r="K176" s="241">
        <v>510</v>
      </c>
      <c r="L176" s="237">
        <v>41064</v>
      </c>
      <c r="M176" s="1" t="s">
        <v>345</v>
      </c>
      <c r="N176" s="235">
        <f t="shared" si="9"/>
        <v>800</v>
      </c>
      <c r="O176" s="235">
        <f t="shared" si="10"/>
        <v>0</v>
      </c>
      <c r="P176" s="238" t="s">
        <v>571</v>
      </c>
      <c r="Q176" s="1" t="s">
        <v>2245</v>
      </c>
      <c r="R176" s="239" t="s">
        <v>572</v>
      </c>
      <c r="S176" s="238" t="s">
        <v>573</v>
      </c>
      <c r="T176" s="238" t="s">
        <v>2243</v>
      </c>
      <c r="U176" s="238" t="s">
        <v>574</v>
      </c>
      <c r="V176" s="238" t="s">
        <v>255</v>
      </c>
      <c r="W176" s="236"/>
      <c r="X176" s="233"/>
      <c r="Y176" s="239"/>
      <c r="Z176" s="239"/>
      <c r="AA176" s="240"/>
      <c r="AB176" s="1" t="s">
        <v>384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1.25" customHeight="1">
      <c r="A177" s="233">
        <v>41064</v>
      </c>
      <c r="B177" s="1" t="s">
        <v>570</v>
      </c>
      <c r="C177" s="1" t="s">
        <v>2086</v>
      </c>
      <c r="D177" s="1" t="s">
        <v>2242</v>
      </c>
      <c r="E177" s="1">
        <v>501</v>
      </c>
      <c r="F177" s="5">
        <v>12</v>
      </c>
      <c r="G177" s="1" t="s">
        <v>230</v>
      </c>
      <c r="H177" s="234">
        <v>2</v>
      </c>
      <c r="I177" s="236">
        <f t="shared" si="11"/>
        <v>24</v>
      </c>
      <c r="J177" s="351">
        <v>1.4</v>
      </c>
      <c r="K177" s="241">
        <f>1.4*12</f>
        <v>16.799999999999997</v>
      </c>
      <c r="L177" s="237">
        <v>41064</v>
      </c>
      <c r="M177" s="1" t="s">
        <v>345</v>
      </c>
      <c r="N177" s="235">
        <f t="shared" si="9"/>
        <v>24</v>
      </c>
      <c r="O177" s="235">
        <f t="shared" si="10"/>
        <v>0</v>
      </c>
      <c r="P177" s="238" t="s">
        <v>571</v>
      </c>
      <c r="Q177" s="1" t="s">
        <v>2245</v>
      </c>
      <c r="R177" s="239" t="s">
        <v>572</v>
      </c>
      <c r="S177" s="238" t="s">
        <v>573</v>
      </c>
      <c r="T177" s="238" t="s">
        <v>2243</v>
      </c>
      <c r="U177" s="238" t="s">
        <v>574</v>
      </c>
      <c r="V177" s="238" t="s">
        <v>255</v>
      </c>
      <c r="Y177" s="239"/>
      <c r="Z177" s="239"/>
      <c r="AB177" s="1" t="s">
        <v>384</v>
      </c>
    </row>
    <row r="178" spans="1:44" s="252" customFormat="1" ht="11.25" customHeight="1">
      <c r="A178" s="233">
        <v>41064</v>
      </c>
      <c r="B178" s="1" t="s">
        <v>570</v>
      </c>
      <c r="C178" s="1" t="s">
        <v>2086</v>
      </c>
      <c r="D178" s="1" t="s">
        <v>2103</v>
      </c>
      <c r="E178" s="1" t="s">
        <v>2104</v>
      </c>
      <c r="F178" s="5">
        <v>500</v>
      </c>
      <c r="G178" s="1" t="s">
        <v>5002</v>
      </c>
      <c r="H178" s="234">
        <v>2.6</v>
      </c>
      <c r="I178" s="236">
        <f t="shared" si="11"/>
        <v>1300</v>
      </c>
      <c r="J178" s="351">
        <v>1.6</v>
      </c>
      <c r="K178" s="241">
        <f>1.6*500</f>
        <v>800</v>
      </c>
      <c r="L178" s="237">
        <v>41064</v>
      </c>
      <c r="M178" s="1" t="s">
        <v>345</v>
      </c>
      <c r="N178" s="235">
        <f t="shared" si="9"/>
        <v>1300</v>
      </c>
      <c r="O178" s="235">
        <f t="shared" si="10"/>
        <v>0</v>
      </c>
      <c r="P178" s="238" t="s">
        <v>571</v>
      </c>
      <c r="Q178" s="1" t="s">
        <v>2245</v>
      </c>
      <c r="R178" s="239" t="s">
        <v>572</v>
      </c>
      <c r="S178" s="238" t="s">
        <v>573</v>
      </c>
      <c r="T178" s="238" t="s">
        <v>2243</v>
      </c>
      <c r="U178" s="238" t="s">
        <v>574</v>
      </c>
      <c r="V178" s="238" t="s">
        <v>255</v>
      </c>
      <c r="W178" s="236"/>
      <c r="X178" s="233"/>
      <c r="Y178" s="239"/>
      <c r="Z178" s="239"/>
      <c r="AA178" s="240"/>
      <c r="AB178" s="1" t="s">
        <v>384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1.25" customHeight="1">
      <c r="A179" s="233">
        <v>41064</v>
      </c>
      <c r="B179" s="1" t="s">
        <v>575</v>
      </c>
      <c r="C179" s="1" t="s">
        <v>2086</v>
      </c>
      <c r="D179" s="1" t="s">
        <v>2120</v>
      </c>
      <c r="E179" s="1">
        <v>6200</v>
      </c>
      <c r="F179" s="5">
        <v>1</v>
      </c>
      <c r="G179" s="1" t="s">
        <v>230</v>
      </c>
      <c r="H179" s="234">
        <v>86</v>
      </c>
      <c r="I179" s="236">
        <f t="shared" si="11"/>
        <v>86</v>
      </c>
      <c r="J179" s="354">
        <v>45.8</v>
      </c>
      <c r="K179" s="241" t="e">
        <f>#REF!*F179</f>
        <v>#REF!</v>
      </c>
      <c r="L179" s="237">
        <v>41064</v>
      </c>
      <c r="M179" s="1" t="s">
        <v>345</v>
      </c>
      <c r="N179" s="235">
        <f t="shared" si="9"/>
        <v>86</v>
      </c>
      <c r="O179" s="235">
        <f t="shared" si="10"/>
        <v>0</v>
      </c>
      <c r="P179" s="238" t="s">
        <v>576</v>
      </c>
      <c r="Q179" s="1" t="s">
        <v>1257</v>
      </c>
      <c r="R179" s="239" t="s">
        <v>577</v>
      </c>
      <c r="T179" s="238" t="s">
        <v>2246</v>
      </c>
      <c r="U179" s="238" t="s">
        <v>578</v>
      </c>
      <c r="V179" s="238" t="s">
        <v>255</v>
      </c>
      <c r="Y179" s="239"/>
      <c r="Z179" s="239"/>
      <c r="AB179" s="1" t="s">
        <v>384</v>
      </c>
    </row>
    <row r="180" spans="1:44" s="252" customFormat="1" ht="11.25" customHeight="1">
      <c r="A180" s="233">
        <v>41064</v>
      </c>
      <c r="B180" s="1" t="s">
        <v>575</v>
      </c>
      <c r="C180" s="1" t="s">
        <v>2086</v>
      </c>
      <c r="D180" s="1" t="s">
        <v>355</v>
      </c>
      <c r="E180" s="1" t="s">
        <v>2087</v>
      </c>
      <c r="F180" s="5">
        <v>6</v>
      </c>
      <c r="G180" s="1" t="s">
        <v>230</v>
      </c>
      <c r="H180" s="234">
        <v>30</v>
      </c>
      <c r="I180" s="236">
        <f t="shared" si="11"/>
        <v>180</v>
      </c>
      <c r="J180" s="351">
        <v>19</v>
      </c>
      <c r="K180" s="241">
        <f>19*6</f>
        <v>114</v>
      </c>
      <c r="L180" s="237">
        <v>41064</v>
      </c>
      <c r="M180" s="1" t="s">
        <v>345</v>
      </c>
      <c r="N180" s="235">
        <f t="shared" si="9"/>
        <v>180</v>
      </c>
      <c r="O180" s="235">
        <f t="shared" si="10"/>
        <v>0</v>
      </c>
      <c r="P180" s="238" t="s">
        <v>576</v>
      </c>
      <c r="Q180" s="1" t="s">
        <v>2247</v>
      </c>
      <c r="R180" s="239" t="s">
        <v>577</v>
      </c>
      <c r="S180" s="238"/>
      <c r="T180" s="238" t="s">
        <v>2246</v>
      </c>
      <c r="U180" s="238" t="s">
        <v>578</v>
      </c>
      <c r="V180" s="238" t="s">
        <v>255</v>
      </c>
      <c r="W180" s="236"/>
      <c r="X180" s="233"/>
      <c r="Y180" s="239"/>
      <c r="Z180" s="239"/>
      <c r="AA180" s="240"/>
      <c r="AB180" s="1" t="s">
        <v>384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1.25" customHeight="1">
      <c r="A181" s="233">
        <v>41064</v>
      </c>
      <c r="B181" s="1" t="s">
        <v>575</v>
      </c>
      <c r="C181" s="1" t="s">
        <v>2086</v>
      </c>
      <c r="D181" s="1" t="s">
        <v>2237</v>
      </c>
      <c r="E181" s="1" t="s">
        <v>2091</v>
      </c>
      <c r="F181" s="5">
        <v>100</v>
      </c>
      <c r="G181" s="1" t="s">
        <v>232</v>
      </c>
      <c r="H181" s="234">
        <v>8</v>
      </c>
      <c r="I181" s="236">
        <f t="shared" si="11"/>
        <v>800</v>
      </c>
      <c r="J181" s="351">
        <v>5.0999999999999996</v>
      </c>
      <c r="K181" s="241">
        <f>5.1*100</f>
        <v>509.99999999999994</v>
      </c>
      <c r="L181" s="237">
        <v>41064</v>
      </c>
      <c r="M181" s="1" t="s">
        <v>345</v>
      </c>
      <c r="N181" s="235">
        <f t="shared" si="9"/>
        <v>800</v>
      </c>
      <c r="O181" s="235">
        <f t="shared" si="10"/>
        <v>0</v>
      </c>
      <c r="P181" s="238" t="s">
        <v>576</v>
      </c>
      <c r="Q181" s="1" t="s">
        <v>2247</v>
      </c>
      <c r="R181" s="239" t="s">
        <v>577</v>
      </c>
      <c r="T181" s="238" t="s">
        <v>2246</v>
      </c>
      <c r="U181" s="238" t="s">
        <v>578</v>
      </c>
      <c r="V181" s="238" t="s">
        <v>255</v>
      </c>
      <c r="Y181" s="239"/>
      <c r="Z181" s="239"/>
      <c r="AB181" s="1" t="s">
        <v>384</v>
      </c>
    </row>
    <row r="182" spans="1:44" s="252" customFormat="1" ht="11.25" customHeight="1">
      <c r="A182" s="233">
        <v>41064</v>
      </c>
      <c r="B182" s="1" t="s">
        <v>575</v>
      </c>
      <c r="C182" s="1" t="s">
        <v>2086</v>
      </c>
      <c r="D182" s="1" t="s">
        <v>264</v>
      </c>
      <c r="E182" s="1">
        <v>501</v>
      </c>
      <c r="F182" s="5">
        <v>12</v>
      </c>
      <c r="G182" s="1" t="s">
        <v>230</v>
      </c>
      <c r="H182" s="234">
        <v>2</v>
      </c>
      <c r="I182" s="236">
        <f t="shared" si="11"/>
        <v>24</v>
      </c>
      <c r="J182" s="351">
        <v>1.4</v>
      </c>
      <c r="K182" s="241">
        <f>1.4*12</f>
        <v>16.799999999999997</v>
      </c>
      <c r="L182" s="237">
        <v>41064</v>
      </c>
      <c r="M182" s="1" t="s">
        <v>345</v>
      </c>
      <c r="N182" s="235">
        <f t="shared" si="9"/>
        <v>24</v>
      </c>
      <c r="O182" s="235">
        <f t="shared" si="10"/>
        <v>0</v>
      </c>
      <c r="P182" s="238" t="s">
        <v>576</v>
      </c>
      <c r="Q182" s="1" t="s">
        <v>2248</v>
      </c>
      <c r="R182" s="239" t="s">
        <v>577</v>
      </c>
      <c r="S182" s="238"/>
      <c r="T182" s="238" t="s">
        <v>2246</v>
      </c>
      <c r="U182" s="238" t="s">
        <v>578</v>
      </c>
      <c r="V182" s="238" t="s">
        <v>255</v>
      </c>
      <c r="W182" s="236"/>
      <c r="X182" s="233"/>
      <c r="Y182" s="239"/>
      <c r="Z182" s="239"/>
      <c r="AA182" s="240"/>
      <c r="AB182" s="1" t="s">
        <v>384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1.25" customHeight="1">
      <c r="A183" s="233">
        <v>41064</v>
      </c>
      <c r="B183" s="1" t="s">
        <v>575</v>
      </c>
      <c r="C183" s="1" t="s">
        <v>2086</v>
      </c>
      <c r="D183" s="1" t="s">
        <v>2103</v>
      </c>
      <c r="E183" s="1" t="s">
        <v>2104</v>
      </c>
      <c r="F183" s="5">
        <v>200</v>
      </c>
      <c r="G183" s="1" t="s">
        <v>5002</v>
      </c>
      <c r="H183" s="234">
        <v>2.6</v>
      </c>
      <c r="I183" s="236">
        <f t="shared" si="11"/>
        <v>520</v>
      </c>
      <c r="J183" s="351">
        <v>1.6</v>
      </c>
      <c r="K183" s="241">
        <f>1.6*200</f>
        <v>320</v>
      </c>
      <c r="L183" s="237">
        <v>41064</v>
      </c>
      <c r="M183" s="1" t="s">
        <v>345</v>
      </c>
      <c r="N183" s="235">
        <f t="shared" si="9"/>
        <v>520</v>
      </c>
      <c r="O183" s="235">
        <f t="shared" si="10"/>
        <v>0</v>
      </c>
      <c r="P183" s="238" t="s">
        <v>576</v>
      </c>
      <c r="Q183" s="1" t="s">
        <v>2247</v>
      </c>
      <c r="R183" s="239" t="s">
        <v>577</v>
      </c>
      <c r="T183" s="238" t="s">
        <v>2246</v>
      </c>
      <c r="U183" s="238" t="s">
        <v>578</v>
      </c>
      <c r="V183" s="238" t="s">
        <v>255</v>
      </c>
      <c r="Y183" s="239"/>
      <c r="Z183" s="239"/>
      <c r="AB183" s="1" t="s">
        <v>384</v>
      </c>
    </row>
    <row r="184" spans="1:44" ht="11.25" customHeight="1">
      <c r="A184" s="233">
        <v>41066</v>
      </c>
      <c r="B184" s="1" t="s">
        <v>380</v>
      </c>
      <c r="C184" s="1" t="s">
        <v>2086</v>
      </c>
      <c r="D184" s="1" t="s">
        <v>2237</v>
      </c>
      <c r="E184" s="1" t="s">
        <v>2129</v>
      </c>
      <c r="F184" s="5">
        <v>200</v>
      </c>
      <c r="G184" s="1" t="s">
        <v>232</v>
      </c>
      <c r="H184" s="234">
        <v>1.85</v>
      </c>
      <c r="I184" s="236">
        <f t="shared" si="11"/>
        <v>370</v>
      </c>
      <c r="J184" s="352">
        <v>1.77</v>
      </c>
      <c r="K184" s="253">
        <f>1.77*200</f>
        <v>354</v>
      </c>
      <c r="L184" s="237">
        <v>41085</v>
      </c>
      <c r="M184" s="1" t="s">
        <v>2116</v>
      </c>
      <c r="N184" s="235">
        <f t="shared" si="9"/>
        <v>370</v>
      </c>
      <c r="O184" s="235">
        <f t="shared" si="10"/>
        <v>0</v>
      </c>
      <c r="P184" s="238" t="s">
        <v>579</v>
      </c>
      <c r="Q184" s="1" t="s">
        <v>2249</v>
      </c>
      <c r="R184" s="239" t="s">
        <v>405</v>
      </c>
      <c r="S184" s="238" t="s">
        <v>406</v>
      </c>
      <c r="T184" s="238" t="s">
        <v>2250</v>
      </c>
      <c r="U184" s="238" t="s">
        <v>580</v>
      </c>
      <c r="V184" s="238" t="s">
        <v>255</v>
      </c>
      <c r="Y184" s="239"/>
      <c r="Z184" s="239"/>
      <c r="AB184" s="1" t="s">
        <v>379</v>
      </c>
    </row>
    <row r="185" spans="1:44" ht="11.25" customHeight="1">
      <c r="A185" s="233">
        <v>41066</v>
      </c>
      <c r="B185" s="1" t="s">
        <v>380</v>
      </c>
      <c r="C185" s="1" t="s">
        <v>2086</v>
      </c>
      <c r="D185" s="1" t="s">
        <v>2251</v>
      </c>
      <c r="E185" s="1">
        <v>3700</v>
      </c>
      <c r="F185" s="5">
        <v>30</v>
      </c>
      <c r="G185" s="1" t="s">
        <v>230</v>
      </c>
      <c r="H185" s="234">
        <v>3.8</v>
      </c>
      <c r="I185" s="236">
        <f t="shared" si="11"/>
        <v>114</v>
      </c>
      <c r="J185" s="351">
        <v>3.7</v>
      </c>
      <c r="K185" s="241">
        <f>3.7*30</f>
        <v>111</v>
      </c>
      <c r="L185" s="237">
        <v>41085</v>
      </c>
      <c r="M185" s="1" t="s">
        <v>2116</v>
      </c>
      <c r="N185" s="235">
        <f t="shared" si="9"/>
        <v>114</v>
      </c>
      <c r="O185" s="235">
        <f t="shared" si="10"/>
        <v>0</v>
      </c>
      <c r="P185" s="238" t="s">
        <v>579</v>
      </c>
      <c r="Q185" s="1" t="s">
        <v>2249</v>
      </c>
      <c r="R185" s="239" t="s">
        <v>405</v>
      </c>
      <c r="S185" s="238" t="s">
        <v>406</v>
      </c>
      <c r="T185" s="238" t="s">
        <v>2250</v>
      </c>
      <c r="U185" s="238" t="s">
        <v>581</v>
      </c>
      <c r="V185" s="238" t="s">
        <v>255</v>
      </c>
      <c r="Y185" s="239"/>
      <c r="Z185" s="239"/>
      <c r="AB185" s="1" t="s">
        <v>379</v>
      </c>
    </row>
    <row r="186" spans="1:44" ht="11.25" customHeight="1">
      <c r="A186" s="233">
        <v>41066</v>
      </c>
      <c r="B186" s="1" t="s">
        <v>380</v>
      </c>
      <c r="C186" s="1" t="s">
        <v>2086</v>
      </c>
      <c r="D186" s="1" t="s">
        <v>269</v>
      </c>
      <c r="E186" s="1" t="s">
        <v>2122</v>
      </c>
      <c r="F186" s="5">
        <v>50</v>
      </c>
      <c r="G186" s="1" t="s">
        <v>232</v>
      </c>
      <c r="H186" s="234">
        <v>1.48</v>
      </c>
      <c r="I186" s="236">
        <f t="shared" si="11"/>
        <v>74</v>
      </c>
      <c r="J186" s="352">
        <v>1.44</v>
      </c>
      <c r="K186" s="241">
        <f>1.44*50</f>
        <v>72</v>
      </c>
      <c r="L186" s="237">
        <v>41085</v>
      </c>
      <c r="M186" s="1" t="s">
        <v>2116</v>
      </c>
      <c r="N186" s="235">
        <f t="shared" si="9"/>
        <v>74</v>
      </c>
      <c r="O186" s="235">
        <f t="shared" si="10"/>
        <v>0</v>
      </c>
      <c r="P186" s="238" t="s">
        <v>579</v>
      </c>
      <c r="Q186" s="1" t="s">
        <v>2249</v>
      </c>
      <c r="R186" s="239" t="s">
        <v>405</v>
      </c>
      <c r="S186" s="238" t="s">
        <v>406</v>
      </c>
      <c r="T186" s="238" t="s">
        <v>2250</v>
      </c>
      <c r="U186" s="238" t="s">
        <v>582</v>
      </c>
      <c r="V186" s="238" t="s">
        <v>255</v>
      </c>
      <c r="Y186" s="239"/>
      <c r="Z186" s="239"/>
      <c r="AB186" s="1" t="s">
        <v>379</v>
      </c>
    </row>
    <row r="187" spans="1:44" ht="11.25" customHeight="1">
      <c r="A187" s="233">
        <v>41066</v>
      </c>
      <c r="B187" s="1" t="s">
        <v>583</v>
      </c>
      <c r="C187" s="1" t="s">
        <v>2086</v>
      </c>
      <c r="D187" s="1" t="s">
        <v>2120</v>
      </c>
      <c r="E187" s="1">
        <v>6200</v>
      </c>
      <c r="F187" s="5">
        <v>1</v>
      </c>
      <c r="G187" s="1" t="s">
        <v>230</v>
      </c>
      <c r="H187" s="234">
        <v>86</v>
      </c>
      <c r="I187" s="236">
        <f t="shared" si="11"/>
        <v>86</v>
      </c>
      <c r="J187" s="354">
        <v>45.8</v>
      </c>
      <c r="K187" s="241" t="e">
        <f>#REF!*F187</f>
        <v>#REF!</v>
      </c>
      <c r="L187" s="237">
        <v>41066</v>
      </c>
      <c r="M187" s="1" t="s">
        <v>345</v>
      </c>
      <c r="N187" s="235">
        <f t="shared" si="9"/>
        <v>86</v>
      </c>
      <c r="O187" s="235">
        <f t="shared" si="10"/>
        <v>0</v>
      </c>
      <c r="P187" s="238" t="s">
        <v>584</v>
      </c>
      <c r="Q187" s="1" t="s">
        <v>1258</v>
      </c>
      <c r="R187" s="239" t="s">
        <v>585</v>
      </c>
      <c r="S187" s="238" t="s">
        <v>586</v>
      </c>
      <c r="T187" s="238" t="s">
        <v>2252</v>
      </c>
      <c r="U187" s="238" t="s">
        <v>587</v>
      </c>
      <c r="V187" s="238" t="s">
        <v>255</v>
      </c>
      <c r="W187" s="236" t="s">
        <v>5358</v>
      </c>
      <c r="X187" s="233" t="s">
        <v>5358</v>
      </c>
      <c r="Y187" s="239" t="s">
        <v>5358</v>
      </c>
      <c r="Z187" s="239"/>
      <c r="AB187" s="1" t="s">
        <v>384</v>
      </c>
    </row>
    <row r="188" spans="1:44" ht="11.25" customHeight="1">
      <c r="A188" s="233">
        <v>41066</v>
      </c>
      <c r="B188" s="1" t="s">
        <v>583</v>
      </c>
      <c r="C188" s="1" t="s">
        <v>2086</v>
      </c>
      <c r="D188" s="1" t="s">
        <v>355</v>
      </c>
      <c r="E188" s="1" t="s">
        <v>2087</v>
      </c>
      <c r="F188" s="5">
        <v>2</v>
      </c>
      <c r="G188" s="1" t="s">
        <v>230</v>
      </c>
      <c r="H188" s="234">
        <v>30</v>
      </c>
      <c r="I188" s="236">
        <f t="shared" si="11"/>
        <v>60</v>
      </c>
      <c r="J188" s="351">
        <v>19</v>
      </c>
      <c r="K188" s="241">
        <f>19*2</f>
        <v>38</v>
      </c>
      <c r="L188" s="237">
        <v>41066</v>
      </c>
      <c r="M188" s="1" t="s">
        <v>345</v>
      </c>
      <c r="N188" s="235">
        <f t="shared" si="9"/>
        <v>60</v>
      </c>
      <c r="O188" s="235">
        <f t="shared" si="10"/>
        <v>0</v>
      </c>
      <c r="P188" s="238" t="s">
        <v>584</v>
      </c>
      <c r="Q188" s="1" t="s">
        <v>2253</v>
      </c>
      <c r="R188" s="239" t="s">
        <v>585</v>
      </c>
      <c r="S188" s="238" t="s">
        <v>586</v>
      </c>
      <c r="T188" s="238" t="s">
        <v>2252</v>
      </c>
      <c r="U188" s="238" t="s">
        <v>587</v>
      </c>
      <c r="V188" s="238" t="s">
        <v>255</v>
      </c>
      <c r="W188" s="236" t="s">
        <v>5358</v>
      </c>
      <c r="X188" s="233" t="s">
        <v>5358</v>
      </c>
      <c r="Y188" s="239" t="s">
        <v>5358</v>
      </c>
      <c r="Z188" s="239"/>
      <c r="AB188" s="1" t="s">
        <v>384</v>
      </c>
    </row>
    <row r="189" spans="1:44" ht="11.25" customHeight="1">
      <c r="A189" s="233">
        <v>41066</v>
      </c>
      <c r="B189" s="1" t="s">
        <v>583</v>
      </c>
      <c r="C189" s="1" t="s">
        <v>2086</v>
      </c>
      <c r="D189" s="1" t="s">
        <v>2237</v>
      </c>
      <c r="E189" s="1" t="s">
        <v>2091</v>
      </c>
      <c r="F189" s="5">
        <v>2</v>
      </c>
      <c r="G189" s="1" t="s">
        <v>232</v>
      </c>
      <c r="H189" s="234">
        <v>8</v>
      </c>
      <c r="I189" s="236">
        <f t="shared" si="11"/>
        <v>16</v>
      </c>
      <c r="J189" s="351">
        <v>5.0999999999999996</v>
      </c>
      <c r="K189" s="241">
        <f>5.1*2</f>
        <v>10.199999999999999</v>
      </c>
      <c r="L189" s="237">
        <v>41066</v>
      </c>
      <c r="M189" s="1" t="s">
        <v>345</v>
      </c>
      <c r="N189" s="235">
        <f t="shared" si="9"/>
        <v>16</v>
      </c>
      <c r="O189" s="235">
        <f t="shared" si="10"/>
        <v>0</v>
      </c>
      <c r="P189" s="238" t="s">
        <v>584</v>
      </c>
      <c r="Q189" s="1" t="s">
        <v>2253</v>
      </c>
      <c r="R189" s="239" t="s">
        <v>585</v>
      </c>
      <c r="S189" s="238" t="s">
        <v>586</v>
      </c>
      <c r="T189" s="238" t="s">
        <v>2252</v>
      </c>
      <c r="U189" s="238" t="s">
        <v>587</v>
      </c>
      <c r="V189" s="238" t="s">
        <v>255</v>
      </c>
      <c r="W189" s="236" t="s">
        <v>5358</v>
      </c>
      <c r="X189" s="233" t="s">
        <v>5358</v>
      </c>
      <c r="Y189" s="239" t="s">
        <v>5358</v>
      </c>
      <c r="Z189" s="239"/>
      <c r="AB189" s="1" t="s">
        <v>384</v>
      </c>
    </row>
    <row r="190" spans="1:44" ht="11.25" customHeight="1">
      <c r="A190" s="233">
        <v>41066</v>
      </c>
      <c r="B190" s="1" t="s">
        <v>583</v>
      </c>
      <c r="C190" s="1" t="s">
        <v>2086</v>
      </c>
      <c r="D190" s="1" t="s">
        <v>264</v>
      </c>
      <c r="E190" s="1">
        <v>501</v>
      </c>
      <c r="F190" s="5">
        <v>2</v>
      </c>
      <c r="G190" s="1" t="s">
        <v>230</v>
      </c>
      <c r="H190" s="234">
        <v>2</v>
      </c>
      <c r="I190" s="236">
        <f t="shared" si="11"/>
        <v>4</v>
      </c>
      <c r="J190" s="351">
        <v>1.4</v>
      </c>
      <c r="K190" s="241">
        <f>1.4*2</f>
        <v>2.8</v>
      </c>
      <c r="L190" s="237">
        <v>41066</v>
      </c>
      <c r="M190" s="1" t="s">
        <v>345</v>
      </c>
      <c r="N190" s="235">
        <f t="shared" si="9"/>
        <v>4</v>
      </c>
      <c r="O190" s="235">
        <f t="shared" si="10"/>
        <v>0</v>
      </c>
      <c r="P190" s="238" t="s">
        <v>584</v>
      </c>
      <c r="Q190" s="1" t="s">
        <v>2254</v>
      </c>
      <c r="R190" s="239" t="s">
        <v>585</v>
      </c>
      <c r="S190" s="238" t="s">
        <v>586</v>
      </c>
      <c r="T190" s="238" t="s">
        <v>2252</v>
      </c>
      <c r="U190" s="238" t="s">
        <v>587</v>
      </c>
      <c r="V190" s="238" t="s">
        <v>255</v>
      </c>
      <c r="W190" s="236" t="s">
        <v>5358</v>
      </c>
      <c r="X190" s="233" t="s">
        <v>5358</v>
      </c>
      <c r="Y190" s="239" t="s">
        <v>5358</v>
      </c>
      <c r="Z190" s="239"/>
      <c r="AB190" s="1" t="s">
        <v>384</v>
      </c>
    </row>
    <row r="191" spans="1:44" ht="11.25" customHeight="1">
      <c r="A191" s="233">
        <v>41066</v>
      </c>
      <c r="B191" s="1" t="s">
        <v>583</v>
      </c>
      <c r="C191" s="1" t="s">
        <v>2086</v>
      </c>
      <c r="D191" s="1" t="s">
        <v>2103</v>
      </c>
      <c r="E191" s="1" t="s">
        <v>2104</v>
      </c>
      <c r="F191" s="5">
        <v>100</v>
      </c>
      <c r="G191" s="1" t="s">
        <v>5002</v>
      </c>
      <c r="H191" s="234">
        <v>2.6</v>
      </c>
      <c r="I191" s="236">
        <f t="shared" si="11"/>
        <v>260</v>
      </c>
      <c r="J191" s="351">
        <v>1.6</v>
      </c>
      <c r="K191" s="241">
        <f>1.6*100</f>
        <v>160</v>
      </c>
      <c r="L191" s="237">
        <v>41066</v>
      </c>
      <c r="M191" s="1" t="s">
        <v>345</v>
      </c>
      <c r="N191" s="235">
        <f t="shared" si="9"/>
        <v>260</v>
      </c>
      <c r="O191" s="235">
        <f t="shared" si="10"/>
        <v>0</v>
      </c>
      <c r="P191" s="238" t="s">
        <v>584</v>
      </c>
      <c r="Q191" s="1" t="s">
        <v>2253</v>
      </c>
      <c r="R191" s="239" t="s">
        <v>585</v>
      </c>
      <c r="S191" s="238" t="s">
        <v>586</v>
      </c>
      <c r="T191" s="238" t="s">
        <v>2252</v>
      </c>
      <c r="U191" s="238" t="s">
        <v>587</v>
      </c>
      <c r="V191" s="238" t="s">
        <v>255</v>
      </c>
      <c r="W191" s="236" t="s">
        <v>5358</v>
      </c>
      <c r="X191" s="233" t="s">
        <v>5358</v>
      </c>
      <c r="Y191" s="239" t="s">
        <v>5358</v>
      </c>
      <c r="Z191" s="239"/>
      <c r="AB191" s="1" t="s">
        <v>384</v>
      </c>
    </row>
    <row r="192" spans="1:44" ht="11.25" customHeight="1">
      <c r="A192" s="233">
        <v>41067</v>
      </c>
      <c r="B192" s="1" t="s">
        <v>2255</v>
      </c>
      <c r="C192" s="1" t="s">
        <v>2086</v>
      </c>
      <c r="D192" s="1" t="s">
        <v>241</v>
      </c>
      <c r="E192" s="1">
        <v>6200</v>
      </c>
      <c r="F192" s="5">
        <v>40</v>
      </c>
      <c r="G192" s="1" t="s">
        <v>230</v>
      </c>
      <c r="H192" s="234">
        <v>79.400000000000006</v>
      </c>
      <c r="I192" s="236">
        <f t="shared" si="11"/>
        <v>3176</v>
      </c>
      <c r="J192" s="354">
        <v>45.8</v>
      </c>
      <c r="K192" s="241">
        <f>45.8*F192</f>
        <v>1832</v>
      </c>
      <c r="L192" s="237">
        <v>41103</v>
      </c>
      <c r="M192" s="1" t="s">
        <v>2088</v>
      </c>
      <c r="N192" s="235">
        <f t="shared" si="9"/>
        <v>3176</v>
      </c>
      <c r="O192" s="235">
        <f t="shared" si="10"/>
        <v>0</v>
      </c>
      <c r="P192" s="238" t="s">
        <v>589</v>
      </c>
      <c r="Q192" s="1" t="s">
        <v>523</v>
      </c>
      <c r="R192" s="239" t="s">
        <v>590</v>
      </c>
      <c r="S192" s="238" t="s">
        <v>591</v>
      </c>
      <c r="T192" s="238" t="s">
        <v>2256</v>
      </c>
      <c r="U192" s="238" t="s">
        <v>592</v>
      </c>
      <c r="V192" s="238" t="s">
        <v>2257</v>
      </c>
      <c r="W192" s="236">
        <v>9200</v>
      </c>
      <c r="X192" s="233">
        <v>41103</v>
      </c>
      <c r="Y192" s="238" t="s">
        <v>2258</v>
      </c>
      <c r="Z192" s="238"/>
      <c r="AA192" s="240" t="s">
        <v>593</v>
      </c>
      <c r="AB192" s="1" t="s">
        <v>384</v>
      </c>
    </row>
    <row r="193" spans="1:28" ht="11.25" customHeight="1">
      <c r="A193" s="233">
        <v>41067</v>
      </c>
      <c r="B193" s="1" t="s">
        <v>588</v>
      </c>
      <c r="C193" s="1" t="s">
        <v>2259</v>
      </c>
      <c r="D193" s="1" t="s">
        <v>2260</v>
      </c>
      <c r="E193" s="1" t="s">
        <v>2261</v>
      </c>
      <c r="F193" s="5">
        <v>160</v>
      </c>
      <c r="G193" s="1" t="s">
        <v>230</v>
      </c>
      <c r="H193" s="234">
        <v>28.6</v>
      </c>
      <c r="I193" s="236">
        <f t="shared" si="11"/>
        <v>4576</v>
      </c>
      <c r="J193" s="351">
        <v>18.37</v>
      </c>
      <c r="K193" s="241">
        <f>18.37*160</f>
        <v>2939.2000000000003</v>
      </c>
      <c r="L193" s="237">
        <v>41103</v>
      </c>
      <c r="M193" s="1" t="s">
        <v>2262</v>
      </c>
      <c r="N193" s="235">
        <f t="shared" si="9"/>
        <v>4576</v>
      </c>
      <c r="O193" s="235">
        <f t="shared" si="10"/>
        <v>0</v>
      </c>
      <c r="P193" s="238" t="s">
        <v>589</v>
      </c>
      <c r="Q193" s="1" t="s">
        <v>523</v>
      </c>
      <c r="R193" s="239" t="s">
        <v>590</v>
      </c>
      <c r="S193" s="238" t="s">
        <v>591</v>
      </c>
      <c r="T193" s="238" t="s">
        <v>2256</v>
      </c>
      <c r="U193" s="238" t="s">
        <v>592</v>
      </c>
      <c r="V193" s="238" t="s">
        <v>2257</v>
      </c>
      <c r="W193" s="236">
        <v>9200</v>
      </c>
      <c r="X193" s="233">
        <v>41103</v>
      </c>
      <c r="Y193" s="238" t="s">
        <v>2258</v>
      </c>
      <c r="Z193" s="238"/>
      <c r="AA193" s="240" t="s">
        <v>593</v>
      </c>
      <c r="AB193" s="1" t="s">
        <v>384</v>
      </c>
    </row>
    <row r="194" spans="1:28" ht="11.25" customHeight="1">
      <c r="A194" s="233">
        <v>41067</v>
      </c>
      <c r="B194" s="1" t="s">
        <v>588</v>
      </c>
      <c r="C194" s="1" t="s">
        <v>2259</v>
      </c>
      <c r="D194" s="1" t="s">
        <v>2263</v>
      </c>
      <c r="E194" s="1" t="s">
        <v>2264</v>
      </c>
      <c r="F194" s="5">
        <v>160</v>
      </c>
      <c r="G194" s="1" t="s">
        <v>232</v>
      </c>
      <c r="H194" s="234">
        <v>7.99</v>
      </c>
      <c r="I194" s="236">
        <f t="shared" si="11"/>
        <v>1278.4000000000001</v>
      </c>
      <c r="J194" s="351">
        <v>5.0999999999999996</v>
      </c>
      <c r="K194" s="241">
        <f>5.1*160</f>
        <v>816</v>
      </c>
      <c r="L194" s="237">
        <v>41103</v>
      </c>
      <c r="M194" s="1" t="s">
        <v>2262</v>
      </c>
      <c r="N194" s="235">
        <f t="shared" si="9"/>
        <v>1278.4000000000001</v>
      </c>
      <c r="O194" s="235">
        <f t="shared" si="10"/>
        <v>0</v>
      </c>
      <c r="P194" s="238" t="s">
        <v>589</v>
      </c>
      <c r="Q194" s="1" t="s">
        <v>523</v>
      </c>
      <c r="R194" s="239" t="s">
        <v>590</v>
      </c>
      <c r="S194" s="238" t="s">
        <v>591</v>
      </c>
      <c r="T194" s="238" t="s">
        <v>2256</v>
      </c>
      <c r="U194" s="238" t="s">
        <v>592</v>
      </c>
      <c r="V194" s="238" t="s">
        <v>2257</v>
      </c>
      <c r="W194" s="236">
        <v>9200</v>
      </c>
      <c r="X194" s="233">
        <v>41103</v>
      </c>
      <c r="Y194" s="238" t="s">
        <v>2258</v>
      </c>
      <c r="Z194" s="238"/>
      <c r="AA194" s="240" t="s">
        <v>593</v>
      </c>
      <c r="AB194" s="1" t="s">
        <v>384</v>
      </c>
    </row>
    <row r="195" spans="1:28" ht="11.25" customHeight="1">
      <c r="A195" s="233">
        <v>41067</v>
      </c>
      <c r="B195" s="1" t="s">
        <v>588</v>
      </c>
      <c r="C195" s="1" t="s">
        <v>2259</v>
      </c>
      <c r="D195" s="1" t="s">
        <v>2265</v>
      </c>
      <c r="E195" s="1">
        <v>501</v>
      </c>
      <c r="F195" s="5">
        <v>80</v>
      </c>
      <c r="G195" s="1" t="s">
        <v>230</v>
      </c>
      <c r="H195" s="234">
        <v>2.12</v>
      </c>
      <c r="I195" s="236">
        <f t="shared" si="11"/>
        <v>169.60000000000002</v>
      </c>
      <c r="J195" s="351">
        <v>1.4</v>
      </c>
      <c r="K195" s="241">
        <f>1.4*80</f>
        <v>112</v>
      </c>
      <c r="L195" s="237">
        <v>41103</v>
      </c>
      <c r="M195" s="1" t="s">
        <v>2262</v>
      </c>
      <c r="N195" s="235">
        <f t="shared" ref="N195:N258" si="12">I195</f>
        <v>169.60000000000002</v>
      </c>
      <c r="O195" s="235">
        <f t="shared" ref="O195:O258" si="13">I195-N195</f>
        <v>0</v>
      </c>
      <c r="P195" s="238" t="s">
        <v>589</v>
      </c>
      <c r="Q195" s="1" t="s">
        <v>523</v>
      </c>
      <c r="R195" s="239" t="s">
        <v>590</v>
      </c>
      <c r="S195" s="238" t="s">
        <v>591</v>
      </c>
      <c r="T195" s="238" t="s">
        <v>2256</v>
      </c>
      <c r="U195" s="238" t="s">
        <v>592</v>
      </c>
      <c r="V195" s="238" t="s">
        <v>2257</v>
      </c>
      <c r="W195" s="236">
        <v>9200</v>
      </c>
      <c r="X195" s="233">
        <v>41103</v>
      </c>
      <c r="Y195" s="238" t="s">
        <v>2258</v>
      </c>
      <c r="Z195" s="238"/>
      <c r="AA195" s="240" t="s">
        <v>593</v>
      </c>
      <c r="AB195" s="1" t="s">
        <v>384</v>
      </c>
    </row>
    <row r="196" spans="1:28" ht="11.25" customHeight="1">
      <c r="A196" s="233">
        <v>41067</v>
      </c>
      <c r="B196" s="1" t="s">
        <v>594</v>
      </c>
      <c r="C196" s="1" t="s">
        <v>2259</v>
      </c>
      <c r="D196" s="1" t="s">
        <v>1216</v>
      </c>
      <c r="E196" s="1">
        <v>3200</v>
      </c>
      <c r="F196" s="5">
        <v>5</v>
      </c>
      <c r="G196" s="1" t="s">
        <v>230</v>
      </c>
      <c r="H196" s="234">
        <v>65</v>
      </c>
      <c r="I196" s="236">
        <f t="shared" si="11"/>
        <v>325</v>
      </c>
      <c r="J196" s="351">
        <v>0</v>
      </c>
      <c r="K196" s="241">
        <v>0</v>
      </c>
      <c r="L196" s="237">
        <v>41067</v>
      </c>
      <c r="M196" s="1" t="s">
        <v>302</v>
      </c>
      <c r="N196" s="235">
        <f t="shared" si="12"/>
        <v>325</v>
      </c>
      <c r="O196" s="235">
        <f t="shared" si="13"/>
        <v>0</v>
      </c>
      <c r="P196" s="238" t="s">
        <v>596</v>
      </c>
      <c r="Q196" s="1" t="s">
        <v>1259</v>
      </c>
      <c r="R196" s="239" t="s">
        <v>597</v>
      </c>
      <c r="S196" s="238" t="s">
        <v>598</v>
      </c>
      <c r="T196" s="238" t="s">
        <v>2266</v>
      </c>
      <c r="U196" s="238" t="s">
        <v>2267</v>
      </c>
      <c r="V196" s="238" t="s">
        <v>255</v>
      </c>
      <c r="Y196" s="239"/>
      <c r="Z196" s="239"/>
      <c r="AB196" s="1" t="s">
        <v>384</v>
      </c>
    </row>
    <row r="197" spans="1:28" ht="11.25" customHeight="1">
      <c r="A197" s="233">
        <v>41067</v>
      </c>
      <c r="B197" s="1" t="s">
        <v>594</v>
      </c>
      <c r="C197" s="1" t="s">
        <v>2086</v>
      </c>
      <c r="D197" s="1" t="s">
        <v>2120</v>
      </c>
      <c r="E197" s="1">
        <v>6200</v>
      </c>
      <c r="F197" s="5">
        <v>1</v>
      </c>
      <c r="G197" s="1" t="s">
        <v>230</v>
      </c>
      <c r="H197" s="234">
        <v>78</v>
      </c>
      <c r="I197" s="236">
        <f t="shared" si="11"/>
        <v>78</v>
      </c>
      <c r="J197" s="354">
        <v>45.8</v>
      </c>
      <c r="K197" s="241" t="e">
        <f>#REF!*F197</f>
        <v>#REF!</v>
      </c>
      <c r="L197" s="237">
        <v>41067</v>
      </c>
      <c r="M197" s="1" t="s">
        <v>302</v>
      </c>
      <c r="N197" s="235">
        <f t="shared" si="12"/>
        <v>78</v>
      </c>
      <c r="O197" s="235">
        <f t="shared" si="13"/>
        <v>0</v>
      </c>
      <c r="P197" s="238" t="s">
        <v>596</v>
      </c>
      <c r="Q197" s="1" t="s">
        <v>1259</v>
      </c>
      <c r="R197" s="239" t="s">
        <v>597</v>
      </c>
      <c r="S197" s="238" t="s">
        <v>598</v>
      </c>
      <c r="T197" s="238" t="s">
        <v>2266</v>
      </c>
      <c r="U197" s="238" t="s">
        <v>2267</v>
      </c>
      <c r="V197" s="238" t="s">
        <v>255</v>
      </c>
      <c r="Y197" s="239"/>
      <c r="Z197" s="239"/>
      <c r="AB197" s="1" t="s">
        <v>384</v>
      </c>
    </row>
    <row r="198" spans="1:28" ht="11.25" customHeight="1">
      <c r="A198" s="233">
        <v>41067</v>
      </c>
      <c r="B198" s="1" t="s">
        <v>594</v>
      </c>
      <c r="C198" s="1" t="s">
        <v>2086</v>
      </c>
      <c r="D198" s="1" t="s">
        <v>355</v>
      </c>
      <c r="E198" s="1" t="s">
        <v>2087</v>
      </c>
      <c r="F198" s="5">
        <v>2</v>
      </c>
      <c r="G198" s="1" t="s">
        <v>230</v>
      </c>
      <c r="H198" s="234">
        <v>29</v>
      </c>
      <c r="I198" s="236">
        <f t="shared" si="11"/>
        <v>58</v>
      </c>
      <c r="J198" s="351">
        <v>19</v>
      </c>
      <c r="K198" s="241">
        <f>19*2</f>
        <v>38</v>
      </c>
      <c r="L198" s="237">
        <v>41067</v>
      </c>
      <c r="M198" s="1" t="s">
        <v>302</v>
      </c>
      <c r="N198" s="235">
        <f t="shared" si="12"/>
        <v>58</v>
      </c>
      <c r="O198" s="235">
        <f t="shared" si="13"/>
        <v>0</v>
      </c>
      <c r="P198" s="238" t="s">
        <v>596</v>
      </c>
      <c r="Q198" s="1" t="s">
        <v>2268</v>
      </c>
      <c r="R198" s="239" t="s">
        <v>597</v>
      </c>
      <c r="S198" s="238" t="s">
        <v>598</v>
      </c>
      <c r="T198" s="238" t="s">
        <v>2266</v>
      </c>
      <c r="U198" s="238" t="s">
        <v>2267</v>
      </c>
      <c r="V198" s="238" t="s">
        <v>255</v>
      </c>
      <c r="Y198" s="239"/>
      <c r="Z198" s="239"/>
      <c r="AB198" s="1" t="s">
        <v>384</v>
      </c>
    </row>
    <row r="199" spans="1:28" ht="11.25" customHeight="1">
      <c r="A199" s="233">
        <v>41067</v>
      </c>
      <c r="B199" s="1" t="s">
        <v>2269</v>
      </c>
      <c r="C199" s="1" t="s">
        <v>2086</v>
      </c>
      <c r="D199" s="1" t="s">
        <v>2237</v>
      </c>
      <c r="E199" s="1" t="s">
        <v>2091</v>
      </c>
      <c r="F199" s="5">
        <v>4</v>
      </c>
      <c r="G199" s="1" t="s">
        <v>232</v>
      </c>
      <c r="H199" s="234">
        <v>7.5</v>
      </c>
      <c r="I199" s="236">
        <f t="shared" si="11"/>
        <v>30</v>
      </c>
      <c r="J199" s="351">
        <v>0</v>
      </c>
      <c r="K199" s="241">
        <v>0</v>
      </c>
      <c r="L199" s="237">
        <v>41067</v>
      </c>
      <c r="M199" s="1" t="s">
        <v>302</v>
      </c>
      <c r="N199" s="235">
        <f t="shared" si="12"/>
        <v>30</v>
      </c>
      <c r="O199" s="235">
        <f t="shared" si="13"/>
        <v>0</v>
      </c>
      <c r="P199" s="238" t="s">
        <v>596</v>
      </c>
      <c r="Q199" s="1" t="s">
        <v>2268</v>
      </c>
      <c r="R199" s="239" t="s">
        <v>597</v>
      </c>
      <c r="S199" s="238" t="s">
        <v>598</v>
      </c>
      <c r="T199" s="238" t="s">
        <v>2266</v>
      </c>
      <c r="U199" s="238" t="s">
        <v>2267</v>
      </c>
      <c r="V199" s="238" t="s">
        <v>255</v>
      </c>
      <c r="Y199" s="239"/>
      <c r="Z199" s="239"/>
      <c r="AB199" s="1" t="s">
        <v>384</v>
      </c>
    </row>
    <row r="200" spans="1:28" ht="11.25" customHeight="1">
      <c r="A200" s="233">
        <v>41067</v>
      </c>
      <c r="B200" s="1" t="s">
        <v>594</v>
      </c>
      <c r="C200" s="1" t="s">
        <v>2086</v>
      </c>
      <c r="D200" s="1" t="s">
        <v>2103</v>
      </c>
      <c r="E200" s="1" t="s">
        <v>2104</v>
      </c>
      <c r="F200" s="5">
        <v>50</v>
      </c>
      <c r="G200" s="1" t="s">
        <v>5002</v>
      </c>
      <c r="H200" s="234">
        <v>2.6</v>
      </c>
      <c r="I200" s="236">
        <f t="shared" si="11"/>
        <v>130</v>
      </c>
      <c r="J200" s="351">
        <v>1.6</v>
      </c>
      <c r="K200" s="241">
        <f>1.6*50</f>
        <v>80</v>
      </c>
      <c r="L200" s="237">
        <v>41067</v>
      </c>
      <c r="M200" s="1" t="s">
        <v>302</v>
      </c>
      <c r="N200" s="235">
        <f t="shared" si="12"/>
        <v>130</v>
      </c>
      <c r="O200" s="235">
        <f t="shared" si="13"/>
        <v>0</v>
      </c>
      <c r="P200" s="238" t="s">
        <v>596</v>
      </c>
      <c r="Q200" s="1" t="s">
        <v>2268</v>
      </c>
      <c r="R200" s="239" t="s">
        <v>597</v>
      </c>
      <c r="S200" s="238" t="s">
        <v>598</v>
      </c>
      <c r="T200" s="238" t="s">
        <v>2266</v>
      </c>
      <c r="U200" s="238" t="s">
        <v>2267</v>
      </c>
      <c r="V200" s="238" t="s">
        <v>255</v>
      </c>
      <c r="Y200" s="239"/>
      <c r="Z200" s="239"/>
      <c r="AB200" s="1" t="s">
        <v>384</v>
      </c>
    </row>
    <row r="201" spans="1:28" ht="11.25" customHeight="1">
      <c r="A201" s="233">
        <v>41067</v>
      </c>
      <c r="B201" s="1" t="s">
        <v>599</v>
      </c>
      <c r="C201" s="1" t="s">
        <v>2086</v>
      </c>
      <c r="D201" s="1" t="s">
        <v>2103</v>
      </c>
      <c r="E201" s="1" t="s">
        <v>2104</v>
      </c>
      <c r="F201" s="5">
        <v>50</v>
      </c>
      <c r="G201" s="1" t="s">
        <v>5002</v>
      </c>
      <c r="H201" s="234">
        <v>2.6</v>
      </c>
      <c r="I201" s="236">
        <f t="shared" si="11"/>
        <v>130</v>
      </c>
      <c r="J201" s="351">
        <v>1.6</v>
      </c>
      <c r="K201" s="241">
        <f>1.6*50</f>
        <v>80</v>
      </c>
      <c r="L201" s="237">
        <v>41067</v>
      </c>
      <c r="M201" s="1" t="s">
        <v>302</v>
      </c>
      <c r="N201" s="235">
        <f t="shared" si="12"/>
        <v>130</v>
      </c>
      <c r="O201" s="235">
        <f t="shared" si="13"/>
        <v>0</v>
      </c>
      <c r="P201" s="238" t="s">
        <v>600</v>
      </c>
      <c r="Q201" s="1" t="s">
        <v>2268</v>
      </c>
      <c r="R201" s="239" t="s">
        <v>601</v>
      </c>
      <c r="S201" s="238" t="s">
        <v>602</v>
      </c>
      <c r="T201" s="238" t="s">
        <v>2270</v>
      </c>
      <c r="U201" s="238" t="s">
        <v>2271</v>
      </c>
      <c r="V201" s="238" t="s">
        <v>255</v>
      </c>
      <c r="Y201" s="239"/>
      <c r="Z201" s="239"/>
      <c r="AB201" s="1" t="s">
        <v>384</v>
      </c>
    </row>
    <row r="202" spans="1:28" ht="11.25" customHeight="1">
      <c r="A202" s="233">
        <v>41068</v>
      </c>
      <c r="B202" s="1" t="s">
        <v>2272</v>
      </c>
      <c r="C202" s="1" t="s">
        <v>2086</v>
      </c>
      <c r="D202" s="1" t="s">
        <v>2273</v>
      </c>
      <c r="E202" s="1" t="s">
        <v>2274</v>
      </c>
      <c r="F202" s="5">
        <v>600</v>
      </c>
      <c r="G202" s="1" t="s">
        <v>2115</v>
      </c>
      <c r="H202" s="234">
        <v>2.5</v>
      </c>
      <c r="I202" s="236">
        <f t="shared" si="11"/>
        <v>1500</v>
      </c>
      <c r="J202" s="351"/>
      <c r="K202" s="241">
        <f>1.72*600</f>
        <v>1032</v>
      </c>
      <c r="L202" s="237">
        <v>41243</v>
      </c>
      <c r="M202" s="1" t="s">
        <v>2088</v>
      </c>
      <c r="N202" s="235">
        <f t="shared" si="12"/>
        <v>1500</v>
      </c>
      <c r="O202" s="235">
        <f t="shared" si="13"/>
        <v>0</v>
      </c>
      <c r="P202" s="238" t="s">
        <v>603</v>
      </c>
      <c r="Q202" s="1" t="s">
        <v>429</v>
      </c>
      <c r="R202" s="239" t="s">
        <v>1395</v>
      </c>
      <c r="S202" s="238" t="s">
        <v>604</v>
      </c>
      <c r="T202" s="238" t="s">
        <v>2275</v>
      </c>
      <c r="U202" s="238" t="s">
        <v>2276</v>
      </c>
      <c r="V202" s="238" t="s">
        <v>2277</v>
      </c>
      <c r="W202" s="236">
        <v>5859</v>
      </c>
      <c r="X202" s="233">
        <v>41201</v>
      </c>
      <c r="Y202" s="239" t="s">
        <v>2278</v>
      </c>
      <c r="Z202" s="239"/>
      <c r="AA202" s="240" t="s">
        <v>605</v>
      </c>
      <c r="AB202" s="1" t="s">
        <v>384</v>
      </c>
    </row>
    <row r="203" spans="1:28" ht="11.25" customHeight="1">
      <c r="A203" s="233">
        <v>41068</v>
      </c>
      <c r="B203" s="1" t="s">
        <v>2279</v>
      </c>
      <c r="C203" s="1" t="s">
        <v>2259</v>
      </c>
      <c r="D203" s="1" t="s">
        <v>2280</v>
      </c>
      <c r="E203" s="1">
        <v>7502</v>
      </c>
      <c r="F203" s="5">
        <v>5</v>
      </c>
      <c r="G203" s="1" t="s">
        <v>230</v>
      </c>
      <c r="H203" s="234">
        <v>158</v>
      </c>
      <c r="I203" s="236">
        <f t="shared" si="11"/>
        <v>790</v>
      </c>
      <c r="J203" s="351">
        <v>122.8</v>
      </c>
      <c r="K203" s="241">
        <f>122.8*5</f>
        <v>614</v>
      </c>
      <c r="L203" s="237">
        <v>41243</v>
      </c>
      <c r="M203" s="1" t="s">
        <v>2262</v>
      </c>
      <c r="N203" s="235">
        <f t="shared" si="12"/>
        <v>790</v>
      </c>
      <c r="O203" s="235">
        <f t="shared" si="13"/>
        <v>0</v>
      </c>
      <c r="P203" s="238" t="s">
        <v>603</v>
      </c>
      <c r="Q203" s="1" t="s">
        <v>429</v>
      </c>
      <c r="R203" s="239" t="s">
        <v>1395</v>
      </c>
      <c r="S203" s="238" t="s">
        <v>604</v>
      </c>
      <c r="T203" s="238" t="s">
        <v>2275</v>
      </c>
      <c r="U203" s="238" t="s">
        <v>2276</v>
      </c>
      <c r="V203" s="238" t="s">
        <v>2277</v>
      </c>
      <c r="W203" s="236">
        <v>5859</v>
      </c>
      <c r="X203" s="233">
        <v>41201</v>
      </c>
      <c r="Y203" s="239" t="s">
        <v>2278</v>
      </c>
      <c r="Z203" s="239"/>
      <c r="AA203" s="240" t="s">
        <v>605</v>
      </c>
      <c r="AB203" s="1" t="s">
        <v>384</v>
      </c>
    </row>
    <row r="204" spans="1:28" ht="11.25" customHeight="1">
      <c r="A204" s="233">
        <v>41068</v>
      </c>
      <c r="B204" s="1" t="s">
        <v>606</v>
      </c>
      <c r="C204" s="1" t="s">
        <v>2259</v>
      </c>
      <c r="D204" s="1" t="s">
        <v>2281</v>
      </c>
      <c r="E204" s="1" t="s">
        <v>2282</v>
      </c>
      <c r="F204" s="5">
        <v>100</v>
      </c>
      <c r="G204" s="1" t="s">
        <v>5002</v>
      </c>
      <c r="H204" s="234">
        <v>2.5</v>
      </c>
      <c r="I204" s="236">
        <f t="shared" si="11"/>
        <v>250</v>
      </c>
      <c r="J204" s="351">
        <v>1.6</v>
      </c>
      <c r="K204" s="241">
        <f>1.6*100</f>
        <v>160</v>
      </c>
      <c r="L204" s="237">
        <v>41068</v>
      </c>
      <c r="M204" s="1" t="s">
        <v>302</v>
      </c>
      <c r="N204" s="235">
        <f t="shared" si="12"/>
        <v>250</v>
      </c>
      <c r="O204" s="235">
        <f t="shared" si="13"/>
        <v>0</v>
      </c>
      <c r="P204" s="238" t="s">
        <v>607</v>
      </c>
      <c r="Q204" s="1" t="s">
        <v>1875</v>
      </c>
      <c r="R204" s="239" t="s">
        <v>2283</v>
      </c>
      <c r="S204" s="238" t="s">
        <v>2284</v>
      </c>
      <c r="T204" s="238" t="s">
        <v>2285</v>
      </c>
      <c r="V204" s="238" t="s">
        <v>2286</v>
      </c>
      <c r="Y204" s="239"/>
      <c r="Z204" s="239"/>
      <c r="AB204" s="1" t="s">
        <v>384</v>
      </c>
    </row>
    <row r="205" spans="1:28" ht="11.25" customHeight="1">
      <c r="A205" s="233">
        <v>41068</v>
      </c>
      <c r="B205" s="1" t="s">
        <v>606</v>
      </c>
      <c r="C205" s="1" t="s">
        <v>2259</v>
      </c>
      <c r="D205" s="1" t="s">
        <v>2287</v>
      </c>
      <c r="E205" s="1" t="s">
        <v>2288</v>
      </c>
      <c r="F205" s="5">
        <v>2</v>
      </c>
      <c r="G205" s="1" t="s">
        <v>240</v>
      </c>
      <c r="H205" s="234">
        <v>19</v>
      </c>
      <c r="I205" s="236">
        <f t="shared" si="11"/>
        <v>38</v>
      </c>
      <c r="J205" s="351">
        <v>0</v>
      </c>
      <c r="K205" s="250">
        <v>0</v>
      </c>
      <c r="L205" s="237">
        <v>41068</v>
      </c>
      <c r="M205" s="1" t="s">
        <v>302</v>
      </c>
      <c r="N205" s="235">
        <f t="shared" si="12"/>
        <v>38</v>
      </c>
      <c r="O205" s="235">
        <f t="shared" si="13"/>
        <v>0</v>
      </c>
      <c r="P205" s="238" t="s">
        <v>607</v>
      </c>
      <c r="Q205" s="1" t="s">
        <v>1875</v>
      </c>
      <c r="R205" s="239" t="s">
        <v>2283</v>
      </c>
      <c r="S205" s="238" t="s">
        <v>2284</v>
      </c>
      <c r="T205" s="238" t="s">
        <v>2285</v>
      </c>
      <c r="V205" s="238" t="s">
        <v>2286</v>
      </c>
      <c r="Y205" s="239"/>
      <c r="Z205" s="239"/>
      <c r="AB205" s="1" t="s">
        <v>384</v>
      </c>
    </row>
    <row r="206" spans="1:28" ht="11.25" customHeight="1">
      <c r="A206" s="233">
        <v>41068</v>
      </c>
      <c r="B206" s="1" t="s">
        <v>606</v>
      </c>
      <c r="C206" s="1" t="s">
        <v>2259</v>
      </c>
      <c r="D206" s="1" t="s">
        <v>1216</v>
      </c>
      <c r="E206" s="1">
        <v>3200</v>
      </c>
      <c r="F206" s="5">
        <v>2</v>
      </c>
      <c r="G206" s="1" t="s">
        <v>230</v>
      </c>
      <c r="H206" s="234">
        <v>38</v>
      </c>
      <c r="I206" s="236">
        <f t="shared" si="11"/>
        <v>76</v>
      </c>
      <c r="J206" s="351">
        <v>28.73</v>
      </c>
      <c r="K206" s="241">
        <f>28.73*2</f>
        <v>57.46</v>
      </c>
      <c r="L206" s="237">
        <v>41068</v>
      </c>
      <c r="M206" s="1" t="s">
        <v>302</v>
      </c>
      <c r="N206" s="235">
        <f t="shared" si="12"/>
        <v>76</v>
      </c>
      <c r="O206" s="235">
        <f t="shared" si="13"/>
        <v>0</v>
      </c>
      <c r="P206" s="238" t="s">
        <v>607</v>
      </c>
      <c r="Q206" s="1" t="s">
        <v>1875</v>
      </c>
      <c r="R206" s="239" t="s">
        <v>2283</v>
      </c>
      <c r="S206" s="238" t="s">
        <v>2284</v>
      </c>
      <c r="T206" s="238" t="s">
        <v>2285</v>
      </c>
      <c r="V206" s="238" t="s">
        <v>2286</v>
      </c>
      <c r="Y206" s="239"/>
      <c r="Z206" s="239"/>
      <c r="AB206" s="1" t="s">
        <v>384</v>
      </c>
    </row>
    <row r="207" spans="1:28" ht="11.25" customHeight="1">
      <c r="A207" s="233">
        <v>41068</v>
      </c>
      <c r="B207" s="1" t="s">
        <v>606</v>
      </c>
      <c r="C207" s="1" t="s">
        <v>2259</v>
      </c>
      <c r="D207" s="1" t="s">
        <v>2289</v>
      </c>
      <c r="E207" s="1">
        <v>3700</v>
      </c>
      <c r="F207" s="5">
        <v>2</v>
      </c>
      <c r="G207" s="1" t="s">
        <v>230</v>
      </c>
      <c r="H207" s="234">
        <v>5</v>
      </c>
      <c r="I207" s="236">
        <f t="shared" si="11"/>
        <v>10</v>
      </c>
      <c r="J207" s="351">
        <v>3.7</v>
      </c>
      <c r="K207" s="241">
        <f>3.7*2</f>
        <v>7.4</v>
      </c>
      <c r="L207" s="237">
        <v>41068</v>
      </c>
      <c r="M207" s="1" t="s">
        <v>302</v>
      </c>
      <c r="N207" s="235">
        <f t="shared" si="12"/>
        <v>10</v>
      </c>
      <c r="O207" s="235">
        <f t="shared" si="13"/>
        <v>0</v>
      </c>
      <c r="P207" s="238" t="s">
        <v>607</v>
      </c>
      <c r="Q207" s="1" t="s">
        <v>1875</v>
      </c>
      <c r="R207" s="239" t="s">
        <v>2283</v>
      </c>
      <c r="S207" s="238" t="s">
        <v>2284</v>
      </c>
      <c r="T207" s="238" t="s">
        <v>2285</v>
      </c>
      <c r="V207" s="238" t="s">
        <v>2286</v>
      </c>
      <c r="Y207" s="239"/>
      <c r="Z207" s="239"/>
      <c r="AB207" s="1" t="s">
        <v>384</v>
      </c>
    </row>
    <row r="208" spans="1:28" ht="11.25" customHeight="1">
      <c r="A208" s="233">
        <v>41068</v>
      </c>
      <c r="B208" s="1" t="s">
        <v>606</v>
      </c>
      <c r="C208" s="1" t="s">
        <v>2259</v>
      </c>
      <c r="D208" s="1" t="s">
        <v>233</v>
      </c>
      <c r="E208" s="1" t="s">
        <v>2290</v>
      </c>
      <c r="F208" s="5">
        <v>22</v>
      </c>
      <c r="G208" s="1" t="s">
        <v>232</v>
      </c>
      <c r="H208" s="234">
        <v>2.7</v>
      </c>
      <c r="I208" s="236">
        <f t="shared" si="11"/>
        <v>59.400000000000006</v>
      </c>
      <c r="J208" s="352">
        <v>0</v>
      </c>
      <c r="K208" s="254">
        <v>0</v>
      </c>
      <c r="L208" s="237">
        <v>41068</v>
      </c>
      <c r="M208" s="1" t="s">
        <v>302</v>
      </c>
      <c r="N208" s="235">
        <f t="shared" si="12"/>
        <v>59.400000000000006</v>
      </c>
      <c r="O208" s="235">
        <f t="shared" si="13"/>
        <v>0</v>
      </c>
      <c r="P208" s="238" t="s">
        <v>607</v>
      </c>
      <c r="Q208" s="1" t="s">
        <v>1875</v>
      </c>
      <c r="R208" s="239" t="s">
        <v>2283</v>
      </c>
      <c r="S208" s="238" t="s">
        <v>2284</v>
      </c>
      <c r="T208" s="238" t="s">
        <v>2285</v>
      </c>
      <c r="V208" s="238" t="s">
        <v>2286</v>
      </c>
      <c r="Y208" s="239"/>
      <c r="Z208" s="239"/>
      <c r="AB208" s="1" t="s">
        <v>384</v>
      </c>
    </row>
    <row r="209" spans="1:28" ht="11.25" customHeight="1">
      <c r="A209" s="233">
        <v>41068</v>
      </c>
      <c r="B209" s="1" t="s">
        <v>608</v>
      </c>
      <c r="C209" s="1" t="s">
        <v>2259</v>
      </c>
      <c r="D209" s="1" t="s">
        <v>2291</v>
      </c>
      <c r="E209" s="1" t="s">
        <v>2292</v>
      </c>
      <c r="F209" s="5">
        <v>100</v>
      </c>
      <c r="G209" s="1" t="s">
        <v>240</v>
      </c>
      <c r="H209" s="234">
        <v>15.41</v>
      </c>
      <c r="I209" s="236">
        <f t="shared" si="11"/>
        <v>1541</v>
      </c>
      <c r="J209" s="351"/>
      <c r="K209" s="241">
        <f>14.49*100</f>
        <v>1449</v>
      </c>
      <c r="L209" s="237">
        <v>41068</v>
      </c>
      <c r="M209" s="1" t="s">
        <v>345</v>
      </c>
      <c r="N209" s="235">
        <f t="shared" si="12"/>
        <v>1541</v>
      </c>
      <c r="O209" s="235">
        <f t="shared" si="13"/>
        <v>0</v>
      </c>
      <c r="P209" s="238" t="s">
        <v>609</v>
      </c>
      <c r="Q209" s="1" t="s">
        <v>2293</v>
      </c>
      <c r="R209" s="239" t="s">
        <v>610</v>
      </c>
      <c r="S209" s="238" t="s">
        <v>611</v>
      </c>
      <c r="T209" s="238" t="s">
        <v>2294</v>
      </c>
      <c r="U209" s="238" t="s">
        <v>2295</v>
      </c>
      <c r="V209" s="238" t="s">
        <v>2296</v>
      </c>
      <c r="W209" s="236">
        <v>5347.5</v>
      </c>
      <c r="X209" s="233">
        <v>41080</v>
      </c>
      <c r="Y209" s="238" t="s">
        <v>2297</v>
      </c>
      <c r="Z209" s="238"/>
      <c r="AB209" s="1" t="s">
        <v>379</v>
      </c>
    </row>
    <row r="210" spans="1:28" ht="11.25" customHeight="1">
      <c r="A210" s="233">
        <v>41068</v>
      </c>
      <c r="B210" s="1" t="s">
        <v>608</v>
      </c>
      <c r="C210" s="1" t="s">
        <v>2298</v>
      </c>
      <c r="D210" s="1" t="s">
        <v>2299</v>
      </c>
      <c r="E210" s="1">
        <v>10434</v>
      </c>
      <c r="F210" s="5">
        <v>100</v>
      </c>
      <c r="G210" s="1" t="s">
        <v>240</v>
      </c>
      <c r="H210" s="234">
        <v>16.079999999999998</v>
      </c>
      <c r="I210" s="236">
        <f t="shared" si="11"/>
        <v>1607.9999999999998</v>
      </c>
      <c r="J210" s="351"/>
      <c r="K210" s="241">
        <f>14.88*100</f>
        <v>1488</v>
      </c>
      <c r="L210" s="237">
        <v>41068</v>
      </c>
      <c r="M210" s="1" t="s">
        <v>345</v>
      </c>
      <c r="N210" s="235">
        <f t="shared" si="12"/>
        <v>1607.9999999999998</v>
      </c>
      <c r="O210" s="235">
        <f t="shared" si="13"/>
        <v>0</v>
      </c>
      <c r="P210" s="238" t="s">
        <v>609</v>
      </c>
      <c r="Q210" s="1" t="s">
        <v>2300</v>
      </c>
      <c r="R210" s="239" t="s">
        <v>610</v>
      </c>
      <c r="S210" s="238" t="s">
        <v>611</v>
      </c>
      <c r="T210" s="238" t="s">
        <v>2294</v>
      </c>
      <c r="U210" s="238" t="s">
        <v>2295</v>
      </c>
      <c r="V210" s="238" t="s">
        <v>2296</v>
      </c>
      <c r="W210" s="236">
        <v>5347.5</v>
      </c>
      <c r="X210" s="233">
        <v>41080</v>
      </c>
      <c r="Y210" s="238" t="s">
        <v>2297</v>
      </c>
      <c r="Z210" s="238"/>
      <c r="AB210" s="1" t="s">
        <v>379</v>
      </c>
    </row>
    <row r="211" spans="1:28" ht="11.25" customHeight="1">
      <c r="A211" s="233">
        <v>41068</v>
      </c>
      <c r="B211" s="1" t="s">
        <v>608</v>
      </c>
      <c r="C211" s="1" t="s">
        <v>2298</v>
      </c>
      <c r="D211" s="1" t="s">
        <v>2301</v>
      </c>
      <c r="E211" s="1" t="s">
        <v>2302</v>
      </c>
      <c r="F211" s="5">
        <v>100</v>
      </c>
      <c r="G211" s="1" t="s">
        <v>232</v>
      </c>
      <c r="H211" s="234">
        <v>1.91</v>
      </c>
      <c r="I211" s="236">
        <f t="shared" si="11"/>
        <v>191</v>
      </c>
      <c r="J211" s="351"/>
      <c r="K211" s="241">
        <f>1.86*100</f>
        <v>186</v>
      </c>
      <c r="L211" s="237">
        <v>41068</v>
      </c>
      <c r="M211" s="1" t="s">
        <v>345</v>
      </c>
      <c r="N211" s="235">
        <f t="shared" si="12"/>
        <v>191</v>
      </c>
      <c r="O211" s="235">
        <f t="shared" si="13"/>
        <v>0</v>
      </c>
      <c r="P211" s="238" t="s">
        <v>609</v>
      </c>
      <c r="Q211" s="1" t="s">
        <v>2300</v>
      </c>
      <c r="R211" s="239" t="s">
        <v>610</v>
      </c>
      <c r="S211" s="238" t="s">
        <v>611</v>
      </c>
      <c r="T211" s="238" t="s">
        <v>2294</v>
      </c>
      <c r="U211" s="238" t="s">
        <v>2295</v>
      </c>
      <c r="V211" s="238" t="s">
        <v>2296</v>
      </c>
      <c r="W211" s="236">
        <v>5347.5</v>
      </c>
      <c r="X211" s="233">
        <v>41080</v>
      </c>
      <c r="Y211" s="238" t="s">
        <v>2297</v>
      </c>
      <c r="Z211" s="238"/>
      <c r="AB211" s="1" t="s">
        <v>379</v>
      </c>
    </row>
    <row r="212" spans="1:28" ht="11.25" customHeight="1">
      <c r="A212" s="233">
        <v>41068</v>
      </c>
      <c r="B212" s="1" t="s">
        <v>608</v>
      </c>
      <c r="C212" s="1" t="s">
        <v>2298</v>
      </c>
      <c r="D212" s="1" t="s">
        <v>233</v>
      </c>
      <c r="E212" s="1" t="s">
        <v>2303</v>
      </c>
      <c r="F212" s="5">
        <v>200</v>
      </c>
      <c r="G212" s="1" t="s">
        <v>232</v>
      </c>
      <c r="H212" s="234">
        <v>1.88</v>
      </c>
      <c r="I212" s="236">
        <f t="shared" si="11"/>
        <v>376</v>
      </c>
      <c r="J212" s="352">
        <v>1.8260000000000001</v>
      </c>
      <c r="K212" s="241">
        <f>1.826*200</f>
        <v>365.2</v>
      </c>
      <c r="L212" s="237">
        <v>41068</v>
      </c>
      <c r="M212" s="1" t="s">
        <v>345</v>
      </c>
      <c r="N212" s="235">
        <f t="shared" si="12"/>
        <v>376</v>
      </c>
      <c r="O212" s="235">
        <f t="shared" si="13"/>
        <v>0</v>
      </c>
      <c r="P212" s="238" t="s">
        <v>609</v>
      </c>
      <c r="Q212" s="1" t="s">
        <v>2300</v>
      </c>
      <c r="R212" s="239" t="s">
        <v>610</v>
      </c>
      <c r="S212" s="238" t="s">
        <v>611</v>
      </c>
      <c r="T212" s="238" t="s">
        <v>2294</v>
      </c>
      <c r="U212" s="238" t="s">
        <v>2295</v>
      </c>
      <c r="V212" s="238" t="s">
        <v>2296</v>
      </c>
      <c r="W212" s="236">
        <v>5347.5</v>
      </c>
      <c r="X212" s="233">
        <v>41080</v>
      </c>
      <c r="Y212" s="238" t="s">
        <v>2297</v>
      </c>
      <c r="Z212" s="238"/>
      <c r="AB212" s="1" t="s">
        <v>379</v>
      </c>
    </row>
    <row r="213" spans="1:28" ht="11.25" customHeight="1">
      <c r="A213" s="233">
        <v>41068</v>
      </c>
      <c r="B213" s="1" t="s">
        <v>612</v>
      </c>
      <c r="C213" s="1" t="s">
        <v>2298</v>
      </c>
      <c r="D213" s="1" t="s">
        <v>2304</v>
      </c>
      <c r="E213" s="1" t="s">
        <v>2305</v>
      </c>
      <c r="F213" s="5">
        <v>500</v>
      </c>
      <c r="G213" s="1" t="s">
        <v>5002</v>
      </c>
      <c r="H213" s="234">
        <v>2.5</v>
      </c>
      <c r="I213" s="236">
        <f t="shared" si="11"/>
        <v>1250</v>
      </c>
      <c r="J213" s="351">
        <v>1.6</v>
      </c>
      <c r="K213" s="241">
        <f>1.6*500</f>
        <v>800</v>
      </c>
      <c r="L213" s="237">
        <v>41068</v>
      </c>
      <c r="M213" s="1" t="s">
        <v>345</v>
      </c>
      <c r="N213" s="235">
        <f t="shared" si="12"/>
        <v>1250</v>
      </c>
      <c r="O213" s="235">
        <f t="shared" si="13"/>
        <v>0</v>
      </c>
      <c r="P213" s="238" t="s">
        <v>613</v>
      </c>
      <c r="Q213" s="1" t="s">
        <v>2306</v>
      </c>
      <c r="R213" s="239" t="s">
        <v>614</v>
      </c>
      <c r="S213" s="238" t="s">
        <v>615</v>
      </c>
      <c r="T213" s="238" t="s">
        <v>2307</v>
      </c>
      <c r="U213" s="238" t="s">
        <v>2308</v>
      </c>
      <c r="V213" s="238" t="s">
        <v>255</v>
      </c>
      <c r="Y213" s="239"/>
      <c r="Z213" s="239"/>
      <c r="AB213" s="1" t="s">
        <v>384</v>
      </c>
    </row>
    <row r="214" spans="1:28" ht="11.25" customHeight="1">
      <c r="A214" s="233">
        <v>41068</v>
      </c>
      <c r="B214" s="1" t="s">
        <v>612</v>
      </c>
      <c r="C214" s="1" t="s">
        <v>2086</v>
      </c>
      <c r="D214" s="1" t="s">
        <v>241</v>
      </c>
      <c r="E214" s="1">
        <v>6200</v>
      </c>
      <c r="F214" s="5">
        <v>2</v>
      </c>
      <c r="G214" s="1" t="s">
        <v>230</v>
      </c>
      <c r="H214" s="234">
        <v>79</v>
      </c>
      <c r="I214" s="236">
        <f t="shared" si="11"/>
        <v>158</v>
      </c>
      <c r="J214" s="354">
        <v>45.8</v>
      </c>
      <c r="K214" s="241" t="e">
        <f>#REF!*F214</f>
        <v>#REF!</v>
      </c>
      <c r="L214" s="237">
        <v>41068</v>
      </c>
      <c r="M214" s="1" t="s">
        <v>345</v>
      </c>
      <c r="N214" s="235">
        <f t="shared" si="12"/>
        <v>158</v>
      </c>
      <c r="O214" s="235">
        <f t="shared" si="13"/>
        <v>0</v>
      </c>
      <c r="P214" s="238" t="s">
        <v>613</v>
      </c>
      <c r="Q214" s="1" t="s">
        <v>1260</v>
      </c>
      <c r="R214" s="239" t="s">
        <v>614</v>
      </c>
      <c r="S214" s="238" t="s">
        <v>615</v>
      </c>
      <c r="T214" s="238" t="s">
        <v>2307</v>
      </c>
      <c r="U214" s="238" t="s">
        <v>2308</v>
      </c>
      <c r="V214" s="238" t="s">
        <v>255</v>
      </c>
      <c r="Y214" s="239"/>
      <c r="Z214" s="239"/>
      <c r="AB214" s="1" t="s">
        <v>384</v>
      </c>
    </row>
    <row r="215" spans="1:28" ht="11.25" customHeight="1">
      <c r="A215" s="233">
        <v>41068</v>
      </c>
      <c r="B215" s="1" t="s">
        <v>612</v>
      </c>
      <c r="C215" s="1" t="s">
        <v>2086</v>
      </c>
      <c r="D215" s="1" t="s">
        <v>2117</v>
      </c>
      <c r="E215" s="1" t="s">
        <v>2087</v>
      </c>
      <c r="F215" s="5">
        <v>4</v>
      </c>
      <c r="G215" s="1" t="s">
        <v>230</v>
      </c>
      <c r="H215" s="234">
        <v>30.5</v>
      </c>
      <c r="I215" s="236">
        <f t="shared" si="11"/>
        <v>122</v>
      </c>
      <c r="J215" s="351">
        <v>19</v>
      </c>
      <c r="K215" s="241">
        <f>19*4</f>
        <v>76</v>
      </c>
      <c r="L215" s="237">
        <v>41068</v>
      </c>
      <c r="M215" s="1" t="s">
        <v>345</v>
      </c>
      <c r="N215" s="235">
        <f t="shared" si="12"/>
        <v>122</v>
      </c>
      <c r="O215" s="235">
        <f t="shared" si="13"/>
        <v>0</v>
      </c>
      <c r="P215" s="238" t="s">
        <v>613</v>
      </c>
      <c r="Q215" s="1" t="s">
        <v>2309</v>
      </c>
      <c r="R215" s="239" t="s">
        <v>614</v>
      </c>
      <c r="S215" s="238" t="s">
        <v>615</v>
      </c>
      <c r="T215" s="238" t="s">
        <v>2307</v>
      </c>
      <c r="U215" s="238" t="s">
        <v>2308</v>
      </c>
      <c r="V215" s="238" t="s">
        <v>255</v>
      </c>
      <c r="Y215" s="239"/>
      <c r="Z215" s="239"/>
      <c r="AB215" s="1" t="s">
        <v>384</v>
      </c>
    </row>
    <row r="216" spans="1:28" ht="11.25" customHeight="1">
      <c r="A216" s="233">
        <v>41068</v>
      </c>
      <c r="B216" s="1" t="s">
        <v>612</v>
      </c>
      <c r="C216" s="1" t="s">
        <v>2086</v>
      </c>
      <c r="D216" s="1" t="s">
        <v>233</v>
      </c>
      <c r="E216" s="1" t="s">
        <v>2091</v>
      </c>
      <c r="F216" s="5">
        <v>4</v>
      </c>
      <c r="G216" s="1" t="s">
        <v>232</v>
      </c>
      <c r="H216" s="234">
        <v>8</v>
      </c>
      <c r="I216" s="236">
        <f t="shared" si="11"/>
        <v>32</v>
      </c>
      <c r="J216" s="351">
        <v>5.0999999999999996</v>
      </c>
      <c r="K216" s="241">
        <f>5.1*4</f>
        <v>20.399999999999999</v>
      </c>
      <c r="L216" s="237">
        <v>41068</v>
      </c>
      <c r="M216" s="1" t="s">
        <v>345</v>
      </c>
      <c r="N216" s="235">
        <f t="shared" si="12"/>
        <v>32</v>
      </c>
      <c r="O216" s="235">
        <f t="shared" si="13"/>
        <v>0</v>
      </c>
      <c r="P216" s="238" t="s">
        <v>613</v>
      </c>
      <c r="Q216" s="1" t="s">
        <v>2309</v>
      </c>
      <c r="R216" s="239" t="s">
        <v>614</v>
      </c>
      <c r="S216" s="238" t="s">
        <v>615</v>
      </c>
      <c r="T216" s="238" t="s">
        <v>2307</v>
      </c>
      <c r="U216" s="238" t="s">
        <v>2308</v>
      </c>
      <c r="V216" s="238" t="s">
        <v>255</v>
      </c>
      <c r="Y216" s="239"/>
      <c r="Z216" s="239"/>
      <c r="AB216" s="1" t="s">
        <v>384</v>
      </c>
    </row>
    <row r="217" spans="1:28" ht="11.25" customHeight="1">
      <c r="A217" s="233">
        <v>41068</v>
      </c>
      <c r="B217" s="1" t="s">
        <v>612</v>
      </c>
      <c r="C217" s="1" t="s">
        <v>2086</v>
      </c>
      <c r="D217" s="1" t="s">
        <v>2242</v>
      </c>
      <c r="E217" s="1">
        <v>501</v>
      </c>
      <c r="F217" s="5">
        <v>4</v>
      </c>
      <c r="G217" s="1" t="s">
        <v>230</v>
      </c>
      <c r="H217" s="234">
        <v>2</v>
      </c>
      <c r="I217" s="236">
        <f t="shared" si="11"/>
        <v>8</v>
      </c>
      <c r="J217" s="351">
        <v>1.4</v>
      </c>
      <c r="K217" s="241">
        <f>1.4*4</f>
        <v>5.6</v>
      </c>
      <c r="L217" s="237">
        <v>41068</v>
      </c>
      <c r="M217" s="1" t="s">
        <v>345</v>
      </c>
      <c r="N217" s="235">
        <f t="shared" si="12"/>
        <v>8</v>
      </c>
      <c r="O217" s="235">
        <f t="shared" si="13"/>
        <v>0</v>
      </c>
      <c r="P217" s="238" t="s">
        <v>613</v>
      </c>
      <c r="Q217" s="1" t="s">
        <v>2309</v>
      </c>
      <c r="R217" s="239" t="s">
        <v>614</v>
      </c>
      <c r="S217" s="238" t="s">
        <v>615</v>
      </c>
      <c r="T217" s="238" t="s">
        <v>2307</v>
      </c>
      <c r="U217" s="238" t="s">
        <v>2308</v>
      </c>
      <c r="V217" s="238" t="s">
        <v>255</v>
      </c>
      <c r="Y217" s="239"/>
      <c r="Z217" s="239"/>
      <c r="AB217" s="1" t="s">
        <v>384</v>
      </c>
    </row>
    <row r="218" spans="1:28" ht="11.25" customHeight="1">
      <c r="A218" s="233">
        <v>41068</v>
      </c>
      <c r="B218" s="1" t="s">
        <v>612</v>
      </c>
      <c r="C218" s="1" t="s">
        <v>2086</v>
      </c>
      <c r="D218" s="1" t="s">
        <v>1219</v>
      </c>
      <c r="E218" s="1" t="s">
        <v>2178</v>
      </c>
      <c r="F218" s="5">
        <v>10</v>
      </c>
      <c r="G218" s="1" t="s">
        <v>240</v>
      </c>
      <c r="H218" s="234">
        <v>20</v>
      </c>
      <c r="I218" s="236">
        <f t="shared" si="11"/>
        <v>200</v>
      </c>
      <c r="J218" s="351">
        <v>13.4</v>
      </c>
      <c r="K218" s="250">
        <f>13.4*10</f>
        <v>134</v>
      </c>
      <c r="L218" s="237">
        <v>41068</v>
      </c>
      <c r="M218" s="1" t="s">
        <v>345</v>
      </c>
      <c r="N218" s="235">
        <f t="shared" si="12"/>
        <v>200</v>
      </c>
      <c r="O218" s="235">
        <f t="shared" si="13"/>
        <v>0</v>
      </c>
      <c r="P218" s="238" t="s">
        <v>613</v>
      </c>
      <c r="Q218" s="1" t="s">
        <v>2309</v>
      </c>
      <c r="R218" s="239" t="s">
        <v>614</v>
      </c>
      <c r="S218" s="238" t="s">
        <v>615</v>
      </c>
      <c r="T218" s="238" t="s">
        <v>2307</v>
      </c>
      <c r="U218" s="238" t="s">
        <v>2308</v>
      </c>
      <c r="V218" s="238" t="s">
        <v>255</v>
      </c>
      <c r="Y218" s="239"/>
      <c r="Z218" s="239"/>
      <c r="AB218" s="1" t="s">
        <v>384</v>
      </c>
    </row>
    <row r="219" spans="1:28" ht="11.25" customHeight="1">
      <c r="A219" s="233">
        <v>41071</v>
      </c>
      <c r="B219" s="1" t="s">
        <v>616</v>
      </c>
      <c r="C219" s="1" t="s">
        <v>2086</v>
      </c>
      <c r="D219" s="1" t="s">
        <v>2120</v>
      </c>
      <c r="E219" s="1">
        <v>6200</v>
      </c>
      <c r="F219" s="5">
        <v>3</v>
      </c>
      <c r="G219" s="1" t="s">
        <v>230</v>
      </c>
      <c r="H219" s="234">
        <v>80</v>
      </c>
      <c r="I219" s="236">
        <f t="shared" si="11"/>
        <v>240</v>
      </c>
      <c r="J219" s="354">
        <v>45.8</v>
      </c>
      <c r="K219" s="241" t="e">
        <f>#REF!*F219</f>
        <v>#REF!</v>
      </c>
      <c r="L219" s="237">
        <v>41071</v>
      </c>
      <c r="M219" s="1" t="s">
        <v>302</v>
      </c>
      <c r="N219" s="235">
        <f t="shared" si="12"/>
        <v>240</v>
      </c>
      <c r="O219" s="235">
        <f t="shared" si="13"/>
        <v>0</v>
      </c>
      <c r="P219" s="238" t="s">
        <v>617</v>
      </c>
      <c r="Q219" s="1" t="s">
        <v>393</v>
      </c>
      <c r="R219" s="239" t="s">
        <v>618</v>
      </c>
      <c r="S219" s="238" t="s">
        <v>619</v>
      </c>
      <c r="T219" s="238" t="s">
        <v>2310</v>
      </c>
      <c r="V219" s="238" t="s">
        <v>255</v>
      </c>
      <c r="Y219" s="239"/>
      <c r="Z219" s="239"/>
      <c r="AB219" s="1" t="s">
        <v>384</v>
      </c>
    </row>
    <row r="220" spans="1:28" ht="11.25" customHeight="1">
      <c r="A220" s="233">
        <v>41071</v>
      </c>
      <c r="B220" s="1" t="s">
        <v>616</v>
      </c>
      <c r="C220" s="1" t="s">
        <v>2086</v>
      </c>
      <c r="D220" s="1" t="s">
        <v>355</v>
      </c>
      <c r="E220" s="1" t="s">
        <v>2087</v>
      </c>
      <c r="F220" s="5">
        <v>6</v>
      </c>
      <c r="G220" s="1" t="s">
        <v>230</v>
      </c>
      <c r="H220" s="234">
        <v>29</v>
      </c>
      <c r="I220" s="236">
        <f t="shared" si="11"/>
        <v>174</v>
      </c>
      <c r="J220" s="351">
        <v>19</v>
      </c>
      <c r="K220" s="241">
        <f>19*6</f>
        <v>114</v>
      </c>
      <c r="L220" s="237">
        <v>41071</v>
      </c>
      <c r="M220" s="1" t="s">
        <v>302</v>
      </c>
      <c r="N220" s="235">
        <f t="shared" si="12"/>
        <v>174</v>
      </c>
      <c r="O220" s="235">
        <f t="shared" si="13"/>
        <v>0</v>
      </c>
      <c r="P220" s="238" t="s">
        <v>617</v>
      </c>
      <c r="Q220" s="1" t="s">
        <v>393</v>
      </c>
      <c r="R220" s="239" t="s">
        <v>618</v>
      </c>
      <c r="S220" s="238" t="s">
        <v>619</v>
      </c>
      <c r="T220" s="238" t="s">
        <v>2310</v>
      </c>
      <c r="V220" s="238" t="s">
        <v>255</v>
      </c>
      <c r="Y220" s="239"/>
      <c r="Z220" s="239"/>
      <c r="AB220" s="1" t="s">
        <v>384</v>
      </c>
    </row>
    <row r="221" spans="1:28" ht="11.25" customHeight="1">
      <c r="A221" s="233">
        <v>41071</v>
      </c>
      <c r="B221" s="1" t="s">
        <v>616</v>
      </c>
      <c r="C221" s="1" t="s">
        <v>2086</v>
      </c>
      <c r="D221" s="1" t="s">
        <v>2237</v>
      </c>
      <c r="E221" s="1" t="s">
        <v>2091</v>
      </c>
      <c r="F221" s="5">
        <v>12</v>
      </c>
      <c r="G221" s="1" t="s">
        <v>232</v>
      </c>
      <c r="H221" s="234">
        <v>8</v>
      </c>
      <c r="I221" s="236">
        <f t="shared" si="11"/>
        <v>96</v>
      </c>
      <c r="J221" s="351">
        <v>5.0999999999999996</v>
      </c>
      <c r="K221" s="241">
        <f>5.1*12</f>
        <v>61.199999999999996</v>
      </c>
      <c r="L221" s="237">
        <v>41071</v>
      </c>
      <c r="M221" s="1" t="s">
        <v>302</v>
      </c>
      <c r="N221" s="235">
        <f t="shared" si="12"/>
        <v>96</v>
      </c>
      <c r="O221" s="235">
        <f t="shared" si="13"/>
        <v>0</v>
      </c>
      <c r="P221" s="238" t="s">
        <v>617</v>
      </c>
      <c r="Q221" s="1" t="s">
        <v>393</v>
      </c>
      <c r="R221" s="239" t="s">
        <v>618</v>
      </c>
      <c r="S221" s="238" t="s">
        <v>619</v>
      </c>
      <c r="T221" s="238" t="s">
        <v>2310</v>
      </c>
      <c r="V221" s="238" t="s">
        <v>255</v>
      </c>
      <c r="Y221" s="239"/>
      <c r="Z221" s="239"/>
      <c r="AB221" s="1" t="s">
        <v>384</v>
      </c>
    </row>
    <row r="222" spans="1:28" ht="11.25" customHeight="1">
      <c r="A222" s="233">
        <v>41071</v>
      </c>
      <c r="B222" s="1" t="s">
        <v>616</v>
      </c>
      <c r="C222" s="1" t="s">
        <v>2086</v>
      </c>
      <c r="D222" s="1" t="s">
        <v>264</v>
      </c>
      <c r="E222" s="1">
        <v>501</v>
      </c>
      <c r="F222" s="5">
        <v>6</v>
      </c>
      <c r="G222" s="1" t="s">
        <v>230</v>
      </c>
      <c r="H222" s="234">
        <v>2</v>
      </c>
      <c r="I222" s="236">
        <f t="shared" si="11"/>
        <v>12</v>
      </c>
      <c r="J222" s="351">
        <v>1.4</v>
      </c>
      <c r="K222" s="241">
        <f>1.4*6</f>
        <v>8.3999999999999986</v>
      </c>
      <c r="L222" s="237">
        <v>41071</v>
      </c>
      <c r="M222" s="1" t="s">
        <v>302</v>
      </c>
      <c r="N222" s="235">
        <f t="shared" si="12"/>
        <v>12</v>
      </c>
      <c r="O222" s="235">
        <f t="shared" si="13"/>
        <v>0</v>
      </c>
      <c r="P222" s="238" t="s">
        <v>617</v>
      </c>
      <c r="Q222" s="1" t="s">
        <v>393</v>
      </c>
      <c r="R222" s="239" t="s">
        <v>618</v>
      </c>
      <c r="S222" s="238" t="s">
        <v>619</v>
      </c>
      <c r="T222" s="238" t="s">
        <v>2310</v>
      </c>
      <c r="V222" s="238" t="s">
        <v>255</v>
      </c>
      <c r="Y222" s="239"/>
      <c r="Z222" s="239"/>
      <c r="AB222" s="1" t="s">
        <v>384</v>
      </c>
    </row>
    <row r="223" spans="1:28" ht="11.25" customHeight="1">
      <c r="A223" s="233">
        <v>41071</v>
      </c>
      <c r="B223" s="1" t="s">
        <v>616</v>
      </c>
      <c r="C223" s="1" t="s">
        <v>2086</v>
      </c>
      <c r="D223" s="1" t="s">
        <v>2103</v>
      </c>
      <c r="E223" s="1" t="s">
        <v>2104</v>
      </c>
      <c r="F223" s="5">
        <v>100</v>
      </c>
      <c r="G223" s="1" t="s">
        <v>5002</v>
      </c>
      <c r="H223" s="234">
        <v>2.4</v>
      </c>
      <c r="I223" s="236">
        <f t="shared" si="11"/>
        <v>240</v>
      </c>
      <c r="J223" s="351">
        <v>1.6</v>
      </c>
      <c r="K223" s="241">
        <f>1.6*100</f>
        <v>160</v>
      </c>
      <c r="L223" s="237">
        <v>41071</v>
      </c>
      <c r="M223" s="1" t="s">
        <v>302</v>
      </c>
      <c r="N223" s="235">
        <f t="shared" si="12"/>
        <v>240</v>
      </c>
      <c r="O223" s="235">
        <f t="shared" si="13"/>
        <v>0</v>
      </c>
      <c r="P223" s="238" t="s">
        <v>617</v>
      </c>
      <c r="Q223" s="1" t="s">
        <v>393</v>
      </c>
      <c r="R223" s="239" t="s">
        <v>618</v>
      </c>
      <c r="S223" s="238" t="s">
        <v>619</v>
      </c>
      <c r="T223" s="238" t="s">
        <v>2310</v>
      </c>
      <c r="V223" s="238" t="s">
        <v>255</v>
      </c>
      <c r="Y223" s="239"/>
      <c r="Z223" s="239"/>
      <c r="AB223" s="1" t="s">
        <v>384</v>
      </c>
    </row>
    <row r="224" spans="1:28" ht="11.25" customHeight="1">
      <c r="A224" s="233">
        <v>41071</v>
      </c>
      <c r="B224" s="1" t="s">
        <v>616</v>
      </c>
      <c r="C224" s="1" t="s">
        <v>2086</v>
      </c>
      <c r="D224" s="1" t="s">
        <v>267</v>
      </c>
      <c r="E224" s="1">
        <v>12308</v>
      </c>
      <c r="F224" s="5">
        <v>3</v>
      </c>
      <c r="G224" s="1" t="s">
        <v>240</v>
      </c>
      <c r="H224" s="234">
        <v>26</v>
      </c>
      <c r="I224" s="236">
        <f t="shared" si="11"/>
        <v>78</v>
      </c>
      <c r="J224" s="351"/>
      <c r="K224" s="241">
        <v>0</v>
      </c>
      <c r="L224" s="237">
        <v>41071</v>
      </c>
      <c r="M224" s="1" t="s">
        <v>302</v>
      </c>
      <c r="N224" s="235">
        <f t="shared" si="12"/>
        <v>78</v>
      </c>
      <c r="O224" s="235">
        <f t="shared" si="13"/>
        <v>0</v>
      </c>
      <c r="P224" s="238" t="s">
        <v>617</v>
      </c>
      <c r="Q224" s="1" t="s">
        <v>393</v>
      </c>
      <c r="R224" s="239" t="s">
        <v>618</v>
      </c>
      <c r="S224" s="238" t="s">
        <v>619</v>
      </c>
      <c r="T224" s="238" t="s">
        <v>2310</v>
      </c>
      <c r="V224" s="238" t="s">
        <v>255</v>
      </c>
      <c r="Y224" s="239"/>
      <c r="Z224" s="239"/>
      <c r="AB224" s="1" t="s">
        <v>384</v>
      </c>
    </row>
    <row r="225" spans="1:28" ht="11.25" customHeight="1">
      <c r="A225" s="233">
        <v>41071</v>
      </c>
      <c r="B225" s="1" t="s">
        <v>387</v>
      </c>
      <c r="C225" s="1" t="s">
        <v>2086</v>
      </c>
      <c r="D225" s="1" t="s">
        <v>2311</v>
      </c>
      <c r="E225" s="1" t="s">
        <v>2312</v>
      </c>
      <c r="F225" s="5">
        <v>100</v>
      </c>
      <c r="G225" s="1" t="s">
        <v>2115</v>
      </c>
      <c r="H225" s="234">
        <v>1.3</v>
      </c>
      <c r="I225" s="236">
        <f t="shared" si="11"/>
        <v>130</v>
      </c>
      <c r="J225" s="351"/>
      <c r="K225" s="241">
        <v>0</v>
      </c>
      <c r="L225" s="237">
        <v>41071</v>
      </c>
      <c r="M225" s="1" t="s">
        <v>332</v>
      </c>
      <c r="N225" s="235">
        <f t="shared" si="12"/>
        <v>130</v>
      </c>
      <c r="O225" s="235">
        <f t="shared" si="13"/>
        <v>0</v>
      </c>
      <c r="P225" s="238" t="s">
        <v>622</v>
      </c>
      <c r="Q225" s="1" t="s">
        <v>393</v>
      </c>
      <c r="R225" s="239" t="s">
        <v>430</v>
      </c>
      <c r="S225" s="238" t="s">
        <v>431</v>
      </c>
      <c r="T225" s="238" t="s">
        <v>802</v>
      </c>
      <c r="Y225" s="239"/>
      <c r="Z225" s="239"/>
      <c r="AB225" s="1" t="s">
        <v>379</v>
      </c>
    </row>
    <row r="226" spans="1:28" ht="11.25" customHeight="1">
      <c r="A226" s="233">
        <v>41071</v>
      </c>
      <c r="B226" s="1" t="s">
        <v>387</v>
      </c>
      <c r="C226" s="1" t="s">
        <v>2086</v>
      </c>
      <c r="D226" s="1" t="s">
        <v>359</v>
      </c>
      <c r="E226" s="1">
        <v>1711</v>
      </c>
      <c r="F226" s="5">
        <v>20</v>
      </c>
      <c r="G226" s="1" t="s">
        <v>240</v>
      </c>
      <c r="H226" s="234">
        <v>14.4</v>
      </c>
      <c r="I226" s="236">
        <f t="shared" si="11"/>
        <v>288</v>
      </c>
      <c r="J226" s="351"/>
      <c r="K226" s="241">
        <f>11.78*20</f>
        <v>235.6</v>
      </c>
      <c r="L226" s="237">
        <v>41071</v>
      </c>
      <c r="M226" s="1" t="s">
        <v>332</v>
      </c>
      <c r="N226" s="235">
        <f t="shared" si="12"/>
        <v>288</v>
      </c>
      <c r="O226" s="235">
        <f t="shared" si="13"/>
        <v>0</v>
      </c>
      <c r="P226" s="238" t="s">
        <v>622</v>
      </c>
      <c r="Q226" s="1" t="s">
        <v>393</v>
      </c>
      <c r="R226" s="239" t="s">
        <v>430</v>
      </c>
      <c r="S226" s="238" t="s">
        <v>431</v>
      </c>
      <c r="T226" s="238" t="s">
        <v>802</v>
      </c>
      <c r="Y226" s="239"/>
      <c r="Z226" s="239"/>
      <c r="AB226" s="1" t="s">
        <v>379</v>
      </c>
    </row>
    <row r="227" spans="1:28" ht="11.25" customHeight="1">
      <c r="A227" s="233">
        <v>41071</v>
      </c>
      <c r="B227" s="1" t="s">
        <v>2313</v>
      </c>
      <c r="C227" s="1" t="s">
        <v>2086</v>
      </c>
      <c r="D227" s="1" t="s">
        <v>2314</v>
      </c>
      <c r="E227" s="1" t="s">
        <v>2178</v>
      </c>
      <c r="F227" s="5">
        <v>22</v>
      </c>
      <c r="G227" s="1" t="s">
        <v>240</v>
      </c>
      <c r="H227" s="234">
        <v>20</v>
      </c>
      <c r="I227" s="236">
        <f t="shared" si="11"/>
        <v>440</v>
      </c>
      <c r="J227" s="351">
        <v>13.4</v>
      </c>
      <c r="K227" s="250">
        <f>13.4*22</f>
        <v>294.8</v>
      </c>
      <c r="L227" s="237">
        <v>41071</v>
      </c>
      <c r="M227" s="1" t="s">
        <v>345</v>
      </c>
      <c r="N227" s="235">
        <f t="shared" si="12"/>
        <v>440</v>
      </c>
      <c r="O227" s="235">
        <f t="shared" si="13"/>
        <v>0</v>
      </c>
      <c r="P227" s="238" t="s">
        <v>623</v>
      </c>
      <c r="Q227" s="1" t="s">
        <v>2315</v>
      </c>
      <c r="R227" s="239" t="s">
        <v>624</v>
      </c>
      <c r="S227" s="238" t="s">
        <v>625</v>
      </c>
      <c r="T227" s="238" t="s">
        <v>2316</v>
      </c>
      <c r="U227" s="238" t="s">
        <v>626</v>
      </c>
      <c r="V227" s="238" t="s">
        <v>2286</v>
      </c>
      <c r="Y227" s="239"/>
      <c r="Z227" s="239"/>
      <c r="AB227" s="1" t="s">
        <v>379</v>
      </c>
    </row>
    <row r="228" spans="1:28" ht="11.25" customHeight="1">
      <c r="A228" s="233">
        <v>41071</v>
      </c>
      <c r="B228" s="1" t="s">
        <v>2317</v>
      </c>
      <c r="C228" s="1" t="s">
        <v>2259</v>
      </c>
      <c r="D228" s="1" t="s">
        <v>1774</v>
      </c>
      <c r="E228" s="1">
        <v>9132</v>
      </c>
      <c r="F228" s="5">
        <v>10</v>
      </c>
      <c r="G228" s="1" t="s">
        <v>232</v>
      </c>
      <c r="H228" s="234">
        <v>4.0599999999999996</v>
      </c>
      <c r="I228" s="236">
        <f t="shared" si="11"/>
        <v>40.599999999999994</v>
      </c>
      <c r="J228" s="351"/>
      <c r="K228" s="241">
        <f>2.9*F228</f>
        <v>29</v>
      </c>
      <c r="L228" s="237">
        <v>41071</v>
      </c>
      <c r="M228" s="1" t="s">
        <v>345</v>
      </c>
      <c r="N228" s="235">
        <f t="shared" si="12"/>
        <v>40.599999999999994</v>
      </c>
      <c r="O228" s="235">
        <f t="shared" si="13"/>
        <v>0</v>
      </c>
      <c r="P228" s="238" t="s">
        <v>623</v>
      </c>
      <c r="Q228" s="1" t="s">
        <v>2318</v>
      </c>
      <c r="R228" s="239" t="s">
        <v>624</v>
      </c>
      <c r="S228" s="238" t="s">
        <v>625</v>
      </c>
      <c r="T228" s="238" t="s">
        <v>2316</v>
      </c>
      <c r="U228" s="238" t="s">
        <v>626</v>
      </c>
      <c r="V228" s="238" t="s">
        <v>2286</v>
      </c>
      <c r="Y228" s="239"/>
      <c r="Z228" s="239"/>
      <c r="AB228" s="1" t="s">
        <v>379</v>
      </c>
    </row>
    <row r="229" spans="1:28" ht="11.25" customHeight="1">
      <c r="A229" s="233">
        <v>41071</v>
      </c>
      <c r="B229" s="1" t="s">
        <v>628</v>
      </c>
      <c r="C229" s="1" t="s">
        <v>2259</v>
      </c>
      <c r="D229" s="1" t="s">
        <v>2281</v>
      </c>
      <c r="E229" s="1" t="s">
        <v>2282</v>
      </c>
      <c r="F229" s="5">
        <v>50</v>
      </c>
      <c r="G229" s="1" t="s">
        <v>5002</v>
      </c>
      <c r="H229" s="234">
        <v>2.4</v>
      </c>
      <c r="I229" s="236">
        <f t="shared" si="11"/>
        <v>120</v>
      </c>
      <c r="J229" s="351">
        <v>1.6</v>
      </c>
      <c r="K229" s="241">
        <f>1.6*50</f>
        <v>80</v>
      </c>
      <c r="L229" s="237">
        <v>41071</v>
      </c>
      <c r="M229" s="1" t="s">
        <v>302</v>
      </c>
      <c r="N229" s="235">
        <f t="shared" si="12"/>
        <v>120</v>
      </c>
      <c r="O229" s="235">
        <f t="shared" si="13"/>
        <v>0</v>
      </c>
      <c r="P229" s="238" t="s">
        <v>629</v>
      </c>
      <c r="Q229" s="1" t="s">
        <v>429</v>
      </c>
      <c r="S229" s="238" t="s">
        <v>630</v>
      </c>
      <c r="T229" s="238" t="s">
        <v>2319</v>
      </c>
      <c r="V229" s="238" t="s">
        <v>255</v>
      </c>
      <c r="Y229" s="239"/>
      <c r="Z229" s="239"/>
      <c r="AB229" s="1" t="s">
        <v>384</v>
      </c>
    </row>
    <row r="230" spans="1:28" ht="11.25" customHeight="1">
      <c r="A230" s="233">
        <v>41072</v>
      </c>
      <c r="B230" s="1" t="s">
        <v>631</v>
      </c>
      <c r="C230" s="1" t="s">
        <v>2086</v>
      </c>
      <c r="D230" s="1" t="s">
        <v>2229</v>
      </c>
      <c r="E230" s="1">
        <v>7502</v>
      </c>
      <c r="F230" s="5">
        <v>1</v>
      </c>
      <c r="G230" s="1" t="s">
        <v>230</v>
      </c>
      <c r="H230" s="234">
        <v>186.4</v>
      </c>
      <c r="I230" s="236">
        <f t="shared" si="11"/>
        <v>186.4</v>
      </c>
      <c r="J230" s="351"/>
      <c r="K230" s="241">
        <v>0</v>
      </c>
      <c r="L230" s="237">
        <v>41072</v>
      </c>
      <c r="M230" s="1" t="s">
        <v>345</v>
      </c>
      <c r="N230" s="235">
        <f t="shared" si="12"/>
        <v>186.4</v>
      </c>
      <c r="O230" s="235">
        <f t="shared" si="13"/>
        <v>0</v>
      </c>
      <c r="P230" s="238" t="s">
        <v>632</v>
      </c>
      <c r="Q230" s="1" t="s">
        <v>442</v>
      </c>
      <c r="R230" s="239" t="s">
        <v>633</v>
      </c>
      <c r="S230" s="238" t="s">
        <v>634</v>
      </c>
      <c r="T230" s="238" t="s">
        <v>2320</v>
      </c>
      <c r="U230" s="238" t="s">
        <v>635</v>
      </c>
      <c r="V230" s="238" t="s">
        <v>255</v>
      </c>
      <c r="Y230" s="239"/>
      <c r="Z230" s="239"/>
      <c r="AB230" s="1" t="s">
        <v>384</v>
      </c>
    </row>
    <row r="231" spans="1:28" ht="12" customHeight="1">
      <c r="A231" s="233">
        <v>41072</v>
      </c>
      <c r="B231" s="1" t="s">
        <v>631</v>
      </c>
      <c r="C231" s="1" t="s">
        <v>2086</v>
      </c>
      <c r="D231" s="1" t="s">
        <v>2321</v>
      </c>
      <c r="E231" s="1" t="s">
        <v>2322</v>
      </c>
      <c r="F231" s="5">
        <v>4</v>
      </c>
      <c r="G231" s="1" t="s">
        <v>230</v>
      </c>
      <c r="H231" s="234">
        <v>47.5</v>
      </c>
      <c r="I231" s="236">
        <f t="shared" si="11"/>
        <v>190</v>
      </c>
      <c r="J231" s="351">
        <v>32</v>
      </c>
      <c r="K231" s="241">
        <f>32*F231</f>
        <v>128</v>
      </c>
      <c r="L231" s="237">
        <v>41072</v>
      </c>
      <c r="M231" s="1" t="s">
        <v>345</v>
      </c>
      <c r="N231" s="235">
        <f t="shared" si="12"/>
        <v>190</v>
      </c>
      <c r="O231" s="235">
        <f t="shared" si="13"/>
        <v>0</v>
      </c>
      <c r="P231" s="238" t="s">
        <v>632</v>
      </c>
      <c r="Q231" s="1" t="s">
        <v>442</v>
      </c>
      <c r="R231" s="239" t="s">
        <v>633</v>
      </c>
      <c r="S231" s="238" t="s">
        <v>634</v>
      </c>
      <c r="T231" s="238" t="s">
        <v>2320</v>
      </c>
      <c r="U231" s="238" t="s">
        <v>635</v>
      </c>
      <c r="V231" s="238" t="s">
        <v>255</v>
      </c>
      <c r="Y231" s="239"/>
      <c r="Z231" s="239"/>
      <c r="AB231" s="1" t="s">
        <v>384</v>
      </c>
    </row>
    <row r="232" spans="1:28" ht="11.25" customHeight="1">
      <c r="A232" s="233">
        <v>41072</v>
      </c>
      <c r="B232" s="1" t="s">
        <v>631</v>
      </c>
      <c r="C232" s="1" t="s">
        <v>2086</v>
      </c>
      <c r="D232" s="1" t="s">
        <v>233</v>
      </c>
      <c r="E232" s="1" t="s">
        <v>2091</v>
      </c>
      <c r="F232" s="5">
        <v>6</v>
      </c>
      <c r="G232" s="1" t="s">
        <v>232</v>
      </c>
      <c r="H232" s="234">
        <v>7.5</v>
      </c>
      <c r="I232" s="236">
        <f t="shared" si="11"/>
        <v>45</v>
      </c>
      <c r="J232" s="351">
        <v>5.0999999999999996</v>
      </c>
      <c r="K232" s="241">
        <f>5.1*6</f>
        <v>30.599999999999998</v>
      </c>
      <c r="L232" s="237">
        <v>41072</v>
      </c>
      <c r="M232" s="1" t="s">
        <v>345</v>
      </c>
      <c r="N232" s="235">
        <f t="shared" si="12"/>
        <v>45</v>
      </c>
      <c r="O232" s="235">
        <f t="shared" si="13"/>
        <v>0</v>
      </c>
      <c r="P232" s="238" t="s">
        <v>632</v>
      </c>
      <c r="Q232" s="1" t="s">
        <v>442</v>
      </c>
      <c r="R232" s="239" t="s">
        <v>633</v>
      </c>
      <c r="S232" s="238" t="s">
        <v>634</v>
      </c>
      <c r="T232" s="238" t="s">
        <v>2320</v>
      </c>
      <c r="U232" s="238" t="s">
        <v>635</v>
      </c>
      <c r="V232" s="238" t="s">
        <v>255</v>
      </c>
      <c r="Y232" s="239"/>
      <c r="Z232" s="239"/>
      <c r="AB232" s="1" t="s">
        <v>384</v>
      </c>
    </row>
    <row r="233" spans="1:28" ht="11.25" customHeight="1">
      <c r="A233" s="233">
        <v>41072</v>
      </c>
      <c r="B233" s="1" t="s">
        <v>631</v>
      </c>
      <c r="C233" s="1" t="s">
        <v>2086</v>
      </c>
      <c r="D233" s="1" t="s">
        <v>2242</v>
      </c>
      <c r="E233" s="1">
        <v>501</v>
      </c>
      <c r="F233" s="5">
        <v>2</v>
      </c>
      <c r="G233" s="1" t="s">
        <v>230</v>
      </c>
      <c r="H233" s="234">
        <v>1.8</v>
      </c>
      <c r="I233" s="236">
        <f t="shared" ref="I233:I271" si="14">H233*F233</f>
        <v>3.6</v>
      </c>
      <c r="J233" s="351">
        <v>1.4</v>
      </c>
      <c r="K233" s="241">
        <f>1.4*2</f>
        <v>2.8</v>
      </c>
      <c r="L233" s="237">
        <v>41072</v>
      </c>
      <c r="M233" s="1" t="s">
        <v>345</v>
      </c>
      <c r="N233" s="235">
        <f t="shared" si="12"/>
        <v>3.6</v>
      </c>
      <c r="O233" s="235">
        <f t="shared" si="13"/>
        <v>0</v>
      </c>
      <c r="P233" s="238" t="s">
        <v>632</v>
      </c>
      <c r="Q233" s="1" t="s">
        <v>442</v>
      </c>
      <c r="R233" s="239" t="s">
        <v>633</v>
      </c>
      <c r="S233" s="238" t="s">
        <v>634</v>
      </c>
      <c r="T233" s="238" t="s">
        <v>2320</v>
      </c>
      <c r="U233" s="238" t="s">
        <v>635</v>
      </c>
      <c r="V233" s="238" t="s">
        <v>255</v>
      </c>
      <c r="Y233" s="239"/>
      <c r="Z233" s="239"/>
      <c r="AB233" s="1" t="s">
        <v>384</v>
      </c>
    </row>
    <row r="234" spans="1:28" ht="11.25" customHeight="1">
      <c r="A234" s="233">
        <v>41072</v>
      </c>
      <c r="B234" s="1" t="s">
        <v>2323</v>
      </c>
      <c r="C234" s="1" t="s">
        <v>2086</v>
      </c>
      <c r="D234" s="1" t="s">
        <v>233</v>
      </c>
      <c r="E234" s="1" t="s">
        <v>2129</v>
      </c>
      <c r="F234" s="5">
        <v>8000</v>
      </c>
      <c r="G234" s="1" t="s">
        <v>232</v>
      </c>
      <c r="H234" s="234">
        <v>1.97</v>
      </c>
      <c r="I234" s="236">
        <f t="shared" si="14"/>
        <v>15760</v>
      </c>
      <c r="J234" s="352">
        <v>1.8</v>
      </c>
      <c r="K234" s="241">
        <f>1.8*8000</f>
        <v>14400</v>
      </c>
      <c r="L234" s="237">
        <v>41072</v>
      </c>
      <c r="M234" s="1" t="s">
        <v>2088</v>
      </c>
      <c r="N234" s="235">
        <f t="shared" si="12"/>
        <v>15760</v>
      </c>
      <c r="O234" s="235">
        <f t="shared" si="13"/>
        <v>0</v>
      </c>
      <c r="P234" s="238" t="s">
        <v>636</v>
      </c>
      <c r="Q234" s="1" t="s">
        <v>436</v>
      </c>
      <c r="R234" s="239" t="s">
        <v>637</v>
      </c>
      <c r="S234" s="238" t="s">
        <v>638</v>
      </c>
      <c r="T234" s="238" t="s">
        <v>73</v>
      </c>
      <c r="U234" s="238" t="s">
        <v>639</v>
      </c>
      <c r="V234" s="238" t="s">
        <v>2324</v>
      </c>
      <c r="W234" s="236" t="s">
        <v>2325</v>
      </c>
      <c r="X234" s="233">
        <v>41080</v>
      </c>
      <c r="Y234" s="238" t="s">
        <v>2174</v>
      </c>
      <c r="Z234" s="238"/>
      <c r="AB234" s="1" t="s">
        <v>379</v>
      </c>
    </row>
    <row r="235" spans="1:28" ht="11.25" customHeight="1">
      <c r="A235" s="233">
        <v>41073</v>
      </c>
      <c r="B235" s="1" t="s">
        <v>2326</v>
      </c>
      <c r="C235" s="1" t="s">
        <v>2086</v>
      </c>
      <c r="D235" s="1" t="s">
        <v>2237</v>
      </c>
      <c r="E235" s="1" t="s">
        <v>2091</v>
      </c>
      <c r="F235" s="5">
        <v>12</v>
      </c>
      <c r="G235" s="1" t="s">
        <v>232</v>
      </c>
      <c r="H235" s="234">
        <v>9.1999999999999993</v>
      </c>
      <c r="I235" s="236">
        <f t="shared" si="14"/>
        <v>110.39999999999999</v>
      </c>
      <c r="J235" s="351">
        <v>5.0999999999999996</v>
      </c>
      <c r="K235" s="241">
        <f>5.1*12</f>
        <v>61.199999999999996</v>
      </c>
      <c r="L235" s="237">
        <v>41073</v>
      </c>
      <c r="M235" s="1" t="s">
        <v>302</v>
      </c>
      <c r="N235" s="235">
        <f t="shared" si="12"/>
        <v>110.39999999999999</v>
      </c>
      <c r="O235" s="235">
        <f t="shared" si="13"/>
        <v>0</v>
      </c>
      <c r="P235" s="238" t="s">
        <v>640</v>
      </c>
      <c r="Q235" s="1" t="s">
        <v>393</v>
      </c>
      <c r="R235" s="239" t="s">
        <v>641</v>
      </c>
      <c r="S235" s="238" t="s">
        <v>642</v>
      </c>
      <c r="T235" s="238" t="s">
        <v>2327</v>
      </c>
      <c r="V235" s="238" t="s">
        <v>255</v>
      </c>
      <c r="Y235" s="239"/>
      <c r="Z235" s="239"/>
      <c r="AB235" s="1" t="s">
        <v>384</v>
      </c>
    </row>
    <row r="236" spans="1:28" ht="11.25" customHeight="1">
      <c r="A236" s="233">
        <v>41073</v>
      </c>
      <c r="B236" s="1" t="s">
        <v>2326</v>
      </c>
      <c r="C236" s="1" t="s">
        <v>2086</v>
      </c>
      <c r="D236" s="1" t="s">
        <v>355</v>
      </c>
      <c r="E236" s="1" t="s">
        <v>2087</v>
      </c>
      <c r="F236" s="5">
        <v>2</v>
      </c>
      <c r="G236" s="1" t="s">
        <v>230</v>
      </c>
      <c r="H236" s="234">
        <v>29.3</v>
      </c>
      <c r="I236" s="236">
        <f t="shared" si="14"/>
        <v>58.6</v>
      </c>
      <c r="J236" s="351">
        <v>19</v>
      </c>
      <c r="K236" s="241">
        <f>19*2</f>
        <v>38</v>
      </c>
      <c r="L236" s="237">
        <v>41073</v>
      </c>
      <c r="M236" s="1" t="s">
        <v>302</v>
      </c>
      <c r="N236" s="235">
        <f t="shared" si="12"/>
        <v>58.6</v>
      </c>
      <c r="O236" s="235">
        <f t="shared" si="13"/>
        <v>0</v>
      </c>
      <c r="P236" s="238" t="s">
        <v>640</v>
      </c>
      <c r="Q236" s="1" t="s">
        <v>393</v>
      </c>
      <c r="R236" s="239" t="s">
        <v>641</v>
      </c>
      <c r="S236" s="238" t="s">
        <v>642</v>
      </c>
      <c r="T236" s="238" t="s">
        <v>2327</v>
      </c>
      <c r="V236" s="238" t="s">
        <v>255</v>
      </c>
      <c r="Y236" s="239"/>
      <c r="Z236" s="239"/>
      <c r="AB236" s="1" t="s">
        <v>384</v>
      </c>
    </row>
    <row r="237" spans="1:28" ht="11.25" customHeight="1">
      <c r="A237" s="233">
        <v>41073</v>
      </c>
      <c r="B237" s="1" t="s">
        <v>2326</v>
      </c>
      <c r="C237" s="1" t="s">
        <v>2086</v>
      </c>
      <c r="D237" s="1" t="s">
        <v>2242</v>
      </c>
      <c r="E237" s="1">
        <v>501</v>
      </c>
      <c r="F237" s="5">
        <v>2</v>
      </c>
      <c r="G237" s="1" t="s">
        <v>230</v>
      </c>
      <c r="H237" s="234">
        <v>2.5</v>
      </c>
      <c r="I237" s="236">
        <f t="shared" si="14"/>
        <v>5</v>
      </c>
      <c r="J237" s="351">
        <v>1.4</v>
      </c>
      <c r="K237" s="241">
        <f>1.4*2</f>
        <v>2.8</v>
      </c>
      <c r="L237" s="237">
        <v>41073</v>
      </c>
      <c r="M237" s="1" t="s">
        <v>302</v>
      </c>
      <c r="N237" s="235">
        <f t="shared" si="12"/>
        <v>5</v>
      </c>
      <c r="O237" s="235">
        <f t="shared" si="13"/>
        <v>0</v>
      </c>
      <c r="P237" s="238" t="s">
        <v>640</v>
      </c>
      <c r="Q237" s="1" t="s">
        <v>393</v>
      </c>
      <c r="R237" s="239" t="s">
        <v>641</v>
      </c>
      <c r="S237" s="238" t="s">
        <v>642</v>
      </c>
      <c r="T237" s="238" t="s">
        <v>2327</v>
      </c>
      <c r="V237" s="238" t="s">
        <v>255</v>
      </c>
      <c r="Y237" s="239"/>
      <c r="Z237" s="239"/>
      <c r="AB237" s="1" t="s">
        <v>384</v>
      </c>
    </row>
    <row r="238" spans="1:28" ht="11.25" customHeight="1">
      <c r="A238" s="233">
        <v>41073</v>
      </c>
      <c r="B238" s="1" t="s">
        <v>2326</v>
      </c>
      <c r="C238" s="1" t="s">
        <v>2086</v>
      </c>
      <c r="D238" s="1" t="s">
        <v>241</v>
      </c>
      <c r="E238" s="1">
        <v>6200</v>
      </c>
      <c r="F238" s="5">
        <v>1</v>
      </c>
      <c r="G238" s="1" t="s">
        <v>230</v>
      </c>
      <c r="H238" s="234">
        <v>84</v>
      </c>
      <c r="I238" s="236">
        <f t="shared" si="14"/>
        <v>84</v>
      </c>
      <c r="J238" s="354">
        <v>45.8</v>
      </c>
      <c r="K238" s="241" t="e">
        <f>#REF!*F238</f>
        <v>#REF!</v>
      </c>
      <c r="L238" s="237">
        <v>41073</v>
      </c>
      <c r="M238" s="1" t="s">
        <v>302</v>
      </c>
      <c r="N238" s="235">
        <f t="shared" si="12"/>
        <v>84</v>
      </c>
      <c r="O238" s="235">
        <f t="shared" si="13"/>
        <v>0</v>
      </c>
      <c r="P238" s="238" t="s">
        <v>640</v>
      </c>
      <c r="Q238" s="1" t="s">
        <v>393</v>
      </c>
      <c r="R238" s="239" t="s">
        <v>641</v>
      </c>
      <c r="S238" s="238" t="s">
        <v>642</v>
      </c>
      <c r="T238" s="238" t="s">
        <v>2327</v>
      </c>
      <c r="V238" s="238" t="s">
        <v>255</v>
      </c>
      <c r="Y238" s="239"/>
      <c r="Z238" s="239"/>
      <c r="AB238" s="1" t="s">
        <v>384</v>
      </c>
    </row>
    <row r="239" spans="1:28" ht="11.25" customHeight="1">
      <c r="A239" s="233">
        <v>41073</v>
      </c>
      <c r="B239" s="1" t="s">
        <v>2326</v>
      </c>
      <c r="C239" s="1" t="s">
        <v>2086</v>
      </c>
      <c r="D239" s="1" t="s">
        <v>2103</v>
      </c>
      <c r="E239" s="1" t="s">
        <v>2104</v>
      </c>
      <c r="F239" s="5">
        <v>10</v>
      </c>
      <c r="G239" s="1" t="s">
        <v>5002</v>
      </c>
      <c r="H239" s="234">
        <v>2.6</v>
      </c>
      <c r="I239" s="236">
        <f t="shared" si="14"/>
        <v>26</v>
      </c>
      <c r="J239" s="351">
        <v>1.6</v>
      </c>
      <c r="K239" s="241">
        <f>1.6*10</f>
        <v>16</v>
      </c>
      <c r="L239" s="237">
        <v>41073</v>
      </c>
      <c r="M239" s="1" t="s">
        <v>302</v>
      </c>
      <c r="N239" s="235">
        <f t="shared" si="12"/>
        <v>26</v>
      </c>
      <c r="O239" s="235">
        <f t="shared" si="13"/>
        <v>0</v>
      </c>
      <c r="P239" s="238" t="s">
        <v>640</v>
      </c>
      <c r="Q239" s="1" t="s">
        <v>393</v>
      </c>
      <c r="R239" s="239" t="s">
        <v>641</v>
      </c>
      <c r="S239" s="238" t="s">
        <v>642</v>
      </c>
      <c r="T239" s="238" t="s">
        <v>2327</v>
      </c>
      <c r="V239" s="238" t="s">
        <v>255</v>
      </c>
      <c r="Y239" s="239"/>
      <c r="Z239" s="239"/>
      <c r="AB239" s="1" t="s">
        <v>384</v>
      </c>
    </row>
    <row r="240" spans="1:28" ht="11.25" customHeight="1">
      <c r="A240" s="233">
        <v>41073</v>
      </c>
      <c r="B240" s="1" t="s">
        <v>643</v>
      </c>
      <c r="C240" s="1" t="s">
        <v>2086</v>
      </c>
      <c r="D240" s="1" t="s">
        <v>2103</v>
      </c>
      <c r="E240" s="1" t="s">
        <v>2104</v>
      </c>
      <c r="F240" s="5">
        <v>100</v>
      </c>
      <c r="G240" s="1" t="s">
        <v>5002</v>
      </c>
      <c r="H240" s="234">
        <v>2</v>
      </c>
      <c r="I240" s="236">
        <f t="shared" ref="I240:I246" si="15">H240*F240</f>
        <v>200</v>
      </c>
      <c r="J240" s="351">
        <v>1.6</v>
      </c>
      <c r="K240" s="241" t="e">
        <f>#REF!*F240</f>
        <v>#REF!</v>
      </c>
      <c r="L240" s="237">
        <v>41073</v>
      </c>
      <c r="M240" s="1" t="s">
        <v>302</v>
      </c>
      <c r="N240" s="235">
        <f t="shared" si="12"/>
        <v>200</v>
      </c>
      <c r="O240" s="235">
        <f t="shared" si="13"/>
        <v>0</v>
      </c>
      <c r="P240" s="238" t="s">
        <v>644</v>
      </c>
      <c r="Q240" s="1" t="s">
        <v>393</v>
      </c>
      <c r="R240" s="239" t="s">
        <v>2328</v>
      </c>
      <c r="S240" s="238" t="s">
        <v>21</v>
      </c>
      <c r="T240" s="238" t="s">
        <v>2131</v>
      </c>
      <c r="V240" s="238" t="s">
        <v>255</v>
      </c>
      <c r="Y240" s="239"/>
      <c r="Z240" s="239"/>
      <c r="AB240" s="1" t="s">
        <v>384</v>
      </c>
    </row>
    <row r="241" spans="1:28" ht="11.25" customHeight="1">
      <c r="A241" s="233">
        <v>41073</v>
      </c>
      <c r="B241" s="1" t="s">
        <v>643</v>
      </c>
      <c r="C241" s="1" t="s">
        <v>2086</v>
      </c>
      <c r="D241" s="1" t="s">
        <v>2117</v>
      </c>
      <c r="E241" s="1" t="s">
        <v>2087</v>
      </c>
      <c r="F241" s="5">
        <v>2</v>
      </c>
      <c r="G241" s="1" t="s">
        <v>230</v>
      </c>
      <c r="H241" s="234">
        <v>22.9</v>
      </c>
      <c r="I241" s="1">
        <f t="shared" si="15"/>
        <v>45.8</v>
      </c>
      <c r="J241" s="351">
        <v>19</v>
      </c>
      <c r="K241" s="241" t="e">
        <f>#REF!*F241</f>
        <v>#REF!</v>
      </c>
      <c r="L241" s="237">
        <v>41073</v>
      </c>
      <c r="M241" s="1" t="s">
        <v>302</v>
      </c>
      <c r="N241" s="235">
        <f t="shared" si="12"/>
        <v>45.8</v>
      </c>
      <c r="O241" s="235">
        <f t="shared" si="13"/>
        <v>0</v>
      </c>
      <c r="P241" s="238" t="s">
        <v>644</v>
      </c>
      <c r="Q241" s="1" t="s">
        <v>393</v>
      </c>
      <c r="R241" s="239" t="s">
        <v>2328</v>
      </c>
      <c r="S241" s="238" t="s">
        <v>21</v>
      </c>
      <c r="T241" s="238" t="s">
        <v>2131</v>
      </c>
      <c r="V241" s="238" t="s">
        <v>255</v>
      </c>
      <c r="Y241" s="239"/>
      <c r="Z241" s="239"/>
      <c r="AB241" s="1" t="s">
        <v>384</v>
      </c>
    </row>
    <row r="242" spans="1:28" ht="11.25" customHeight="1">
      <c r="A242" s="233">
        <v>41073</v>
      </c>
      <c r="B242" s="1" t="s">
        <v>643</v>
      </c>
      <c r="C242" s="1" t="s">
        <v>2086</v>
      </c>
      <c r="D242" s="1" t="s">
        <v>264</v>
      </c>
      <c r="E242" s="1">
        <v>501</v>
      </c>
      <c r="F242" s="5">
        <v>2</v>
      </c>
      <c r="G242" s="1" t="s">
        <v>230</v>
      </c>
      <c r="H242" s="234">
        <v>1.9</v>
      </c>
      <c r="I242" s="1">
        <f t="shared" si="15"/>
        <v>3.8</v>
      </c>
      <c r="J242" s="351">
        <v>1.4</v>
      </c>
      <c r="K242" s="241" t="e">
        <f>#REF!*F242</f>
        <v>#REF!</v>
      </c>
      <c r="L242" s="237">
        <v>41073</v>
      </c>
      <c r="M242" s="1" t="s">
        <v>302</v>
      </c>
      <c r="N242" s="235">
        <f t="shared" si="12"/>
        <v>3.8</v>
      </c>
      <c r="O242" s="235">
        <f t="shared" si="13"/>
        <v>0</v>
      </c>
      <c r="P242" s="238" t="s">
        <v>644</v>
      </c>
      <c r="Q242" s="1" t="s">
        <v>393</v>
      </c>
      <c r="R242" s="239" t="s">
        <v>2329</v>
      </c>
      <c r="S242" s="238" t="s">
        <v>21</v>
      </c>
      <c r="T242" s="238" t="s">
        <v>2097</v>
      </c>
      <c r="V242" s="238" t="s">
        <v>255</v>
      </c>
      <c r="Y242" s="239"/>
      <c r="Z242" s="239"/>
      <c r="AB242" s="1" t="s">
        <v>384</v>
      </c>
    </row>
    <row r="243" spans="1:28" ht="11.25" customHeight="1">
      <c r="A243" s="233">
        <v>41073</v>
      </c>
      <c r="B243" s="1" t="s">
        <v>643</v>
      </c>
      <c r="C243" s="1" t="s">
        <v>2086</v>
      </c>
      <c r="D243" s="1" t="s">
        <v>2120</v>
      </c>
      <c r="E243" s="1">
        <v>6200</v>
      </c>
      <c r="F243" s="5">
        <v>1</v>
      </c>
      <c r="G243" s="1" t="s">
        <v>230</v>
      </c>
      <c r="H243" s="234">
        <v>65.819999999999993</v>
      </c>
      <c r="I243" s="1">
        <f t="shared" si="15"/>
        <v>65.819999999999993</v>
      </c>
      <c r="J243" s="354">
        <v>45.8</v>
      </c>
      <c r="K243" s="241" t="e">
        <f>#REF!*F243</f>
        <v>#REF!</v>
      </c>
      <c r="L243" s="237">
        <v>41073</v>
      </c>
      <c r="M243" s="1" t="s">
        <v>302</v>
      </c>
      <c r="N243" s="235">
        <f t="shared" si="12"/>
        <v>65.819999999999993</v>
      </c>
      <c r="O243" s="235">
        <f t="shared" si="13"/>
        <v>0</v>
      </c>
      <c r="P243" s="238" t="s">
        <v>644</v>
      </c>
      <c r="Q243" s="1" t="s">
        <v>393</v>
      </c>
      <c r="R243" s="239" t="s">
        <v>2328</v>
      </c>
      <c r="S243" s="238" t="s">
        <v>21</v>
      </c>
      <c r="T243" s="238" t="s">
        <v>2131</v>
      </c>
      <c r="V243" s="238" t="s">
        <v>255</v>
      </c>
      <c r="Y243" s="239"/>
      <c r="Z243" s="239"/>
      <c r="AB243" s="1" t="s">
        <v>384</v>
      </c>
    </row>
    <row r="244" spans="1:28" ht="11.25" customHeight="1">
      <c r="A244" s="233">
        <v>41073</v>
      </c>
      <c r="B244" s="1" t="s">
        <v>643</v>
      </c>
      <c r="C244" s="1" t="s">
        <v>2086</v>
      </c>
      <c r="D244" s="1" t="s">
        <v>233</v>
      </c>
      <c r="E244" s="1" t="s">
        <v>2091</v>
      </c>
      <c r="F244" s="5">
        <v>2</v>
      </c>
      <c r="G244" s="1" t="s">
        <v>232</v>
      </c>
      <c r="H244" s="234">
        <v>7.29</v>
      </c>
      <c r="I244" s="1">
        <f t="shared" si="15"/>
        <v>14.58</v>
      </c>
      <c r="J244" s="351">
        <v>5.0999999999999996</v>
      </c>
      <c r="K244" s="241" t="e">
        <f>#REF!*F244</f>
        <v>#REF!</v>
      </c>
      <c r="L244" s="237">
        <v>41073</v>
      </c>
      <c r="M244" s="1" t="s">
        <v>302</v>
      </c>
      <c r="N244" s="235">
        <f t="shared" si="12"/>
        <v>14.58</v>
      </c>
      <c r="O244" s="235">
        <f t="shared" si="13"/>
        <v>0</v>
      </c>
      <c r="P244" s="238" t="s">
        <v>644</v>
      </c>
      <c r="Q244" s="1" t="s">
        <v>393</v>
      </c>
      <c r="R244" s="239" t="s">
        <v>2328</v>
      </c>
      <c r="S244" s="238" t="s">
        <v>21</v>
      </c>
      <c r="T244" s="238" t="s">
        <v>2131</v>
      </c>
      <c r="V244" s="238" t="s">
        <v>255</v>
      </c>
      <c r="Y244" s="239"/>
      <c r="Z244" s="239"/>
      <c r="AB244" s="1" t="s">
        <v>384</v>
      </c>
    </row>
    <row r="245" spans="1:28" ht="11.25" customHeight="1">
      <c r="A245" s="233">
        <v>41073</v>
      </c>
      <c r="B245" s="1" t="s">
        <v>643</v>
      </c>
      <c r="C245" s="1" t="s">
        <v>2086</v>
      </c>
      <c r="D245" s="1" t="s">
        <v>2251</v>
      </c>
      <c r="E245" s="1">
        <v>3700</v>
      </c>
      <c r="F245" s="5">
        <v>1</v>
      </c>
      <c r="G245" s="1" t="s">
        <v>230</v>
      </c>
      <c r="H245" s="234">
        <v>4.5</v>
      </c>
      <c r="I245" s="1">
        <f t="shared" si="15"/>
        <v>4.5</v>
      </c>
      <c r="J245" s="351">
        <v>3.7</v>
      </c>
      <c r="K245" s="241" t="e">
        <f>#REF!*F245</f>
        <v>#REF!</v>
      </c>
      <c r="L245" s="237">
        <v>41073</v>
      </c>
      <c r="M245" s="1" t="s">
        <v>302</v>
      </c>
      <c r="N245" s="235">
        <f t="shared" si="12"/>
        <v>4.5</v>
      </c>
      <c r="O245" s="235">
        <f t="shared" si="13"/>
        <v>0</v>
      </c>
      <c r="P245" s="238" t="s">
        <v>644</v>
      </c>
      <c r="Q245" s="1" t="s">
        <v>393</v>
      </c>
      <c r="R245" s="239" t="s">
        <v>2328</v>
      </c>
      <c r="S245" s="238" t="s">
        <v>21</v>
      </c>
      <c r="T245" s="238" t="s">
        <v>2131</v>
      </c>
      <c r="V245" s="238" t="s">
        <v>255</v>
      </c>
      <c r="Y245" s="239"/>
      <c r="Z245" s="239"/>
      <c r="AB245" s="1" t="s">
        <v>384</v>
      </c>
    </row>
    <row r="246" spans="1:28" ht="11.25" customHeight="1">
      <c r="A246" s="233">
        <v>41073</v>
      </c>
      <c r="B246" s="1" t="s">
        <v>643</v>
      </c>
      <c r="C246" s="1" t="s">
        <v>2086</v>
      </c>
      <c r="D246" s="1" t="s">
        <v>1216</v>
      </c>
      <c r="E246" s="1">
        <v>3200</v>
      </c>
      <c r="F246" s="5">
        <v>1</v>
      </c>
      <c r="G246" s="1" t="s">
        <v>230</v>
      </c>
      <c r="H246" s="234">
        <v>34.299999999999997</v>
      </c>
      <c r="I246" s="1">
        <f t="shared" si="15"/>
        <v>34.299999999999997</v>
      </c>
      <c r="J246" s="65">
        <v>28.73</v>
      </c>
      <c r="K246" s="241" t="e">
        <f>#REF!*F246</f>
        <v>#REF!</v>
      </c>
      <c r="L246" s="237">
        <v>41073</v>
      </c>
      <c r="M246" s="1" t="s">
        <v>302</v>
      </c>
      <c r="N246" s="235">
        <f t="shared" si="12"/>
        <v>34.299999999999997</v>
      </c>
      <c r="O246" s="235">
        <f t="shared" si="13"/>
        <v>0</v>
      </c>
      <c r="P246" s="238" t="s">
        <v>644</v>
      </c>
      <c r="Q246" s="1" t="s">
        <v>393</v>
      </c>
      <c r="R246" s="239" t="s">
        <v>2328</v>
      </c>
      <c r="S246" s="238" t="s">
        <v>21</v>
      </c>
      <c r="T246" s="238" t="s">
        <v>2131</v>
      </c>
      <c r="V246" s="238" t="s">
        <v>255</v>
      </c>
      <c r="Y246" s="239"/>
      <c r="Z246" s="239" t="s">
        <v>2330</v>
      </c>
      <c r="AB246" s="1" t="s">
        <v>384</v>
      </c>
    </row>
    <row r="247" spans="1:28" ht="11.25" customHeight="1">
      <c r="A247" s="233">
        <v>41073</v>
      </c>
      <c r="B247" s="1" t="s">
        <v>643</v>
      </c>
      <c r="C247" s="1" t="s">
        <v>2086</v>
      </c>
      <c r="D247" s="1" t="s">
        <v>2237</v>
      </c>
      <c r="E247" s="1" t="s">
        <v>2129</v>
      </c>
      <c r="F247" s="5">
        <v>1</v>
      </c>
      <c r="G247" s="1" t="s">
        <v>232</v>
      </c>
      <c r="H247" s="234">
        <v>2.2000000000000002</v>
      </c>
      <c r="I247" s="236">
        <f t="shared" si="14"/>
        <v>2.2000000000000002</v>
      </c>
      <c r="J247" s="352">
        <v>0</v>
      </c>
      <c r="K247" s="254">
        <v>0</v>
      </c>
      <c r="L247" s="237">
        <v>41073</v>
      </c>
      <c r="M247" s="1" t="s">
        <v>302</v>
      </c>
      <c r="N247" s="235">
        <f t="shared" si="12"/>
        <v>2.2000000000000002</v>
      </c>
      <c r="O247" s="235">
        <f t="shared" si="13"/>
        <v>0</v>
      </c>
      <c r="P247" s="238" t="s">
        <v>644</v>
      </c>
      <c r="Q247" s="1" t="s">
        <v>393</v>
      </c>
      <c r="R247" s="239" t="s">
        <v>2328</v>
      </c>
      <c r="S247" s="238" t="s">
        <v>21</v>
      </c>
      <c r="T247" s="238" t="s">
        <v>2131</v>
      </c>
      <c r="V247" s="238" t="s">
        <v>255</v>
      </c>
      <c r="Y247" s="239"/>
      <c r="Z247" s="239"/>
      <c r="AB247" s="1" t="s">
        <v>384</v>
      </c>
    </row>
    <row r="248" spans="1:28" ht="11.25" customHeight="1">
      <c r="A248" s="233">
        <v>41074</v>
      </c>
      <c r="B248" s="1" t="s">
        <v>2331</v>
      </c>
      <c r="C248" s="1" t="s">
        <v>2086</v>
      </c>
      <c r="D248" s="1" t="s">
        <v>2103</v>
      </c>
      <c r="E248" s="1" t="s">
        <v>2104</v>
      </c>
      <c r="F248" s="5">
        <v>4000</v>
      </c>
      <c r="G248" s="1" t="s">
        <v>5002</v>
      </c>
      <c r="H248" s="234">
        <v>1.65</v>
      </c>
      <c r="I248" s="236">
        <f t="shared" si="14"/>
        <v>6600</v>
      </c>
      <c r="J248" s="351">
        <v>1.58</v>
      </c>
      <c r="K248" s="241" t="e">
        <f>F248*#REF!</f>
        <v>#REF!</v>
      </c>
      <c r="L248" s="237">
        <v>41074</v>
      </c>
      <c r="M248" s="1" t="s">
        <v>332</v>
      </c>
      <c r="N248" s="235">
        <f t="shared" si="12"/>
        <v>6600</v>
      </c>
      <c r="O248" s="235">
        <f t="shared" si="13"/>
        <v>0</v>
      </c>
      <c r="P248" s="238" t="s">
        <v>644</v>
      </c>
      <c r="Q248" s="1" t="s">
        <v>393</v>
      </c>
      <c r="S248" s="238" t="s">
        <v>645</v>
      </c>
      <c r="T248" s="238" t="s">
        <v>2131</v>
      </c>
      <c r="U248" s="238" t="s">
        <v>2131</v>
      </c>
      <c r="V248" s="238" t="s">
        <v>646</v>
      </c>
      <c r="W248" s="236">
        <v>6660</v>
      </c>
      <c r="X248" s="233">
        <v>41074</v>
      </c>
      <c r="Y248" s="238" t="s">
        <v>2131</v>
      </c>
      <c r="Z248" s="239"/>
      <c r="AB248" s="1" t="s">
        <v>379</v>
      </c>
    </row>
    <row r="249" spans="1:28" ht="11.25" customHeight="1">
      <c r="A249" s="233">
        <v>41074</v>
      </c>
      <c r="B249" s="1" t="s">
        <v>643</v>
      </c>
      <c r="C249" s="1" t="s">
        <v>2086</v>
      </c>
      <c r="D249" s="1" t="s">
        <v>2117</v>
      </c>
      <c r="E249" s="1" t="s">
        <v>2087</v>
      </c>
      <c r="F249" s="5">
        <v>22</v>
      </c>
      <c r="G249" s="1" t="s">
        <v>230</v>
      </c>
      <c r="H249" s="234">
        <v>22.9</v>
      </c>
      <c r="I249" s="236">
        <f t="shared" si="14"/>
        <v>503.79999999999995</v>
      </c>
      <c r="J249" s="351">
        <v>19</v>
      </c>
      <c r="K249" s="241" t="e">
        <f>F249*#REF!</f>
        <v>#REF!</v>
      </c>
      <c r="L249" s="237">
        <v>41074</v>
      </c>
      <c r="M249" s="1" t="s">
        <v>302</v>
      </c>
      <c r="N249" s="235">
        <f t="shared" si="12"/>
        <v>503.79999999999995</v>
      </c>
      <c r="O249" s="235">
        <f t="shared" si="13"/>
        <v>0</v>
      </c>
      <c r="P249" s="238" t="s">
        <v>647</v>
      </c>
      <c r="Q249" s="1" t="s">
        <v>393</v>
      </c>
      <c r="R249" s="239" t="s">
        <v>2328</v>
      </c>
      <c r="S249" s="238" t="s">
        <v>21</v>
      </c>
      <c r="T249" s="238" t="s">
        <v>2131</v>
      </c>
      <c r="V249" s="238" t="s">
        <v>255</v>
      </c>
      <c r="Y249" s="239"/>
      <c r="Z249" s="239"/>
      <c r="AB249" s="1" t="s">
        <v>384</v>
      </c>
    </row>
    <row r="250" spans="1:28" ht="11.25" customHeight="1">
      <c r="A250" s="233">
        <v>41074</v>
      </c>
      <c r="B250" s="1" t="s">
        <v>643</v>
      </c>
      <c r="C250" s="1" t="s">
        <v>2086</v>
      </c>
      <c r="D250" s="1" t="s">
        <v>264</v>
      </c>
      <c r="E250" s="1">
        <v>501</v>
      </c>
      <c r="F250" s="5">
        <v>10</v>
      </c>
      <c r="G250" s="1" t="s">
        <v>230</v>
      </c>
      <c r="H250" s="234">
        <v>1.9</v>
      </c>
      <c r="I250" s="236">
        <f t="shared" si="14"/>
        <v>19</v>
      </c>
      <c r="J250" s="351">
        <v>1.4</v>
      </c>
      <c r="K250" s="241" t="e">
        <f>F250*#REF!</f>
        <v>#REF!</v>
      </c>
      <c r="L250" s="237">
        <v>41074</v>
      </c>
      <c r="M250" s="1" t="s">
        <v>302</v>
      </c>
      <c r="N250" s="235">
        <f t="shared" si="12"/>
        <v>19</v>
      </c>
      <c r="O250" s="235">
        <f t="shared" si="13"/>
        <v>0</v>
      </c>
      <c r="P250" s="238" t="s">
        <v>647</v>
      </c>
      <c r="Q250" s="1" t="s">
        <v>393</v>
      </c>
      <c r="R250" s="239" t="s">
        <v>2329</v>
      </c>
      <c r="S250" s="238" t="s">
        <v>21</v>
      </c>
      <c r="T250" s="238" t="s">
        <v>2097</v>
      </c>
      <c r="V250" s="238" t="s">
        <v>255</v>
      </c>
      <c r="Y250" s="239"/>
      <c r="Z250" s="239"/>
      <c r="AB250" s="1" t="s">
        <v>384</v>
      </c>
    </row>
    <row r="251" spans="1:28" ht="11.25" customHeight="1">
      <c r="A251" s="233">
        <v>41074</v>
      </c>
      <c r="B251" s="1" t="s">
        <v>643</v>
      </c>
      <c r="C251" s="1" t="s">
        <v>2086</v>
      </c>
      <c r="D251" s="1" t="s">
        <v>2120</v>
      </c>
      <c r="E251" s="1">
        <v>6200</v>
      </c>
      <c r="F251" s="5">
        <v>5</v>
      </c>
      <c r="G251" s="1" t="s">
        <v>230</v>
      </c>
      <c r="H251" s="234">
        <v>65.819999999999993</v>
      </c>
      <c r="I251" s="236">
        <f t="shared" si="14"/>
        <v>329.09999999999997</v>
      </c>
      <c r="J251" s="355">
        <v>45.8</v>
      </c>
      <c r="K251" s="241" t="e">
        <f>#REF!*F251</f>
        <v>#REF!</v>
      </c>
      <c r="L251" s="237">
        <v>41074</v>
      </c>
      <c r="M251" s="1" t="s">
        <v>302</v>
      </c>
      <c r="N251" s="235">
        <f t="shared" si="12"/>
        <v>329.09999999999997</v>
      </c>
      <c r="O251" s="235">
        <f t="shared" si="13"/>
        <v>0</v>
      </c>
      <c r="P251" s="238" t="s">
        <v>647</v>
      </c>
      <c r="Q251" s="1" t="s">
        <v>393</v>
      </c>
      <c r="R251" s="239" t="s">
        <v>2328</v>
      </c>
      <c r="S251" s="238" t="s">
        <v>21</v>
      </c>
      <c r="T251" s="238" t="s">
        <v>2131</v>
      </c>
      <c r="V251" s="238" t="s">
        <v>255</v>
      </c>
      <c r="Y251" s="239"/>
      <c r="Z251" s="239"/>
      <c r="AB251" s="1" t="s">
        <v>384</v>
      </c>
    </row>
    <row r="252" spans="1:28" ht="11.25" customHeight="1">
      <c r="A252" s="233">
        <v>41074</v>
      </c>
      <c r="B252" s="1" t="s">
        <v>643</v>
      </c>
      <c r="C252" s="1" t="s">
        <v>2086</v>
      </c>
      <c r="D252" s="1" t="s">
        <v>348</v>
      </c>
      <c r="E252" s="1">
        <v>3700</v>
      </c>
      <c r="F252" s="5">
        <v>3</v>
      </c>
      <c r="G252" s="1" t="s">
        <v>230</v>
      </c>
      <c r="H252" s="234">
        <v>4.5</v>
      </c>
      <c r="I252" s="236">
        <f t="shared" si="14"/>
        <v>13.5</v>
      </c>
      <c r="J252" s="351">
        <v>3.7</v>
      </c>
      <c r="K252" s="241" t="e">
        <f>F252*#REF!</f>
        <v>#REF!</v>
      </c>
      <c r="L252" s="237">
        <v>41074</v>
      </c>
      <c r="M252" s="1" t="s">
        <v>302</v>
      </c>
      <c r="N252" s="235">
        <f t="shared" si="12"/>
        <v>13.5</v>
      </c>
      <c r="O252" s="235">
        <f t="shared" si="13"/>
        <v>0</v>
      </c>
      <c r="P252" s="238" t="s">
        <v>647</v>
      </c>
      <c r="Q252" s="1" t="s">
        <v>393</v>
      </c>
      <c r="R252" s="239" t="s">
        <v>2328</v>
      </c>
      <c r="S252" s="238" t="s">
        <v>21</v>
      </c>
      <c r="T252" s="238" t="s">
        <v>2131</v>
      </c>
      <c r="V252" s="238" t="s">
        <v>255</v>
      </c>
      <c r="Y252" s="239"/>
      <c r="Z252" s="239"/>
      <c r="AB252" s="1" t="s">
        <v>384</v>
      </c>
    </row>
    <row r="253" spans="1:28" ht="11.25" customHeight="1">
      <c r="A253" s="233">
        <v>41074</v>
      </c>
      <c r="B253" s="1" t="s">
        <v>643</v>
      </c>
      <c r="C253" s="1" t="s">
        <v>2086</v>
      </c>
      <c r="D253" s="1" t="s">
        <v>2332</v>
      </c>
      <c r="E253" s="1">
        <v>3200</v>
      </c>
      <c r="F253" s="5">
        <v>3</v>
      </c>
      <c r="G253" s="1" t="s">
        <v>230</v>
      </c>
      <c r="H253" s="234">
        <v>34.299999999999997</v>
      </c>
      <c r="I253" s="236">
        <f t="shared" si="14"/>
        <v>102.89999999999999</v>
      </c>
      <c r="J253" s="351">
        <v>28.73</v>
      </c>
      <c r="K253" s="241" t="e">
        <f>F253*#REF!</f>
        <v>#REF!</v>
      </c>
      <c r="L253" s="237">
        <v>41074</v>
      </c>
      <c r="M253" s="1" t="s">
        <v>302</v>
      </c>
      <c r="N253" s="235">
        <f t="shared" si="12"/>
        <v>102.89999999999999</v>
      </c>
      <c r="O253" s="235">
        <f t="shared" si="13"/>
        <v>0</v>
      </c>
      <c r="P253" s="238" t="s">
        <v>647</v>
      </c>
      <c r="Q253" s="1" t="s">
        <v>393</v>
      </c>
      <c r="R253" s="239" t="s">
        <v>2328</v>
      </c>
      <c r="S253" s="238" t="s">
        <v>21</v>
      </c>
      <c r="T253" s="238" t="s">
        <v>2131</v>
      </c>
      <c r="V253" s="238" t="s">
        <v>255</v>
      </c>
      <c r="Y253" s="239"/>
      <c r="Z253" s="239"/>
      <c r="AB253" s="1" t="s">
        <v>384</v>
      </c>
    </row>
    <row r="254" spans="1:28" ht="11.25" customHeight="1">
      <c r="A254" s="233">
        <v>41074</v>
      </c>
      <c r="B254" s="1" t="s">
        <v>643</v>
      </c>
      <c r="C254" s="1" t="s">
        <v>2086</v>
      </c>
      <c r="D254" s="1" t="s">
        <v>2103</v>
      </c>
      <c r="E254" s="1" t="s">
        <v>2104</v>
      </c>
      <c r="F254" s="5">
        <v>100</v>
      </c>
      <c r="G254" s="1" t="s">
        <v>5002</v>
      </c>
      <c r="H254" s="234">
        <v>2</v>
      </c>
      <c r="I254" s="236">
        <f t="shared" si="14"/>
        <v>200</v>
      </c>
      <c r="J254" s="351">
        <v>1.6</v>
      </c>
      <c r="K254" s="241" t="e">
        <f>F254*#REF!</f>
        <v>#REF!</v>
      </c>
      <c r="L254" s="237">
        <v>41074</v>
      </c>
      <c r="M254" s="1" t="s">
        <v>302</v>
      </c>
      <c r="N254" s="235">
        <f t="shared" si="12"/>
        <v>200</v>
      </c>
      <c r="O254" s="235">
        <f t="shared" si="13"/>
        <v>0</v>
      </c>
      <c r="P254" s="238" t="s">
        <v>647</v>
      </c>
      <c r="Q254" s="1" t="s">
        <v>393</v>
      </c>
      <c r="R254" s="239" t="s">
        <v>2328</v>
      </c>
      <c r="S254" s="238" t="s">
        <v>21</v>
      </c>
      <c r="T254" s="238" t="s">
        <v>2131</v>
      </c>
      <c r="V254" s="238" t="s">
        <v>255</v>
      </c>
      <c r="Y254" s="239"/>
      <c r="Z254" s="239"/>
      <c r="AB254" s="1" t="s">
        <v>384</v>
      </c>
    </row>
    <row r="255" spans="1:28" ht="11.25" customHeight="1">
      <c r="A255" s="233">
        <v>41074</v>
      </c>
      <c r="B255" s="1" t="s">
        <v>643</v>
      </c>
      <c r="C255" s="1" t="s">
        <v>2086</v>
      </c>
      <c r="D255" s="1" t="s">
        <v>2237</v>
      </c>
      <c r="E255" s="1" t="s">
        <v>2129</v>
      </c>
      <c r="F255" s="5">
        <v>50</v>
      </c>
      <c r="G255" s="1" t="s">
        <v>232</v>
      </c>
      <c r="H255" s="234">
        <v>2.2000000000000002</v>
      </c>
      <c r="I255" s="236">
        <f t="shared" si="14"/>
        <v>110.00000000000001</v>
      </c>
      <c r="J255" s="352">
        <v>1.827</v>
      </c>
      <c r="K255" s="241" t="e">
        <f>F255*#REF!</f>
        <v>#REF!</v>
      </c>
      <c r="L255" s="237">
        <v>41074</v>
      </c>
      <c r="M255" s="1" t="s">
        <v>302</v>
      </c>
      <c r="N255" s="235">
        <f t="shared" si="12"/>
        <v>110.00000000000001</v>
      </c>
      <c r="O255" s="235">
        <f t="shared" si="13"/>
        <v>0</v>
      </c>
      <c r="P255" s="238" t="s">
        <v>647</v>
      </c>
      <c r="Q255" s="1" t="s">
        <v>393</v>
      </c>
      <c r="R255" s="239" t="s">
        <v>2328</v>
      </c>
      <c r="S255" s="238" t="s">
        <v>21</v>
      </c>
      <c r="T255" s="238" t="s">
        <v>2131</v>
      </c>
      <c r="V255" s="238" t="s">
        <v>255</v>
      </c>
      <c r="Y255" s="239"/>
      <c r="Z255" s="239"/>
      <c r="AB255" s="1" t="s">
        <v>384</v>
      </c>
    </row>
    <row r="256" spans="1:28" ht="11.25" customHeight="1">
      <c r="A256" s="233">
        <v>41074</v>
      </c>
      <c r="B256" s="1" t="s">
        <v>643</v>
      </c>
      <c r="C256" s="1" t="s">
        <v>2086</v>
      </c>
      <c r="D256" s="1" t="s">
        <v>233</v>
      </c>
      <c r="E256" s="1" t="s">
        <v>2091</v>
      </c>
      <c r="F256" s="5">
        <v>30</v>
      </c>
      <c r="G256" s="1" t="s">
        <v>232</v>
      </c>
      <c r="H256" s="234">
        <v>7.29</v>
      </c>
      <c r="I256" s="236">
        <f t="shared" si="14"/>
        <v>218.7</v>
      </c>
      <c r="J256" s="351">
        <v>5.0999999999999996</v>
      </c>
      <c r="K256" s="241" t="e">
        <f>F256*#REF!</f>
        <v>#REF!</v>
      </c>
      <c r="L256" s="237">
        <v>41074</v>
      </c>
      <c r="M256" s="1" t="s">
        <v>302</v>
      </c>
      <c r="N256" s="235">
        <f t="shared" si="12"/>
        <v>218.7</v>
      </c>
      <c r="O256" s="235">
        <f t="shared" si="13"/>
        <v>0</v>
      </c>
      <c r="P256" s="238" t="s">
        <v>647</v>
      </c>
      <c r="Q256" s="1" t="s">
        <v>393</v>
      </c>
      <c r="R256" s="239" t="s">
        <v>2328</v>
      </c>
      <c r="S256" s="238" t="s">
        <v>21</v>
      </c>
      <c r="T256" s="238" t="s">
        <v>2131</v>
      </c>
      <c r="V256" s="238" t="s">
        <v>255</v>
      </c>
      <c r="Y256" s="239"/>
      <c r="Z256" s="239"/>
      <c r="AB256" s="1" t="s">
        <v>384</v>
      </c>
    </row>
    <row r="257" spans="1:28" ht="11.25" customHeight="1">
      <c r="A257" s="233">
        <v>41078</v>
      </c>
      <c r="B257" s="1" t="s">
        <v>2333</v>
      </c>
      <c r="C257" s="1" t="s">
        <v>2086</v>
      </c>
      <c r="D257" s="1" t="s">
        <v>2242</v>
      </c>
      <c r="E257" s="1" t="s">
        <v>2334</v>
      </c>
      <c r="F257" s="5">
        <v>80</v>
      </c>
      <c r="G257" s="1" t="s">
        <v>2115</v>
      </c>
      <c r="H257" s="234">
        <v>2.1</v>
      </c>
      <c r="I257" s="236">
        <f t="shared" si="14"/>
        <v>168</v>
      </c>
      <c r="J257" s="351">
        <v>1.92</v>
      </c>
      <c r="K257" s="241">
        <f>1.92*80</f>
        <v>153.6</v>
      </c>
      <c r="L257" s="237">
        <v>41078</v>
      </c>
      <c r="M257" s="1" t="s">
        <v>302</v>
      </c>
      <c r="N257" s="235">
        <f t="shared" si="12"/>
        <v>168</v>
      </c>
      <c r="O257" s="235">
        <f t="shared" si="13"/>
        <v>0</v>
      </c>
      <c r="P257" s="238" t="s">
        <v>2335</v>
      </c>
      <c r="Q257" s="1" t="s">
        <v>393</v>
      </c>
      <c r="R257" s="239" t="s">
        <v>2336</v>
      </c>
      <c r="S257" s="238" t="s">
        <v>2337</v>
      </c>
      <c r="T257" s="238" t="s">
        <v>803</v>
      </c>
      <c r="V257" s="238" t="s">
        <v>2338</v>
      </c>
      <c r="W257" s="236">
        <v>3327.9</v>
      </c>
      <c r="X257" s="233">
        <v>41087</v>
      </c>
      <c r="Y257" s="239"/>
      <c r="Z257" s="239"/>
      <c r="AB257" s="1" t="s">
        <v>379</v>
      </c>
    </row>
    <row r="258" spans="1:28" ht="11.25" customHeight="1">
      <c r="A258" s="233">
        <v>41078</v>
      </c>
      <c r="B258" s="1" t="s">
        <v>725</v>
      </c>
      <c r="C258" s="1" t="s">
        <v>2086</v>
      </c>
      <c r="D258" s="1" t="s">
        <v>269</v>
      </c>
      <c r="E258" s="1" t="s">
        <v>2122</v>
      </c>
      <c r="F258" s="5">
        <v>80</v>
      </c>
      <c r="G258" s="1" t="s">
        <v>232</v>
      </c>
      <c r="H258" s="234">
        <v>1.48</v>
      </c>
      <c r="I258" s="236">
        <f t="shared" si="14"/>
        <v>118.4</v>
      </c>
      <c r="J258" s="352">
        <v>1.48</v>
      </c>
      <c r="K258" s="241">
        <f>1.43*30+1.44*50</f>
        <v>114.9</v>
      </c>
      <c r="L258" s="237">
        <v>41078</v>
      </c>
      <c r="M258" s="1" t="s">
        <v>302</v>
      </c>
      <c r="N258" s="235">
        <f t="shared" si="12"/>
        <v>118.4</v>
      </c>
      <c r="O258" s="235">
        <f t="shared" si="13"/>
        <v>0</v>
      </c>
      <c r="P258" s="238" t="s">
        <v>2335</v>
      </c>
      <c r="Q258" s="1" t="s">
        <v>393</v>
      </c>
      <c r="R258" s="239" t="s">
        <v>2336</v>
      </c>
      <c r="S258" s="238" t="s">
        <v>2337</v>
      </c>
      <c r="T258" s="238" t="s">
        <v>803</v>
      </c>
      <c r="V258" s="238" t="s">
        <v>2338</v>
      </c>
      <c r="W258" s="236">
        <v>3327.9</v>
      </c>
      <c r="X258" s="233">
        <v>41087</v>
      </c>
      <c r="Y258" s="239"/>
      <c r="Z258" s="239"/>
      <c r="AB258" s="1" t="s">
        <v>379</v>
      </c>
    </row>
    <row r="259" spans="1:28" ht="11.25" customHeight="1">
      <c r="A259" s="233">
        <v>41078</v>
      </c>
      <c r="B259" s="1" t="s">
        <v>2333</v>
      </c>
      <c r="C259" s="1" t="s">
        <v>2086</v>
      </c>
      <c r="D259" s="1" t="s">
        <v>2339</v>
      </c>
      <c r="E259" s="1" t="s">
        <v>2340</v>
      </c>
      <c r="F259" s="5">
        <v>77</v>
      </c>
      <c r="G259" s="1" t="s">
        <v>2115</v>
      </c>
      <c r="H259" s="234">
        <v>39.5</v>
      </c>
      <c r="I259" s="236">
        <f t="shared" si="14"/>
        <v>3041.5</v>
      </c>
      <c r="J259" s="351"/>
      <c r="K259" s="241">
        <f>38*77</f>
        <v>2926</v>
      </c>
      <c r="L259" s="237">
        <v>41078</v>
      </c>
      <c r="M259" s="1" t="s">
        <v>302</v>
      </c>
      <c r="N259" s="235">
        <f t="shared" ref="N259:N322" si="16">I259</f>
        <v>3041.5</v>
      </c>
      <c r="O259" s="235">
        <f t="shared" ref="O259:O322" si="17">I259-N259</f>
        <v>0</v>
      </c>
      <c r="P259" s="238" t="s">
        <v>2335</v>
      </c>
      <c r="Q259" s="1" t="s">
        <v>393</v>
      </c>
      <c r="R259" s="239" t="s">
        <v>2336</v>
      </c>
      <c r="S259" s="238" t="s">
        <v>2337</v>
      </c>
      <c r="T259" s="238" t="s">
        <v>803</v>
      </c>
      <c r="V259" s="238" t="s">
        <v>2338</v>
      </c>
      <c r="W259" s="236">
        <v>3327.9</v>
      </c>
      <c r="X259" s="233">
        <v>41087</v>
      </c>
      <c r="Y259" s="239"/>
      <c r="Z259" s="239"/>
      <c r="AB259" s="1" t="s">
        <v>379</v>
      </c>
    </row>
    <row r="260" spans="1:28" ht="11.25" customHeight="1">
      <c r="A260" s="233">
        <v>41078</v>
      </c>
      <c r="B260" s="1" t="s">
        <v>2341</v>
      </c>
      <c r="C260" s="1" t="s">
        <v>2086</v>
      </c>
      <c r="D260" s="1" t="s">
        <v>2103</v>
      </c>
      <c r="E260" s="1" t="s">
        <v>2104</v>
      </c>
      <c r="F260" s="5">
        <v>100</v>
      </c>
      <c r="G260" s="1" t="s">
        <v>5002</v>
      </c>
      <c r="H260" s="234">
        <v>2.4</v>
      </c>
      <c r="I260" s="236">
        <f t="shared" si="14"/>
        <v>240</v>
      </c>
      <c r="J260" s="351">
        <v>1.6</v>
      </c>
      <c r="K260" s="241">
        <f>1.6*100</f>
        <v>160</v>
      </c>
      <c r="L260" s="237">
        <v>41078</v>
      </c>
      <c r="M260" s="1" t="s">
        <v>2116</v>
      </c>
      <c r="N260" s="235">
        <f t="shared" si="16"/>
        <v>240</v>
      </c>
      <c r="O260" s="235">
        <f t="shared" si="17"/>
        <v>0</v>
      </c>
      <c r="P260" s="238" t="s">
        <v>2342</v>
      </c>
      <c r="Q260" s="1" t="s">
        <v>2343</v>
      </c>
      <c r="R260" s="239" t="s">
        <v>2344</v>
      </c>
      <c r="S260" s="238" t="s">
        <v>2345</v>
      </c>
      <c r="T260" s="238" t="s">
        <v>2346</v>
      </c>
      <c r="U260" s="238" t="s">
        <v>2347</v>
      </c>
      <c r="V260" s="238" t="s">
        <v>255</v>
      </c>
      <c r="Y260" s="239"/>
      <c r="Z260" s="239"/>
      <c r="AB260" s="1" t="s">
        <v>384</v>
      </c>
    </row>
    <row r="261" spans="1:28" ht="11.25" customHeight="1">
      <c r="A261" s="233">
        <v>41078</v>
      </c>
      <c r="B261" s="1" t="s">
        <v>2341</v>
      </c>
      <c r="C261" s="1" t="s">
        <v>2086</v>
      </c>
      <c r="D261" s="1" t="s">
        <v>2117</v>
      </c>
      <c r="E261" s="1" t="s">
        <v>2087</v>
      </c>
      <c r="F261" s="5">
        <v>2</v>
      </c>
      <c r="G261" s="1" t="s">
        <v>230</v>
      </c>
      <c r="H261" s="234">
        <v>27.9</v>
      </c>
      <c r="I261" s="236">
        <f t="shared" si="14"/>
        <v>55.8</v>
      </c>
      <c r="J261" s="351">
        <v>19</v>
      </c>
      <c r="K261" s="241">
        <f>19*2</f>
        <v>38</v>
      </c>
      <c r="L261" s="237">
        <v>41078</v>
      </c>
      <c r="M261" s="1" t="s">
        <v>2116</v>
      </c>
      <c r="N261" s="235">
        <f t="shared" si="16"/>
        <v>55.8</v>
      </c>
      <c r="O261" s="235">
        <f t="shared" si="17"/>
        <v>0</v>
      </c>
      <c r="P261" s="238" t="s">
        <v>2342</v>
      </c>
      <c r="Q261" s="1" t="s">
        <v>2343</v>
      </c>
      <c r="R261" s="239" t="s">
        <v>2344</v>
      </c>
      <c r="S261" s="238" t="s">
        <v>2345</v>
      </c>
      <c r="T261" s="238" t="s">
        <v>2346</v>
      </c>
      <c r="U261" s="238" t="s">
        <v>2347</v>
      </c>
      <c r="V261" s="238" t="s">
        <v>255</v>
      </c>
      <c r="Y261" s="239"/>
      <c r="Z261" s="239"/>
      <c r="AB261" s="1" t="s">
        <v>384</v>
      </c>
    </row>
    <row r="262" spans="1:28" ht="11.25" customHeight="1">
      <c r="A262" s="233">
        <v>41078</v>
      </c>
      <c r="B262" s="1" t="s">
        <v>2341</v>
      </c>
      <c r="C262" s="1" t="s">
        <v>2086</v>
      </c>
      <c r="D262" s="1" t="s">
        <v>233</v>
      </c>
      <c r="E262" s="1" t="s">
        <v>2091</v>
      </c>
      <c r="F262" s="5">
        <v>2</v>
      </c>
      <c r="G262" s="1" t="s">
        <v>232</v>
      </c>
      <c r="H262" s="234">
        <v>6.9</v>
      </c>
      <c r="I262" s="236">
        <f t="shared" si="14"/>
        <v>13.8</v>
      </c>
      <c r="J262" s="351">
        <v>5.0999999999999996</v>
      </c>
      <c r="K262" s="241">
        <f>5.1*2</f>
        <v>10.199999999999999</v>
      </c>
      <c r="L262" s="237">
        <v>41078</v>
      </c>
      <c r="M262" s="1" t="s">
        <v>2116</v>
      </c>
      <c r="N262" s="235">
        <f t="shared" si="16"/>
        <v>13.8</v>
      </c>
      <c r="O262" s="235">
        <f t="shared" si="17"/>
        <v>0</v>
      </c>
      <c r="P262" s="238" t="s">
        <v>2342</v>
      </c>
      <c r="Q262" s="1" t="s">
        <v>2343</v>
      </c>
      <c r="R262" s="239" t="s">
        <v>2344</v>
      </c>
      <c r="S262" s="238" t="s">
        <v>2345</v>
      </c>
      <c r="T262" s="238" t="s">
        <v>2346</v>
      </c>
      <c r="U262" s="238" t="s">
        <v>2347</v>
      </c>
      <c r="V262" s="238" t="s">
        <v>255</v>
      </c>
      <c r="Y262" s="239"/>
      <c r="Z262" s="239"/>
      <c r="AB262" s="1" t="s">
        <v>384</v>
      </c>
    </row>
    <row r="263" spans="1:28" ht="11.25" customHeight="1">
      <c r="A263" s="233">
        <v>41078</v>
      </c>
      <c r="B263" s="1" t="s">
        <v>2341</v>
      </c>
      <c r="C263" s="1" t="s">
        <v>2086</v>
      </c>
      <c r="D263" s="1" t="s">
        <v>2242</v>
      </c>
      <c r="E263" s="1">
        <v>501</v>
      </c>
      <c r="F263" s="5">
        <v>2</v>
      </c>
      <c r="G263" s="1" t="s">
        <v>230</v>
      </c>
      <c r="H263" s="234">
        <v>1.7</v>
      </c>
      <c r="I263" s="236">
        <f t="shared" si="14"/>
        <v>3.4</v>
      </c>
      <c r="J263" s="351">
        <v>1.4</v>
      </c>
      <c r="K263" s="241">
        <f>1.4*2</f>
        <v>2.8</v>
      </c>
      <c r="L263" s="237">
        <v>41078</v>
      </c>
      <c r="M263" s="1" t="s">
        <v>2116</v>
      </c>
      <c r="N263" s="235">
        <f t="shared" si="16"/>
        <v>3.4</v>
      </c>
      <c r="O263" s="235">
        <f t="shared" si="17"/>
        <v>0</v>
      </c>
      <c r="P263" s="238" t="s">
        <v>2342</v>
      </c>
      <c r="Q263" s="1" t="s">
        <v>2343</v>
      </c>
      <c r="R263" s="239" t="s">
        <v>2344</v>
      </c>
      <c r="S263" s="238" t="s">
        <v>2345</v>
      </c>
      <c r="T263" s="238" t="s">
        <v>2346</v>
      </c>
      <c r="U263" s="238" t="s">
        <v>2347</v>
      </c>
      <c r="V263" s="238" t="s">
        <v>255</v>
      </c>
      <c r="Y263" s="239"/>
      <c r="Z263" s="239"/>
      <c r="AB263" s="1" t="s">
        <v>384</v>
      </c>
    </row>
    <row r="264" spans="1:28" ht="11.25" customHeight="1">
      <c r="A264" s="233">
        <v>41078</v>
      </c>
      <c r="B264" s="1" t="s">
        <v>2341</v>
      </c>
      <c r="C264" s="1" t="s">
        <v>2086</v>
      </c>
      <c r="D264" s="1" t="s">
        <v>241</v>
      </c>
      <c r="E264" s="1">
        <v>6200</v>
      </c>
      <c r="F264" s="5">
        <v>1</v>
      </c>
      <c r="G264" s="1" t="s">
        <v>230</v>
      </c>
      <c r="H264" s="234">
        <v>67</v>
      </c>
      <c r="I264" s="236">
        <f t="shared" si="14"/>
        <v>67</v>
      </c>
      <c r="J264" s="355">
        <v>45.8</v>
      </c>
      <c r="K264" s="241" t="e">
        <f>#REF!*F264</f>
        <v>#REF!</v>
      </c>
      <c r="L264" s="237">
        <v>41078</v>
      </c>
      <c r="M264" s="1" t="s">
        <v>2116</v>
      </c>
      <c r="N264" s="235">
        <f t="shared" si="16"/>
        <v>67</v>
      </c>
      <c r="O264" s="235">
        <f t="shared" si="17"/>
        <v>0</v>
      </c>
      <c r="P264" s="238" t="s">
        <v>2342</v>
      </c>
      <c r="Q264" s="1" t="s">
        <v>2343</v>
      </c>
      <c r="R264" s="239" t="s">
        <v>2344</v>
      </c>
      <c r="S264" s="238" t="s">
        <v>2345</v>
      </c>
      <c r="T264" s="238" t="s">
        <v>2346</v>
      </c>
      <c r="U264" s="238" t="s">
        <v>2347</v>
      </c>
      <c r="V264" s="238" t="s">
        <v>255</v>
      </c>
      <c r="Y264" s="239"/>
      <c r="Z264" s="239"/>
      <c r="AB264" s="1" t="s">
        <v>384</v>
      </c>
    </row>
    <row r="265" spans="1:28" ht="11.25" customHeight="1">
      <c r="A265" s="233">
        <v>41078</v>
      </c>
      <c r="B265" s="1" t="s">
        <v>2341</v>
      </c>
      <c r="C265" s="1" t="s">
        <v>2086</v>
      </c>
      <c r="D265" s="1" t="s">
        <v>2117</v>
      </c>
      <c r="E265" s="1" t="s">
        <v>2118</v>
      </c>
      <c r="F265" s="5">
        <v>6</v>
      </c>
      <c r="G265" s="1" t="s">
        <v>2115</v>
      </c>
      <c r="H265" s="234">
        <v>19</v>
      </c>
      <c r="I265" s="236">
        <f t="shared" si="14"/>
        <v>114</v>
      </c>
      <c r="J265" s="352">
        <v>13.33</v>
      </c>
      <c r="K265" s="241">
        <f>13.33*6</f>
        <v>79.98</v>
      </c>
      <c r="L265" s="237">
        <v>41078</v>
      </c>
      <c r="M265" s="1" t="s">
        <v>2116</v>
      </c>
      <c r="N265" s="235">
        <f t="shared" si="16"/>
        <v>114</v>
      </c>
      <c r="O265" s="235">
        <f t="shared" si="17"/>
        <v>0</v>
      </c>
      <c r="P265" s="238" t="s">
        <v>2342</v>
      </c>
      <c r="Q265" s="1" t="s">
        <v>2343</v>
      </c>
      <c r="R265" s="239" t="s">
        <v>2344</v>
      </c>
      <c r="S265" s="238" t="s">
        <v>2345</v>
      </c>
      <c r="T265" s="238" t="s">
        <v>2346</v>
      </c>
      <c r="U265" s="238" t="s">
        <v>2347</v>
      </c>
      <c r="V265" s="238" t="s">
        <v>255</v>
      </c>
      <c r="Y265" s="239"/>
      <c r="Z265" s="239"/>
      <c r="AB265" s="1" t="s">
        <v>384</v>
      </c>
    </row>
    <row r="266" spans="1:28" ht="11.25" customHeight="1">
      <c r="A266" s="233">
        <v>41078</v>
      </c>
      <c r="B266" s="1" t="s">
        <v>2341</v>
      </c>
      <c r="C266" s="1" t="s">
        <v>2086</v>
      </c>
      <c r="D266" s="1" t="s">
        <v>1216</v>
      </c>
      <c r="E266" s="1">
        <v>3200</v>
      </c>
      <c r="F266" s="5">
        <v>1</v>
      </c>
      <c r="G266" s="1" t="s">
        <v>2115</v>
      </c>
      <c r="H266" s="234">
        <v>41.5</v>
      </c>
      <c r="I266" s="236">
        <f t="shared" si="14"/>
        <v>41.5</v>
      </c>
      <c r="J266" s="351">
        <v>28.73</v>
      </c>
      <c r="K266" s="241">
        <f>28.73*1</f>
        <v>28.73</v>
      </c>
      <c r="L266" s="237">
        <v>41078</v>
      </c>
      <c r="M266" s="1" t="s">
        <v>2116</v>
      </c>
      <c r="N266" s="235">
        <f t="shared" si="16"/>
        <v>41.5</v>
      </c>
      <c r="O266" s="235">
        <f t="shared" si="17"/>
        <v>0</v>
      </c>
      <c r="P266" s="238" t="s">
        <v>2342</v>
      </c>
      <c r="Q266" s="1" t="s">
        <v>2343</v>
      </c>
      <c r="R266" s="239" t="s">
        <v>2344</v>
      </c>
      <c r="S266" s="238" t="s">
        <v>2345</v>
      </c>
      <c r="T266" s="238" t="s">
        <v>2346</v>
      </c>
      <c r="U266" s="238" t="s">
        <v>2347</v>
      </c>
      <c r="V266" s="238" t="s">
        <v>255</v>
      </c>
      <c r="Y266" s="239"/>
      <c r="Z266" s="239"/>
      <c r="AB266" s="1" t="s">
        <v>384</v>
      </c>
    </row>
    <row r="267" spans="1:28" ht="11.25" customHeight="1">
      <c r="A267" s="233">
        <v>41078</v>
      </c>
      <c r="B267" s="1" t="s">
        <v>2341</v>
      </c>
      <c r="C267" s="1" t="s">
        <v>2086</v>
      </c>
      <c r="D267" s="1" t="s">
        <v>2348</v>
      </c>
      <c r="E267" s="1" t="s">
        <v>2122</v>
      </c>
      <c r="F267" s="5">
        <v>11</v>
      </c>
      <c r="G267" s="1" t="s">
        <v>232</v>
      </c>
      <c r="H267" s="234">
        <v>2</v>
      </c>
      <c r="I267" s="236">
        <f t="shared" si="14"/>
        <v>22</v>
      </c>
      <c r="J267" s="352">
        <v>1.48</v>
      </c>
      <c r="K267" s="241">
        <f>1.48*1+1.43*10</f>
        <v>15.78</v>
      </c>
      <c r="L267" s="237">
        <v>41078</v>
      </c>
      <c r="M267" s="1" t="s">
        <v>2116</v>
      </c>
      <c r="N267" s="235">
        <f t="shared" si="16"/>
        <v>22</v>
      </c>
      <c r="O267" s="235">
        <f t="shared" si="17"/>
        <v>0</v>
      </c>
      <c r="P267" s="238" t="s">
        <v>2342</v>
      </c>
      <c r="Q267" s="1" t="s">
        <v>2343</v>
      </c>
      <c r="R267" s="239" t="s">
        <v>2344</v>
      </c>
      <c r="S267" s="238" t="s">
        <v>2345</v>
      </c>
      <c r="T267" s="238" t="s">
        <v>2346</v>
      </c>
      <c r="U267" s="238" t="s">
        <v>2347</v>
      </c>
      <c r="V267" s="238" t="s">
        <v>255</v>
      </c>
      <c r="Y267" s="239"/>
      <c r="Z267" s="239"/>
      <c r="AB267" s="1" t="s">
        <v>384</v>
      </c>
    </row>
    <row r="268" spans="1:28" ht="11.25" customHeight="1">
      <c r="A268" s="233">
        <v>41078</v>
      </c>
      <c r="B268" s="1" t="s">
        <v>2341</v>
      </c>
      <c r="C268" s="1" t="s">
        <v>2086</v>
      </c>
      <c r="D268" s="1" t="s">
        <v>264</v>
      </c>
      <c r="E268" s="1" t="s">
        <v>2134</v>
      </c>
      <c r="F268" s="5">
        <v>1</v>
      </c>
      <c r="G268" s="1" t="s">
        <v>2101</v>
      </c>
      <c r="H268" s="234">
        <v>2.5</v>
      </c>
      <c r="I268" s="236">
        <f t="shared" si="14"/>
        <v>2.5</v>
      </c>
      <c r="J268" s="351">
        <v>2.12</v>
      </c>
      <c r="K268" s="241">
        <f>2.12*1</f>
        <v>2.12</v>
      </c>
      <c r="L268" s="237">
        <v>41078</v>
      </c>
      <c r="M268" s="1" t="s">
        <v>2349</v>
      </c>
      <c r="N268" s="235">
        <f t="shared" si="16"/>
        <v>2.5</v>
      </c>
      <c r="O268" s="235">
        <f t="shared" si="17"/>
        <v>0</v>
      </c>
      <c r="P268" s="238" t="s">
        <v>2350</v>
      </c>
      <c r="Q268" s="1" t="s">
        <v>2351</v>
      </c>
      <c r="R268" s="239" t="s">
        <v>2352</v>
      </c>
      <c r="S268" s="238" t="s">
        <v>2353</v>
      </c>
      <c r="T268" s="238" t="s">
        <v>2354</v>
      </c>
      <c r="U268" s="238" t="s">
        <v>2355</v>
      </c>
      <c r="V268" s="238" t="s">
        <v>255</v>
      </c>
      <c r="Y268" s="239"/>
      <c r="Z268" s="239"/>
      <c r="AB268" s="1" t="s">
        <v>384</v>
      </c>
    </row>
    <row r="269" spans="1:28" ht="11.25" customHeight="1">
      <c r="A269" s="233">
        <v>41078</v>
      </c>
      <c r="B269" s="1" t="s">
        <v>2356</v>
      </c>
      <c r="C269" s="1" t="s">
        <v>2086</v>
      </c>
      <c r="D269" s="1" t="s">
        <v>2103</v>
      </c>
      <c r="E269" s="1" t="s">
        <v>2104</v>
      </c>
      <c r="F269" s="5">
        <v>100</v>
      </c>
      <c r="G269" s="1" t="s">
        <v>5002</v>
      </c>
      <c r="H269" s="234">
        <v>2.5</v>
      </c>
      <c r="I269" s="236">
        <f t="shared" si="14"/>
        <v>250</v>
      </c>
      <c r="J269" s="351">
        <v>1.6</v>
      </c>
      <c r="K269" s="241">
        <f>1.6*100</f>
        <v>160</v>
      </c>
      <c r="L269" s="237">
        <v>41078</v>
      </c>
      <c r="M269" s="1" t="s">
        <v>2116</v>
      </c>
      <c r="N269" s="235">
        <f t="shared" si="16"/>
        <v>250</v>
      </c>
      <c r="O269" s="235">
        <f t="shared" si="17"/>
        <v>0</v>
      </c>
      <c r="P269" s="238" t="s">
        <v>2357</v>
      </c>
      <c r="Q269" s="1" t="s">
        <v>2358</v>
      </c>
      <c r="R269" s="239" t="s">
        <v>2359</v>
      </c>
      <c r="S269" s="238" t="s">
        <v>2360</v>
      </c>
      <c r="T269" s="238" t="s">
        <v>2361</v>
      </c>
      <c r="U269" s="238" t="s">
        <v>2362</v>
      </c>
      <c r="V269" s="238" t="s">
        <v>255</v>
      </c>
      <c r="Y269" s="239"/>
      <c r="Z269" s="239"/>
      <c r="AB269" s="1" t="s">
        <v>384</v>
      </c>
    </row>
    <row r="270" spans="1:28" ht="11.25" customHeight="1">
      <c r="A270" s="233">
        <v>41078</v>
      </c>
      <c r="B270" s="1" t="s">
        <v>2356</v>
      </c>
      <c r="C270" s="1" t="s">
        <v>2086</v>
      </c>
      <c r="D270" s="1" t="s">
        <v>241</v>
      </c>
      <c r="E270" s="1">
        <v>6200</v>
      </c>
      <c r="F270" s="5">
        <v>5</v>
      </c>
      <c r="G270" s="1" t="s">
        <v>230</v>
      </c>
      <c r="H270" s="234">
        <v>80</v>
      </c>
      <c r="I270" s="236">
        <f t="shared" si="14"/>
        <v>400</v>
      </c>
      <c r="J270" s="355" t="s">
        <v>6087</v>
      </c>
      <c r="K270" s="241">
        <f>45.8*2+45.8*3</f>
        <v>228.99999999999997</v>
      </c>
      <c r="L270" s="237">
        <v>41078</v>
      </c>
      <c r="M270" s="1" t="s">
        <v>2116</v>
      </c>
      <c r="N270" s="235">
        <f t="shared" si="16"/>
        <v>400</v>
      </c>
      <c r="O270" s="235">
        <f t="shared" si="17"/>
        <v>0</v>
      </c>
      <c r="P270" s="238" t="s">
        <v>2357</v>
      </c>
      <c r="Q270" s="1" t="s">
        <v>1261</v>
      </c>
      <c r="R270" s="239" t="s">
        <v>2359</v>
      </c>
      <c r="S270" s="238" t="s">
        <v>2360</v>
      </c>
      <c r="T270" s="238" t="s">
        <v>2361</v>
      </c>
      <c r="U270" s="238" t="s">
        <v>2362</v>
      </c>
      <c r="V270" s="238" t="s">
        <v>255</v>
      </c>
      <c r="Y270" s="239"/>
      <c r="Z270" s="239"/>
      <c r="AB270" s="1" t="s">
        <v>384</v>
      </c>
    </row>
    <row r="271" spans="1:28" ht="11.25" customHeight="1">
      <c r="A271" s="233">
        <v>41078</v>
      </c>
      <c r="B271" s="1" t="s">
        <v>2356</v>
      </c>
      <c r="C271" s="1" t="s">
        <v>2086</v>
      </c>
      <c r="D271" s="1" t="s">
        <v>2117</v>
      </c>
      <c r="E271" s="1" t="s">
        <v>2087</v>
      </c>
      <c r="F271" s="5">
        <v>30</v>
      </c>
      <c r="G271" s="1" t="s">
        <v>230</v>
      </c>
      <c r="H271" s="234">
        <v>30</v>
      </c>
      <c r="I271" s="236">
        <f t="shared" si="14"/>
        <v>900</v>
      </c>
      <c r="J271" s="351">
        <v>19</v>
      </c>
      <c r="K271" s="241">
        <f>19*30</f>
        <v>570</v>
      </c>
      <c r="L271" s="237">
        <v>41078</v>
      </c>
      <c r="M271" s="1" t="s">
        <v>2116</v>
      </c>
      <c r="N271" s="235">
        <f t="shared" si="16"/>
        <v>900</v>
      </c>
      <c r="O271" s="235">
        <f t="shared" si="17"/>
        <v>0</v>
      </c>
      <c r="P271" s="238" t="s">
        <v>2357</v>
      </c>
      <c r="Q271" s="1" t="s">
        <v>2358</v>
      </c>
      <c r="R271" s="239" t="s">
        <v>2359</v>
      </c>
      <c r="S271" s="238" t="s">
        <v>2360</v>
      </c>
      <c r="T271" s="238" t="s">
        <v>2361</v>
      </c>
      <c r="U271" s="238" t="s">
        <v>2362</v>
      </c>
      <c r="V271" s="238" t="s">
        <v>255</v>
      </c>
      <c r="Y271" s="239"/>
      <c r="Z271" s="239"/>
      <c r="AB271" s="1" t="s">
        <v>384</v>
      </c>
    </row>
    <row r="272" spans="1:28" ht="11.25" customHeight="1">
      <c r="A272" s="233">
        <v>41078</v>
      </c>
      <c r="B272" s="1" t="s">
        <v>2356</v>
      </c>
      <c r="C272" s="1" t="s">
        <v>2086</v>
      </c>
      <c r="D272" s="1" t="s">
        <v>233</v>
      </c>
      <c r="E272" s="1" t="s">
        <v>2091</v>
      </c>
      <c r="F272" s="5">
        <v>30</v>
      </c>
      <c r="G272" s="1" t="s">
        <v>232</v>
      </c>
      <c r="H272" s="234">
        <v>8</v>
      </c>
      <c r="I272" s="236">
        <v>240</v>
      </c>
      <c r="J272" s="351">
        <v>5.0999999999999996</v>
      </c>
      <c r="K272" s="241">
        <f>5.1*30</f>
        <v>153</v>
      </c>
      <c r="L272" s="237">
        <v>41078</v>
      </c>
      <c r="M272" s="1" t="s">
        <v>2116</v>
      </c>
      <c r="N272" s="235">
        <f t="shared" si="16"/>
        <v>240</v>
      </c>
      <c r="O272" s="235">
        <f t="shared" si="17"/>
        <v>0</v>
      </c>
      <c r="P272" s="238" t="s">
        <v>2357</v>
      </c>
      <c r="Q272" s="1" t="s">
        <v>2358</v>
      </c>
      <c r="R272" s="239" t="s">
        <v>2359</v>
      </c>
      <c r="S272" s="238" t="s">
        <v>2360</v>
      </c>
      <c r="T272" s="238" t="s">
        <v>2361</v>
      </c>
      <c r="U272" s="238" t="s">
        <v>2362</v>
      </c>
      <c r="V272" s="238" t="s">
        <v>255</v>
      </c>
      <c r="Y272" s="239"/>
      <c r="Z272" s="239"/>
      <c r="AB272" s="1" t="s">
        <v>384</v>
      </c>
    </row>
    <row r="273" spans="1:28" ht="11.25" customHeight="1">
      <c r="A273" s="233">
        <v>41078</v>
      </c>
      <c r="B273" s="1" t="s">
        <v>2356</v>
      </c>
      <c r="C273" s="1" t="s">
        <v>2086</v>
      </c>
      <c r="D273" s="1" t="s">
        <v>2242</v>
      </c>
      <c r="E273" s="1">
        <v>501</v>
      </c>
      <c r="F273" s="5">
        <v>10</v>
      </c>
      <c r="G273" s="1" t="s">
        <v>230</v>
      </c>
      <c r="H273" s="234">
        <v>2</v>
      </c>
      <c r="I273" s="236">
        <v>20</v>
      </c>
      <c r="J273" s="351">
        <v>1.4</v>
      </c>
      <c r="K273" s="241">
        <v>0</v>
      </c>
      <c r="L273" s="237">
        <v>41078</v>
      </c>
      <c r="M273" s="1" t="s">
        <v>2116</v>
      </c>
      <c r="N273" s="235">
        <f t="shared" si="16"/>
        <v>20</v>
      </c>
      <c r="O273" s="235">
        <f t="shared" si="17"/>
        <v>0</v>
      </c>
      <c r="P273" s="238" t="s">
        <v>2357</v>
      </c>
      <c r="Q273" s="1" t="s">
        <v>2358</v>
      </c>
      <c r="R273" s="239" t="s">
        <v>2359</v>
      </c>
      <c r="S273" s="238" t="s">
        <v>2360</v>
      </c>
      <c r="T273" s="238" t="s">
        <v>2361</v>
      </c>
      <c r="U273" s="238" t="s">
        <v>2362</v>
      </c>
      <c r="V273" s="238" t="s">
        <v>255</v>
      </c>
      <c r="Y273" s="239"/>
      <c r="Z273" s="239"/>
      <c r="AB273" s="1" t="s">
        <v>384</v>
      </c>
    </row>
    <row r="274" spans="1:28" ht="11.25" customHeight="1">
      <c r="A274" s="233">
        <v>41078</v>
      </c>
      <c r="B274" s="1" t="s">
        <v>2356</v>
      </c>
      <c r="C274" s="1" t="s">
        <v>2086</v>
      </c>
      <c r="D274" s="1" t="s">
        <v>1216</v>
      </c>
      <c r="E274" s="1">
        <v>3200</v>
      </c>
      <c r="F274" s="5">
        <v>5</v>
      </c>
      <c r="G274" s="1" t="s">
        <v>2115</v>
      </c>
      <c r="H274" s="234">
        <v>40</v>
      </c>
      <c r="I274" s="236">
        <v>200</v>
      </c>
      <c r="J274" s="351">
        <v>28.73</v>
      </c>
      <c r="K274" s="241">
        <f>28.73*5</f>
        <v>143.65</v>
      </c>
      <c r="L274" s="237">
        <v>41078</v>
      </c>
      <c r="M274" s="1" t="s">
        <v>2116</v>
      </c>
      <c r="N274" s="235">
        <f t="shared" si="16"/>
        <v>200</v>
      </c>
      <c r="O274" s="235">
        <f t="shared" si="17"/>
        <v>0</v>
      </c>
      <c r="P274" s="238" t="s">
        <v>2357</v>
      </c>
      <c r="Q274" s="1" t="s">
        <v>1261</v>
      </c>
      <c r="R274" s="239" t="s">
        <v>2359</v>
      </c>
      <c r="S274" s="238" t="s">
        <v>2360</v>
      </c>
      <c r="T274" s="238" t="s">
        <v>2361</v>
      </c>
      <c r="U274" s="238" t="s">
        <v>2362</v>
      </c>
      <c r="V274" s="238" t="s">
        <v>255</v>
      </c>
      <c r="Y274" s="239"/>
      <c r="Z274" s="239"/>
      <c r="AB274" s="1" t="s">
        <v>384</v>
      </c>
    </row>
    <row r="275" spans="1:28" ht="11.25" customHeight="1">
      <c r="A275" s="233">
        <v>41078</v>
      </c>
      <c r="B275" s="1" t="s">
        <v>2356</v>
      </c>
      <c r="C275" s="1" t="s">
        <v>2086</v>
      </c>
      <c r="D275" s="1" t="s">
        <v>2251</v>
      </c>
      <c r="E275" s="1">
        <v>3700</v>
      </c>
      <c r="F275" s="5">
        <v>5</v>
      </c>
      <c r="G275" s="1" t="s">
        <v>230</v>
      </c>
      <c r="H275" s="234">
        <v>5</v>
      </c>
      <c r="I275" s="236">
        <v>25</v>
      </c>
      <c r="J275" s="351">
        <v>3.7</v>
      </c>
      <c r="K275" s="241">
        <f>3.7*5</f>
        <v>18.5</v>
      </c>
      <c r="L275" s="237">
        <v>41078</v>
      </c>
      <c r="M275" s="1" t="s">
        <v>2116</v>
      </c>
      <c r="N275" s="235">
        <f t="shared" si="16"/>
        <v>25</v>
      </c>
      <c r="O275" s="235">
        <f t="shared" si="17"/>
        <v>0</v>
      </c>
      <c r="P275" s="238" t="s">
        <v>2357</v>
      </c>
      <c r="Q275" s="1" t="s">
        <v>2358</v>
      </c>
      <c r="R275" s="239" t="s">
        <v>2359</v>
      </c>
      <c r="S275" s="238" t="s">
        <v>2360</v>
      </c>
      <c r="T275" s="238" t="s">
        <v>2361</v>
      </c>
      <c r="U275" s="238" t="s">
        <v>2362</v>
      </c>
      <c r="V275" s="238" t="s">
        <v>255</v>
      </c>
      <c r="Y275" s="239"/>
      <c r="Z275" s="239"/>
      <c r="AB275" s="1" t="s">
        <v>384</v>
      </c>
    </row>
    <row r="276" spans="1:28" ht="11.25" customHeight="1">
      <c r="A276" s="233">
        <v>41078</v>
      </c>
      <c r="B276" s="1" t="s">
        <v>2356</v>
      </c>
      <c r="C276" s="1" t="s">
        <v>2086</v>
      </c>
      <c r="D276" s="1" t="s">
        <v>233</v>
      </c>
      <c r="E276" s="1" t="s">
        <v>2129</v>
      </c>
      <c r="F276" s="5">
        <v>100</v>
      </c>
      <c r="G276" s="1" t="s">
        <v>232</v>
      </c>
      <c r="H276" s="234">
        <v>2.5</v>
      </c>
      <c r="I276" s="236">
        <v>250</v>
      </c>
      <c r="J276" s="352">
        <v>1.73</v>
      </c>
      <c r="K276" s="241">
        <f>1.73*100</f>
        <v>173</v>
      </c>
      <c r="L276" s="237">
        <v>41078</v>
      </c>
      <c r="M276" s="1" t="s">
        <v>2116</v>
      </c>
      <c r="N276" s="235">
        <f t="shared" si="16"/>
        <v>250</v>
      </c>
      <c r="O276" s="235">
        <f t="shared" si="17"/>
        <v>0</v>
      </c>
      <c r="P276" s="238" t="s">
        <v>2357</v>
      </c>
      <c r="Q276" s="1" t="s">
        <v>2358</v>
      </c>
      <c r="R276" s="239" t="s">
        <v>2359</v>
      </c>
      <c r="S276" s="238" t="s">
        <v>2360</v>
      </c>
      <c r="T276" s="238" t="s">
        <v>2361</v>
      </c>
      <c r="U276" s="238" t="s">
        <v>2362</v>
      </c>
      <c r="V276" s="238" t="s">
        <v>255</v>
      </c>
      <c r="Y276" s="239"/>
      <c r="Z276" s="239"/>
      <c r="AB276" s="1" t="s">
        <v>384</v>
      </c>
    </row>
    <row r="277" spans="1:28" ht="11.25" customHeight="1">
      <c r="A277" s="233">
        <v>41078</v>
      </c>
      <c r="B277" s="1" t="s">
        <v>2356</v>
      </c>
      <c r="C277" s="1" t="s">
        <v>2086</v>
      </c>
      <c r="D277" s="1" t="s">
        <v>2363</v>
      </c>
      <c r="E277" s="1" t="s">
        <v>2209</v>
      </c>
      <c r="F277" s="5">
        <v>10</v>
      </c>
      <c r="G277" s="1" t="s">
        <v>2169</v>
      </c>
      <c r="H277" s="234">
        <v>5</v>
      </c>
      <c r="I277" s="236">
        <v>50</v>
      </c>
      <c r="J277" s="351"/>
      <c r="K277" s="241">
        <v>0</v>
      </c>
      <c r="L277" s="237">
        <v>41078</v>
      </c>
      <c r="M277" s="1" t="s">
        <v>2116</v>
      </c>
      <c r="N277" s="235">
        <f t="shared" si="16"/>
        <v>50</v>
      </c>
      <c r="O277" s="235">
        <f t="shared" si="17"/>
        <v>0</v>
      </c>
      <c r="P277" s="238" t="s">
        <v>2357</v>
      </c>
      <c r="Q277" s="1" t="s">
        <v>2358</v>
      </c>
      <c r="R277" s="239" t="s">
        <v>2359</v>
      </c>
      <c r="S277" s="238" t="s">
        <v>2360</v>
      </c>
      <c r="T277" s="238" t="s">
        <v>2361</v>
      </c>
      <c r="U277" s="238" t="s">
        <v>2362</v>
      </c>
      <c r="V277" s="238" t="s">
        <v>255</v>
      </c>
      <c r="Y277" s="239"/>
      <c r="Z277" s="239"/>
      <c r="AB277" s="1" t="s">
        <v>384</v>
      </c>
    </row>
    <row r="278" spans="1:28" ht="11.25" customHeight="1">
      <c r="A278" s="233">
        <v>41078</v>
      </c>
      <c r="B278" s="1" t="s">
        <v>2356</v>
      </c>
      <c r="C278" s="1" t="s">
        <v>2086</v>
      </c>
      <c r="D278" s="1" t="s">
        <v>2108</v>
      </c>
      <c r="E278" s="1" t="s">
        <v>2109</v>
      </c>
      <c r="F278" s="5">
        <v>10</v>
      </c>
      <c r="G278" s="1" t="s">
        <v>2169</v>
      </c>
      <c r="H278" s="234">
        <v>23</v>
      </c>
      <c r="I278" s="236">
        <v>230</v>
      </c>
      <c r="J278" s="351"/>
      <c r="K278" s="241">
        <f>14.95*10</f>
        <v>149.5</v>
      </c>
      <c r="L278" s="237">
        <v>41078</v>
      </c>
      <c r="M278" s="1" t="s">
        <v>2116</v>
      </c>
      <c r="N278" s="235">
        <f t="shared" si="16"/>
        <v>230</v>
      </c>
      <c r="O278" s="235">
        <f t="shared" si="17"/>
        <v>0</v>
      </c>
      <c r="P278" s="238" t="s">
        <v>2357</v>
      </c>
      <c r="Q278" s="1" t="s">
        <v>2358</v>
      </c>
      <c r="R278" s="239" t="s">
        <v>2359</v>
      </c>
      <c r="S278" s="238" t="s">
        <v>2360</v>
      </c>
      <c r="T278" s="238" t="s">
        <v>2361</v>
      </c>
      <c r="U278" s="238" t="s">
        <v>2362</v>
      </c>
      <c r="V278" s="238" t="s">
        <v>255</v>
      </c>
      <c r="Y278" s="239"/>
      <c r="Z278" s="239"/>
      <c r="AB278" s="1" t="s">
        <v>384</v>
      </c>
    </row>
    <row r="279" spans="1:28" ht="11.25" customHeight="1">
      <c r="A279" s="233">
        <v>41078</v>
      </c>
      <c r="B279" s="1" t="s">
        <v>2364</v>
      </c>
      <c r="C279" s="1" t="s">
        <v>2086</v>
      </c>
      <c r="D279" s="1" t="s">
        <v>2103</v>
      </c>
      <c r="E279" s="1" t="s">
        <v>2104</v>
      </c>
      <c r="F279" s="5">
        <v>500</v>
      </c>
      <c r="G279" s="1" t="s">
        <v>5002</v>
      </c>
      <c r="H279" s="234">
        <v>2.5</v>
      </c>
      <c r="I279" s="236">
        <f t="shared" ref="I279:I298" si="18">H279*F279</f>
        <v>1250</v>
      </c>
      <c r="J279" s="351">
        <v>1.58</v>
      </c>
      <c r="K279" s="241">
        <f>1.58*500</f>
        <v>790</v>
      </c>
      <c r="L279" s="237">
        <v>41078</v>
      </c>
      <c r="M279" s="1" t="s">
        <v>2116</v>
      </c>
      <c r="N279" s="235">
        <f t="shared" si="16"/>
        <v>1250</v>
      </c>
      <c r="O279" s="235">
        <f t="shared" si="17"/>
        <v>0</v>
      </c>
      <c r="P279" s="238" t="s">
        <v>2365</v>
      </c>
      <c r="Q279" s="1" t="s">
        <v>2366</v>
      </c>
      <c r="R279" s="239" t="s">
        <v>2367</v>
      </c>
      <c r="S279" s="238" t="s">
        <v>2368</v>
      </c>
      <c r="T279" s="238" t="s">
        <v>2369</v>
      </c>
      <c r="U279" s="238" t="s">
        <v>2370</v>
      </c>
      <c r="V279" s="238" t="s">
        <v>255</v>
      </c>
      <c r="Y279" s="239"/>
      <c r="Z279" s="239"/>
      <c r="AB279" s="1" t="s">
        <v>384</v>
      </c>
    </row>
    <row r="280" spans="1:28" ht="11.25" customHeight="1">
      <c r="A280" s="233">
        <v>41078</v>
      </c>
      <c r="B280" s="1" t="s">
        <v>2364</v>
      </c>
      <c r="C280" s="1" t="s">
        <v>2086</v>
      </c>
      <c r="D280" s="1" t="s">
        <v>241</v>
      </c>
      <c r="E280" s="1">
        <v>6200</v>
      </c>
      <c r="F280" s="5">
        <v>2</v>
      </c>
      <c r="G280" s="1" t="s">
        <v>230</v>
      </c>
      <c r="H280" s="234">
        <v>80</v>
      </c>
      <c r="I280" s="236">
        <f t="shared" si="18"/>
        <v>160</v>
      </c>
      <c r="J280" s="354">
        <v>45.8</v>
      </c>
      <c r="K280" s="241" t="e">
        <f>#REF!*F280</f>
        <v>#REF!</v>
      </c>
      <c r="L280" s="237">
        <v>41078</v>
      </c>
      <c r="M280" s="1" t="s">
        <v>2116</v>
      </c>
      <c r="N280" s="235">
        <f t="shared" si="16"/>
        <v>160</v>
      </c>
      <c r="O280" s="235">
        <f t="shared" si="17"/>
        <v>0</v>
      </c>
      <c r="P280" s="238" t="s">
        <v>2365</v>
      </c>
      <c r="Q280" s="1" t="s">
        <v>2366</v>
      </c>
      <c r="R280" s="239" t="s">
        <v>2367</v>
      </c>
      <c r="S280" s="238" t="s">
        <v>2368</v>
      </c>
      <c r="T280" s="238" t="s">
        <v>2369</v>
      </c>
      <c r="U280" s="238" t="s">
        <v>2370</v>
      </c>
      <c r="V280" s="238" t="s">
        <v>255</v>
      </c>
      <c r="Y280" s="239"/>
      <c r="Z280" s="239"/>
      <c r="AB280" s="1" t="s">
        <v>384</v>
      </c>
    </row>
    <row r="281" spans="1:28" ht="11.25" customHeight="1">
      <c r="A281" s="233">
        <v>41078</v>
      </c>
      <c r="B281" s="1" t="s">
        <v>2364</v>
      </c>
      <c r="C281" s="1" t="s">
        <v>2086</v>
      </c>
      <c r="D281" s="1" t="s">
        <v>2117</v>
      </c>
      <c r="E281" s="1" t="s">
        <v>2087</v>
      </c>
      <c r="F281" s="5">
        <v>8</v>
      </c>
      <c r="G281" s="1" t="s">
        <v>230</v>
      </c>
      <c r="H281" s="234">
        <v>30</v>
      </c>
      <c r="I281" s="236">
        <f t="shared" si="18"/>
        <v>240</v>
      </c>
      <c r="J281" s="351">
        <v>19</v>
      </c>
      <c r="K281" s="241">
        <f>19*8</f>
        <v>152</v>
      </c>
      <c r="L281" s="237">
        <v>41078</v>
      </c>
      <c r="M281" s="1" t="s">
        <v>2116</v>
      </c>
      <c r="N281" s="235">
        <f t="shared" si="16"/>
        <v>240</v>
      </c>
      <c r="O281" s="235">
        <f t="shared" si="17"/>
        <v>0</v>
      </c>
      <c r="P281" s="238" t="s">
        <v>2365</v>
      </c>
      <c r="Q281" s="1" t="s">
        <v>2366</v>
      </c>
      <c r="R281" s="239" t="s">
        <v>2367</v>
      </c>
      <c r="S281" s="238" t="s">
        <v>2368</v>
      </c>
      <c r="T281" s="238" t="s">
        <v>2369</v>
      </c>
      <c r="U281" s="238" t="s">
        <v>2370</v>
      </c>
      <c r="V281" s="238" t="s">
        <v>255</v>
      </c>
      <c r="Y281" s="239"/>
      <c r="Z281" s="239"/>
      <c r="AB281" s="1" t="s">
        <v>384</v>
      </c>
    </row>
    <row r="282" spans="1:28" ht="11.25" customHeight="1">
      <c r="A282" s="233">
        <v>41078</v>
      </c>
      <c r="B282" s="1" t="s">
        <v>2364</v>
      </c>
      <c r="C282" s="1" t="s">
        <v>2086</v>
      </c>
      <c r="D282" s="1" t="s">
        <v>233</v>
      </c>
      <c r="E282" s="1" t="s">
        <v>2091</v>
      </c>
      <c r="F282" s="5">
        <v>8</v>
      </c>
      <c r="G282" s="1" t="s">
        <v>232</v>
      </c>
      <c r="H282" s="234">
        <v>8</v>
      </c>
      <c r="I282" s="236">
        <f t="shared" si="18"/>
        <v>64</v>
      </c>
      <c r="J282" s="351">
        <v>5.0999999999999996</v>
      </c>
      <c r="K282" s="241">
        <f>5.1*8</f>
        <v>40.799999999999997</v>
      </c>
      <c r="L282" s="237">
        <v>41078</v>
      </c>
      <c r="M282" s="1" t="s">
        <v>2116</v>
      </c>
      <c r="N282" s="235">
        <f t="shared" si="16"/>
        <v>64</v>
      </c>
      <c r="O282" s="235">
        <f t="shared" si="17"/>
        <v>0</v>
      </c>
      <c r="P282" s="238" t="s">
        <v>2365</v>
      </c>
      <c r="Q282" s="1" t="s">
        <v>2366</v>
      </c>
      <c r="R282" s="239" t="s">
        <v>2367</v>
      </c>
      <c r="S282" s="238" t="s">
        <v>2368</v>
      </c>
      <c r="T282" s="238" t="s">
        <v>2369</v>
      </c>
      <c r="U282" s="238" t="s">
        <v>2370</v>
      </c>
      <c r="V282" s="238" t="s">
        <v>255</v>
      </c>
      <c r="Y282" s="239"/>
      <c r="Z282" s="239"/>
      <c r="AB282" s="1" t="s">
        <v>384</v>
      </c>
    </row>
    <row r="283" spans="1:28" ht="11.25" customHeight="1">
      <c r="A283" s="233">
        <v>41078</v>
      </c>
      <c r="B283" s="1" t="s">
        <v>2364</v>
      </c>
      <c r="C283" s="1" t="s">
        <v>2086</v>
      </c>
      <c r="D283" s="1" t="s">
        <v>2242</v>
      </c>
      <c r="E283" s="1">
        <v>501</v>
      </c>
      <c r="F283" s="5">
        <v>4</v>
      </c>
      <c r="G283" s="1" t="s">
        <v>230</v>
      </c>
      <c r="H283" s="234">
        <v>2</v>
      </c>
      <c r="I283" s="236">
        <f t="shared" si="18"/>
        <v>8</v>
      </c>
      <c r="J283" s="351">
        <v>1.4</v>
      </c>
      <c r="K283" s="241">
        <f>1.4*4</f>
        <v>5.6</v>
      </c>
      <c r="L283" s="237">
        <v>41078</v>
      </c>
      <c r="M283" s="1" t="s">
        <v>2116</v>
      </c>
      <c r="N283" s="235">
        <f t="shared" si="16"/>
        <v>8</v>
      </c>
      <c r="O283" s="235">
        <f t="shared" si="17"/>
        <v>0</v>
      </c>
      <c r="P283" s="238" t="s">
        <v>2365</v>
      </c>
      <c r="Q283" s="1" t="s">
        <v>2366</v>
      </c>
      <c r="R283" s="239" t="s">
        <v>2367</v>
      </c>
      <c r="S283" s="238" t="s">
        <v>2368</v>
      </c>
      <c r="T283" s="238" t="s">
        <v>2369</v>
      </c>
      <c r="U283" s="238" t="s">
        <v>2370</v>
      </c>
      <c r="V283" s="238" t="s">
        <v>255</v>
      </c>
      <c r="Y283" s="239"/>
      <c r="Z283" s="239"/>
      <c r="AB283" s="1" t="s">
        <v>384</v>
      </c>
    </row>
    <row r="284" spans="1:28" ht="11.25" customHeight="1">
      <c r="A284" s="233">
        <v>41078</v>
      </c>
      <c r="B284" s="1" t="s">
        <v>2371</v>
      </c>
      <c r="C284" s="1" t="s">
        <v>2086</v>
      </c>
      <c r="D284" s="1" t="s">
        <v>1218</v>
      </c>
      <c r="E284" s="1">
        <v>4680</v>
      </c>
      <c r="F284" s="5">
        <v>4</v>
      </c>
      <c r="G284" s="1" t="s">
        <v>2372</v>
      </c>
      <c r="H284" s="234">
        <v>87.75</v>
      </c>
      <c r="I284" s="236">
        <f t="shared" si="18"/>
        <v>351</v>
      </c>
      <c r="J284" s="351"/>
      <c r="K284" s="241">
        <f>78.39*4</f>
        <v>313.56</v>
      </c>
      <c r="L284" s="237">
        <v>41078</v>
      </c>
      <c r="M284" s="1" t="s">
        <v>2088</v>
      </c>
      <c r="N284" s="235">
        <f t="shared" si="16"/>
        <v>351</v>
      </c>
      <c r="O284" s="235">
        <f t="shared" si="17"/>
        <v>0</v>
      </c>
      <c r="P284" s="238" t="s">
        <v>2373</v>
      </c>
      <c r="Q284" s="1" t="s">
        <v>2374</v>
      </c>
      <c r="R284" s="239" t="s">
        <v>729</v>
      </c>
      <c r="S284" s="238" t="s">
        <v>730</v>
      </c>
      <c r="T284" s="238" t="s">
        <v>798</v>
      </c>
      <c r="U284" s="238" t="s">
        <v>2375</v>
      </c>
      <c r="V284" s="238" t="s">
        <v>2376</v>
      </c>
      <c r="W284" s="236">
        <v>926.5</v>
      </c>
      <c r="X284" s="233">
        <v>41113</v>
      </c>
      <c r="Y284" s="255">
        <v>468490602772</v>
      </c>
      <c r="AB284" s="1" t="s">
        <v>2212</v>
      </c>
    </row>
    <row r="285" spans="1:28" ht="11.25" customHeight="1">
      <c r="A285" s="233">
        <v>41078</v>
      </c>
      <c r="B285" s="1" t="s">
        <v>2377</v>
      </c>
      <c r="C285" s="1" t="s">
        <v>2086</v>
      </c>
      <c r="D285" s="1" t="s">
        <v>2378</v>
      </c>
      <c r="E285" s="1" t="s">
        <v>2312</v>
      </c>
      <c r="F285" s="5">
        <v>25</v>
      </c>
      <c r="G285" s="1" t="s">
        <v>2115</v>
      </c>
      <c r="H285" s="234">
        <v>1.3</v>
      </c>
      <c r="I285" s="236">
        <f t="shared" si="18"/>
        <v>32.5</v>
      </c>
      <c r="J285" s="351"/>
      <c r="K285" s="241">
        <v>0</v>
      </c>
      <c r="L285" s="237">
        <v>41078</v>
      </c>
      <c r="M285" s="1" t="s">
        <v>2379</v>
      </c>
      <c r="N285" s="235">
        <f t="shared" si="16"/>
        <v>32.5</v>
      </c>
      <c r="O285" s="235">
        <f t="shared" si="17"/>
        <v>0</v>
      </c>
      <c r="P285" s="238" t="s">
        <v>2380</v>
      </c>
      <c r="Q285" s="1" t="s">
        <v>393</v>
      </c>
      <c r="R285" s="239" t="s">
        <v>430</v>
      </c>
      <c r="S285" s="238" t="s">
        <v>431</v>
      </c>
      <c r="T285" s="238" t="s">
        <v>802</v>
      </c>
      <c r="Y285" s="239"/>
      <c r="Z285" s="239"/>
      <c r="AB285" s="1" t="s">
        <v>2212</v>
      </c>
    </row>
    <row r="286" spans="1:28" ht="11.25" customHeight="1">
      <c r="A286" s="233">
        <v>41078</v>
      </c>
      <c r="B286" s="1" t="s">
        <v>2377</v>
      </c>
      <c r="C286" s="1" t="s">
        <v>2086</v>
      </c>
      <c r="D286" s="1" t="s">
        <v>2381</v>
      </c>
      <c r="E286" s="1">
        <v>1711</v>
      </c>
      <c r="F286" s="5">
        <v>6</v>
      </c>
      <c r="G286" s="1" t="s">
        <v>2169</v>
      </c>
      <c r="H286" s="234">
        <v>14.4</v>
      </c>
      <c r="I286" s="236">
        <f t="shared" si="18"/>
        <v>86.4</v>
      </c>
      <c r="J286" s="351"/>
      <c r="K286" s="241">
        <f>11.78*6</f>
        <v>70.679999999999993</v>
      </c>
      <c r="L286" s="237">
        <v>41078</v>
      </c>
      <c r="M286" s="1" t="s">
        <v>2379</v>
      </c>
      <c r="N286" s="235">
        <f t="shared" si="16"/>
        <v>86.4</v>
      </c>
      <c r="O286" s="235">
        <f t="shared" si="17"/>
        <v>0</v>
      </c>
      <c r="P286" s="238" t="s">
        <v>2380</v>
      </c>
      <c r="Q286" s="1" t="s">
        <v>393</v>
      </c>
      <c r="R286" s="239" t="s">
        <v>430</v>
      </c>
      <c r="S286" s="238" t="s">
        <v>431</v>
      </c>
      <c r="T286" s="238" t="s">
        <v>802</v>
      </c>
      <c r="Y286" s="239"/>
      <c r="Z286" s="239"/>
      <c r="AB286" s="1" t="s">
        <v>379</v>
      </c>
    </row>
    <row r="287" spans="1:28" ht="11.25" customHeight="1">
      <c r="A287" s="233">
        <v>41078</v>
      </c>
      <c r="B287" s="1" t="s">
        <v>2132</v>
      </c>
      <c r="C287" s="1" t="s">
        <v>2086</v>
      </c>
      <c r="D287" s="1" t="s">
        <v>2251</v>
      </c>
      <c r="E287" s="1">
        <v>3700</v>
      </c>
      <c r="F287" s="5">
        <v>50</v>
      </c>
      <c r="G287" s="1" t="s">
        <v>2115</v>
      </c>
      <c r="H287" s="234">
        <v>3.71</v>
      </c>
      <c r="I287" s="236">
        <f t="shared" si="18"/>
        <v>185.5</v>
      </c>
      <c r="J287" s="351">
        <v>3.65</v>
      </c>
      <c r="K287" s="241">
        <f>3.65*50</f>
        <v>182.5</v>
      </c>
      <c r="L287" s="237">
        <v>41096</v>
      </c>
      <c r="M287" s="1" t="s">
        <v>332</v>
      </c>
      <c r="N287" s="235">
        <f t="shared" si="16"/>
        <v>185.5</v>
      </c>
      <c r="O287" s="235">
        <f t="shared" si="17"/>
        <v>0</v>
      </c>
      <c r="P287" s="238" t="s">
        <v>4918</v>
      </c>
      <c r="Q287" s="1" t="s">
        <v>1875</v>
      </c>
      <c r="T287" s="238" t="s">
        <v>2382</v>
      </c>
      <c r="V287" s="238" t="s">
        <v>2383</v>
      </c>
      <c r="W287" s="236">
        <v>5445.25</v>
      </c>
      <c r="X287" s="233">
        <v>41088</v>
      </c>
      <c r="Y287" s="239"/>
      <c r="Z287" s="239"/>
      <c r="AB287" s="1" t="s">
        <v>379</v>
      </c>
    </row>
    <row r="288" spans="1:28" ht="11.25" customHeight="1">
      <c r="A288" s="233">
        <v>41078</v>
      </c>
      <c r="B288" s="1" t="s">
        <v>2132</v>
      </c>
      <c r="C288" s="1" t="s">
        <v>2086</v>
      </c>
      <c r="D288" s="1" t="s">
        <v>1216</v>
      </c>
      <c r="E288" s="1">
        <v>3200</v>
      </c>
      <c r="F288" s="5">
        <v>50</v>
      </c>
      <c r="G288" s="1" t="s">
        <v>2115</v>
      </c>
      <c r="H288" s="234">
        <v>28.5</v>
      </c>
      <c r="I288" s="236">
        <f t="shared" si="18"/>
        <v>1425</v>
      </c>
      <c r="J288" s="351">
        <v>28</v>
      </c>
      <c r="K288" s="241">
        <f>28*50</f>
        <v>1400</v>
      </c>
      <c r="L288" s="237">
        <v>41096</v>
      </c>
      <c r="M288" s="1" t="s">
        <v>332</v>
      </c>
      <c r="N288" s="235">
        <f t="shared" si="16"/>
        <v>1425</v>
      </c>
      <c r="O288" s="235">
        <f t="shared" si="17"/>
        <v>0</v>
      </c>
      <c r="P288" s="238" t="s">
        <v>4918</v>
      </c>
      <c r="Q288" s="1" t="s">
        <v>1875</v>
      </c>
      <c r="T288" s="238" t="s">
        <v>2382</v>
      </c>
      <c r="V288" s="238" t="s">
        <v>2383</v>
      </c>
      <c r="W288" s="236">
        <v>5445.25</v>
      </c>
      <c r="X288" s="233">
        <v>41088</v>
      </c>
      <c r="Y288" s="239"/>
      <c r="Z288" s="239"/>
      <c r="AB288" s="1" t="s">
        <v>2212</v>
      </c>
    </row>
    <row r="289" spans="1:28" ht="11.25" customHeight="1">
      <c r="A289" s="233">
        <v>41079</v>
      </c>
      <c r="B289" s="1" t="s">
        <v>2384</v>
      </c>
      <c r="C289" s="1" t="s">
        <v>2086</v>
      </c>
      <c r="D289" s="1" t="s">
        <v>2332</v>
      </c>
      <c r="E289" s="1">
        <v>3200</v>
      </c>
      <c r="F289" s="5">
        <v>50</v>
      </c>
      <c r="G289" s="1" t="s">
        <v>2115</v>
      </c>
      <c r="H289" s="234">
        <v>28.73</v>
      </c>
      <c r="I289" s="236">
        <f t="shared" si="18"/>
        <v>1436.5</v>
      </c>
      <c r="J289" s="351">
        <v>28</v>
      </c>
      <c r="K289" s="241">
        <f>28*50</f>
        <v>1400</v>
      </c>
      <c r="L289" s="237">
        <v>41079</v>
      </c>
      <c r="M289" s="1" t="s">
        <v>2116</v>
      </c>
      <c r="N289" s="235">
        <f t="shared" si="16"/>
        <v>1436.5</v>
      </c>
      <c r="O289" s="235">
        <f t="shared" si="17"/>
        <v>0</v>
      </c>
      <c r="P289" s="238" t="s">
        <v>2385</v>
      </c>
      <c r="Q289" s="1" t="s">
        <v>1262</v>
      </c>
      <c r="R289" s="239" t="s">
        <v>2386</v>
      </c>
      <c r="S289" s="238" t="s">
        <v>2387</v>
      </c>
      <c r="T289" s="238" t="s">
        <v>2388</v>
      </c>
      <c r="U289" s="238" t="s">
        <v>2389</v>
      </c>
      <c r="V289" s="238" t="s">
        <v>2390</v>
      </c>
      <c r="W289" s="236">
        <v>5347.5</v>
      </c>
      <c r="X289" s="233">
        <v>41080</v>
      </c>
      <c r="Y289" s="238" t="s">
        <v>2391</v>
      </c>
      <c r="Z289" s="238"/>
      <c r="AB289" s="1" t="s">
        <v>2212</v>
      </c>
    </row>
    <row r="290" spans="1:28" ht="11.25" customHeight="1">
      <c r="A290" s="233">
        <v>41079</v>
      </c>
      <c r="B290" s="1" t="s">
        <v>2384</v>
      </c>
      <c r="C290" s="1" t="s">
        <v>2086</v>
      </c>
      <c r="D290" s="1" t="s">
        <v>348</v>
      </c>
      <c r="E290" s="1">
        <v>3700</v>
      </c>
      <c r="F290" s="5">
        <v>50</v>
      </c>
      <c r="G290" s="1" t="s">
        <v>2115</v>
      </c>
      <c r="H290" s="234">
        <v>3.9</v>
      </c>
      <c r="I290" s="236">
        <f t="shared" si="18"/>
        <v>195</v>
      </c>
      <c r="J290" s="351">
        <v>3.65</v>
      </c>
      <c r="K290" s="241">
        <f>3.65*50</f>
        <v>182.5</v>
      </c>
      <c r="L290" s="237">
        <v>41079</v>
      </c>
      <c r="M290" s="1" t="s">
        <v>2116</v>
      </c>
      <c r="N290" s="235">
        <f t="shared" si="16"/>
        <v>195</v>
      </c>
      <c r="O290" s="235">
        <f t="shared" si="17"/>
        <v>0</v>
      </c>
      <c r="P290" s="238" t="s">
        <v>2385</v>
      </c>
      <c r="Q290" s="1" t="s">
        <v>2392</v>
      </c>
      <c r="R290" s="239" t="s">
        <v>2386</v>
      </c>
      <c r="S290" s="238" t="s">
        <v>2387</v>
      </c>
      <c r="T290" s="238" t="s">
        <v>2388</v>
      </c>
      <c r="U290" s="238" t="s">
        <v>2389</v>
      </c>
      <c r="V290" s="238" t="s">
        <v>2390</v>
      </c>
      <c r="W290" s="236">
        <v>5347.5</v>
      </c>
      <c r="X290" s="233">
        <v>41080</v>
      </c>
      <c r="Y290" s="238" t="s">
        <v>2391</v>
      </c>
      <c r="Z290" s="238"/>
      <c r="AB290" s="1" t="s">
        <v>2212</v>
      </c>
    </row>
    <row r="291" spans="1:28" ht="11.25" customHeight="1">
      <c r="A291" s="233">
        <v>41079</v>
      </c>
      <c r="B291" s="1" t="s">
        <v>2393</v>
      </c>
      <c r="C291" s="1" t="s">
        <v>2086</v>
      </c>
      <c r="D291" s="1" t="s">
        <v>2332</v>
      </c>
      <c r="E291" s="1">
        <v>3200</v>
      </c>
      <c r="F291" s="5">
        <v>1</v>
      </c>
      <c r="G291" s="1" t="s">
        <v>2115</v>
      </c>
      <c r="H291" s="234">
        <v>40</v>
      </c>
      <c r="I291" s="236">
        <f t="shared" si="18"/>
        <v>40</v>
      </c>
      <c r="J291" s="351">
        <v>28.73</v>
      </c>
      <c r="K291" s="241">
        <f>28.73*1</f>
        <v>28.73</v>
      </c>
      <c r="L291" s="237">
        <v>41079</v>
      </c>
      <c r="M291" s="1" t="s">
        <v>2379</v>
      </c>
      <c r="N291" s="235">
        <f t="shared" si="16"/>
        <v>40</v>
      </c>
      <c r="O291" s="235">
        <f t="shared" si="17"/>
        <v>0</v>
      </c>
      <c r="P291" s="238" t="s">
        <v>2394</v>
      </c>
      <c r="Q291" s="1" t="s">
        <v>393</v>
      </c>
      <c r="R291" s="239" t="s">
        <v>2395</v>
      </c>
      <c r="S291" s="238" t="s">
        <v>2396</v>
      </c>
      <c r="T291" s="238" t="s">
        <v>2397</v>
      </c>
      <c r="V291" s="238" t="s">
        <v>2176</v>
      </c>
      <c r="Y291" s="239"/>
      <c r="Z291" s="239"/>
      <c r="AB291" s="1" t="s">
        <v>2090</v>
      </c>
    </row>
    <row r="292" spans="1:28" ht="11.25" customHeight="1">
      <c r="A292" s="233">
        <v>41079</v>
      </c>
      <c r="B292" s="1" t="s">
        <v>2393</v>
      </c>
      <c r="C292" s="1" t="s">
        <v>2086</v>
      </c>
      <c r="D292" s="1" t="s">
        <v>2117</v>
      </c>
      <c r="E292" s="1" t="s">
        <v>2118</v>
      </c>
      <c r="F292" s="5">
        <v>1</v>
      </c>
      <c r="G292" s="1" t="s">
        <v>2115</v>
      </c>
      <c r="H292" s="234">
        <v>20</v>
      </c>
      <c r="I292" s="236">
        <f t="shared" si="18"/>
        <v>20</v>
      </c>
      <c r="J292" s="352">
        <v>13.33</v>
      </c>
      <c r="K292" s="241">
        <v>13.33</v>
      </c>
      <c r="L292" s="237">
        <v>41079</v>
      </c>
      <c r="M292" s="1" t="s">
        <v>2379</v>
      </c>
      <c r="N292" s="235">
        <f t="shared" si="16"/>
        <v>20</v>
      </c>
      <c r="O292" s="235">
        <f t="shared" si="17"/>
        <v>0</v>
      </c>
      <c r="P292" s="238" t="s">
        <v>2394</v>
      </c>
      <c r="Q292" s="1" t="s">
        <v>393</v>
      </c>
      <c r="R292" s="239" t="s">
        <v>2395</v>
      </c>
      <c r="S292" s="238" t="s">
        <v>2396</v>
      </c>
      <c r="T292" s="238" t="s">
        <v>2397</v>
      </c>
      <c r="V292" s="238" t="s">
        <v>2176</v>
      </c>
      <c r="Y292" s="239"/>
      <c r="Z292" s="239"/>
      <c r="AB292" s="1" t="s">
        <v>2090</v>
      </c>
    </row>
    <row r="293" spans="1:28" ht="11.25" customHeight="1">
      <c r="A293" s="233">
        <v>41079</v>
      </c>
      <c r="B293" s="1" t="s">
        <v>2393</v>
      </c>
      <c r="C293" s="1" t="s">
        <v>2086</v>
      </c>
      <c r="D293" s="1" t="s">
        <v>2242</v>
      </c>
      <c r="E293" s="1" t="s">
        <v>2334</v>
      </c>
      <c r="F293" s="5">
        <v>1</v>
      </c>
      <c r="G293" s="1" t="s">
        <v>2115</v>
      </c>
      <c r="H293" s="234">
        <v>3</v>
      </c>
      <c r="I293" s="236">
        <f t="shared" si="18"/>
        <v>3</v>
      </c>
      <c r="J293" s="351">
        <v>1.92</v>
      </c>
      <c r="K293" s="241">
        <v>1.92</v>
      </c>
      <c r="L293" s="237">
        <v>41079</v>
      </c>
      <c r="M293" s="1" t="s">
        <v>2379</v>
      </c>
      <c r="N293" s="235">
        <f t="shared" si="16"/>
        <v>3</v>
      </c>
      <c r="O293" s="235">
        <f t="shared" si="17"/>
        <v>0</v>
      </c>
      <c r="P293" s="238" t="s">
        <v>2394</v>
      </c>
      <c r="Q293" s="1" t="s">
        <v>393</v>
      </c>
      <c r="R293" s="239" t="s">
        <v>2395</v>
      </c>
      <c r="S293" s="238" t="s">
        <v>2396</v>
      </c>
      <c r="T293" s="238" t="s">
        <v>2397</v>
      </c>
      <c r="V293" s="238" t="s">
        <v>2176</v>
      </c>
      <c r="Y293" s="239"/>
      <c r="Z293" s="239"/>
      <c r="AB293" s="1" t="s">
        <v>2090</v>
      </c>
    </row>
    <row r="294" spans="1:28" ht="11.25" customHeight="1">
      <c r="A294" s="233">
        <v>41079</v>
      </c>
      <c r="B294" s="1" t="s">
        <v>2393</v>
      </c>
      <c r="C294" s="1" t="s">
        <v>2086</v>
      </c>
      <c r="D294" s="1" t="s">
        <v>269</v>
      </c>
      <c r="E294" s="1" t="s">
        <v>2122</v>
      </c>
      <c r="F294" s="5">
        <v>1</v>
      </c>
      <c r="G294" s="1" t="s">
        <v>232</v>
      </c>
      <c r="H294" s="234">
        <v>2</v>
      </c>
      <c r="I294" s="236">
        <f t="shared" si="18"/>
        <v>2</v>
      </c>
      <c r="J294" s="352">
        <v>1.43</v>
      </c>
      <c r="K294" s="241">
        <f>1.43*1</f>
        <v>1.43</v>
      </c>
      <c r="L294" s="237">
        <v>41079</v>
      </c>
      <c r="M294" s="1" t="s">
        <v>2379</v>
      </c>
      <c r="N294" s="235">
        <f t="shared" si="16"/>
        <v>2</v>
      </c>
      <c r="O294" s="235">
        <f t="shared" si="17"/>
        <v>0</v>
      </c>
      <c r="P294" s="238" t="s">
        <v>2394</v>
      </c>
      <c r="Q294" s="1" t="s">
        <v>393</v>
      </c>
      <c r="R294" s="239" t="s">
        <v>2395</v>
      </c>
      <c r="S294" s="238" t="s">
        <v>2396</v>
      </c>
      <c r="T294" s="238" t="s">
        <v>2397</v>
      </c>
      <c r="V294" s="238" t="s">
        <v>2176</v>
      </c>
      <c r="Y294" s="239"/>
      <c r="Z294" s="239"/>
      <c r="AB294" s="1" t="s">
        <v>2090</v>
      </c>
    </row>
    <row r="295" spans="1:28" ht="11.25" customHeight="1">
      <c r="A295" s="233">
        <v>41079</v>
      </c>
      <c r="B295" s="1" t="s">
        <v>2393</v>
      </c>
      <c r="C295" s="1" t="s">
        <v>2086</v>
      </c>
      <c r="D295" s="1" t="s">
        <v>2103</v>
      </c>
      <c r="E295" s="1" t="s">
        <v>2104</v>
      </c>
      <c r="F295" s="5">
        <v>50</v>
      </c>
      <c r="G295" s="1" t="s">
        <v>5002</v>
      </c>
      <c r="H295" s="234">
        <v>2.2999999999999998</v>
      </c>
      <c r="I295" s="236">
        <f t="shared" si="18"/>
        <v>114.99999999999999</v>
      </c>
      <c r="J295" s="351">
        <v>1.6</v>
      </c>
      <c r="K295" s="241">
        <f>1.6*50</f>
        <v>80</v>
      </c>
      <c r="L295" s="237">
        <v>41079</v>
      </c>
      <c r="M295" s="1" t="s">
        <v>2379</v>
      </c>
      <c r="N295" s="235">
        <f t="shared" si="16"/>
        <v>114.99999999999999</v>
      </c>
      <c r="O295" s="235">
        <f t="shared" si="17"/>
        <v>0</v>
      </c>
      <c r="P295" s="238" t="s">
        <v>2394</v>
      </c>
      <c r="Q295" s="1" t="s">
        <v>393</v>
      </c>
      <c r="R295" s="239" t="s">
        <v>2395</v>
      </c>
      <c r="S295" s="238" t="s">
        <v>2396</v>
      </c>
      <c r="T295" s="238" t="s">
        <v>2397</v>
      </c>
      <c r="V295" s="238" t="s">
        <v>2176</v>
      </c>
      <c r="Y295" s="239"/>
      <c r="Z295" s="239"/>
      <c r="AB295" s="1" t="s">
        <v>2090</v>
      </c>
    </row>
    <row r="296" spans="1:28" ht="11.25" customHeight="1">
      <c r="A296" s="233">
        <v>41079</v>
      </c>
      <c r="B296" s="1" t="s">
        <v>2236</v>
      </c>
      <c r="C296" s="1" t="s">
        <v>2086</v>
      </c>
      <c r="D296" s="1" t="s">
        <v>2398</v>
      </c>
      <c r="E296" s="1">
        <v>4941</v>
      </c>
      <c r="F296" s="1">
        <v>0.8</v>
      </c>
      <c r="G296" s="1" t="s">
        <v>2399</v>
      </c>
      <c r="H296" s="234">
        <v>408</v>
      </c>
      <c r="I296" s="236">
        <f t="shared" si="18"/>
        <v>326.40000000000003</v>
      </c>
      <c r="J296" s="351"/>
      <c r="K296" s="241">
        <f>370*0.8</f>
        <v>296</v>
      </c>
      <c r="L296" s="237">
        <v>41108</v>
      </c>
      <c r="M296" s="1" t="s">
        <v>332</v>
      </c>
      <c r="N296" s="235">
        <f t="shared" si="16"/>
        <v>326.40000000000003</v>
      </c>
      <c r="O296" s="235">
        <f t="shared" si="17"/>
        <v>0</v>
      </c>
      <c r="P296" s="238" t="s">
        <v>2400</v>
      </c>
      <c r="Q296" s="1" t="s">
        <v>2374</v>
      </c>
      <c r="R296" s="239" t="s">
        <v>2401</v>
      </c>
      <c r="S296" s="238" t="s">
        <v>2402</v>
      </c>
      <c r="T296" s="238" t="s">
        <v>801</v>
      </c>
      <c r="U296" s="238" t="s">
        <v>2403</v>
      </c>
      <c r="V296" s="238" t="s">
        <v>2404</v>
      </c>
      <c r="W296" s="236">
        <v>8678.4</v>
      </c>
      <c r="X296" s="233">
        <v>41145</v>
      </c>
      <c r="Y296" s="238" t="s">
        <v>2405</v>
      </c>
      <c r="Z296" s="239"/>
      <c r="AB296" s="1" t="s">
        <v>2212</v>
      </c>
    </row>
    <row r="297" spans="1:28" ht="11.25" customHeight="1">
      <c r="A297" s="233">
        <v>41079</v>
      </c>
      <c r="B297" s="1" t="s">
        <v>2406</v>
      </c>
      <c r="C297" s="1" t="s">
        <v>2086</v>
      </c>
      <c r="D297" s="1" t="s">
        <v>2103</v>
      </c>
      <c r="E297" s="1" t="s">
        <v>2104</v>
      </c>
      <c r="F297" s="5">
        <v>100</v>
      </c>
      <c r="G297" s="1" t="s">
        <v>5002</v>
      </c>
      <c r="H297" s="234">
        <v>2.4</v>
      </c>
      <c r="I297" s="236">
        <f t="shared" si="18"/>
        <v>240</v>
      </c>
      <c r="J297" s="351">
        <v>1.58</v>
      </c>
      <c r="K297" s="241">
        <f>1.58*100</f>
        <v>158</v>
      </c>
      <c r="L297" s="237">
        <v>41079</v>
      </c>
      <c r="M297" s="1" t="s">
        <v>2379</v>
      </c>
      <c r="N297" s="235">
        <f t="shared" si="16"/>
        <v>240</v>
      </c>
      <c r="O297" s="235">
        <f t="shared" si="17"/>
        <v>0</v>
      </c>
      <c r="P297" s="238" t="s">
        <v>2407</v>
      </c>
      <c r="Q297" s="1" t="s">
        <v>393</v>
      </c>
      <c r="R297" s="239" t="s">
        <v>2408</v>
      </c>
      <c r="S297" s="238" t="s">
        <v>2409</v>
      </c>
      <c r="T297" s="238" t="s">
        <v>2410</v>
      </c>
      <c r="V297" s="238" t="s">
        <v>2411</v>
      </c>
      <c r="W297" s="236">
        <v>1062</v>
      </c>
      <c r="X297" s="233">
        <v>41079</v>
      </c>
      <c r="Y297" s="239"/>
      <c r="Z297" s="239"/>
      <c r="AB297" s="1" t="s">
        <v>2090</v>
      </c>
    </row>
    <row r="298" spans="1:28" ht="11.25" customHeight="1">
      <c r="A298" s="233">
        <v>41079</v>
      </c>
      <c r="B298" s="1" t="s">
        <v>2406</v>
      </c>
      <c r="C298" s="1" t="s">
        <v>2086</v>
      </c>
      <c r="D298" s="1" t="s">
        <v>1216</v>
      </c>
      <c r="E298" s="1">
        <v>3200</v>
      </c>
      <c r="F298" s="1">
        <v>5</v>
      </c>
      <c r="G298" s="1" t="s">
        <v>2115</v>
      </c>
      <c r="H298" s="234">
        <v>38</v>
      </c>
      <c r="I298" s="236">
        <f t="shared" si="18"/>
        <v>190</v>
      </c>
      <c r="J298" s="351">
        <v>28.73</v>
      </c>
      <c r="K298" s="241">
        <f>28.73*5</f>
        <v>143.65</v>
      </c>
      <c r="L298" s="237">
        <v>41079</v>
      </c>
      <c r="M298" s="1" t="s">
        <v>2379</v>
      </c>
      <c r="N298" s="235">
        <f t="shared" si="16"/>
        <v>190</v>
      </c>
      <c r="O298" s="235">
        <f t="shared" si="17"/>
        <v>0</v>
      </c>
      <c r="P298" s="238" t="s">
        <v>2407</v>
      </c>
      <c r="Q298" s="1" t="s">
        <v>393</v>
      </c>
      <c r="R298" s="239" t="s">
        <v>2408</v>
      </c>
      <c r="S298" s="238" t="s">
        <v>2409</v>
      </c>
      <c r="T298" s="238" t="s">
        <v>2410</v>
      </c>
      <c r="V298" s="238" t="s">
        <v>2411</v>
      </c>
      <c r="W298" s="236">
        <v>1062</v>
      </c>
      <c r="X298" s="233">
        <v>41079</v>
      </c>
      <c r="Y298" s="239"/>
      <c r="Z298" s="239"/>
      <c r="AB298" s="1" t="s">
        <v>2090</v>
      </c>
    </row>
    <row r="299" spans="1:28" ht="11.25" customHeight="1">
      <c r="A299" s="233">
        <v>41079</v>
      </c>
      <c r="B299" s="1" t="s">
        <v>2406</v>
      </c>
      <c r="C299" s="1" t="s">
        <v>2086</v>
      </c>
      <c r="D299" s="1" t="s">
        <v>2348</v>
      </c>
      <c r="E299" s="1" t="s">
        <v>2122</v>
      </c>
      <c r="F299" s="1">
        <v>15</v>
      </c>
      <c r="G299" s="1" t="s">
        <v>232</v>
      </c>
      <c r="H299" s="234">
        <v>1.9</v>
      </c>
      <c r="I299" s="236">
        <f t="shared" ref="I299:I343" si="19">H299*F299</f>
        <v>28.5</v>
      </c>
      <c r="J299" s="352">
        <v>1.43</v>
      </c>
      <c r="K299" s="241">
        <f>1.43*15</f>
        <v>21.45</v>
      </c>
      <c r="L299" s="237">
        <v>41079</v>
      </c>
      <c r="M299" s="1" t="s">
        <v>2379</v>
      </c>
      <c r="N299" s="235">
        <f t="shared" si="16"/>
        <v>28.5</v>
      </c>
      <c r="O299" s="235">
        <f t="shared" si="17"/>
        <v>0</v>
      </c>
      <c r="P299" s="238" t="s">
        <v>2407</v>
      </c>
      <c r="Q299" s="1" t="s">
        <v>393</v>
      </c>
      <c r="R299" s="239" t="s">
        <v>2408</v>
      </c>
      <c r="S299" s="238" t="s">
        <v>2409</v>
      </c>
      <c r="T299" s="238" t="s">
        <v>2410</v>
      </c>
      <c r="V299" s="238" t="s">
        <v>2411</v>
      </c>
      <c r="W299" s="236">
        <v>1062</v>
      </c>
      <c r="X299" s="233">
        <v>41079</v>
      </c>
      <c r="Y299" s="239"/>
      <c r="Z299" s="239"/>
      <c r="AB299" s="1" t="s">
        <v>2090</v>
      </c>
    </row>
    <row r="300" spans="1:28" ht="11.25" customHeight="1">
      <c r="A300" s="233">
        <v>41079</v>
      </c>
      <c r="B300" s="1" t="s">
        <v>2406</v>
      </c>
      <c r="C300" s="1" t="s">
        <v>2086</v>
      </c>
      <c r="D300" s="1" t="s">
        <v>264</v>
      </c>
      <c r="E300" s="1" t="s">
        <v>2134</v>
      </c>
      <c r="F300" s="1">
        <v>5</v>
      </c>
      <c r="G300" s="1" t="s">
        <v>2101</v>
      </c>
      <c r="H300" s="234">
        <v>2.2000000000000002</v>
      </c>
      <c r="I300" s="236">
        <f t="shared" si="19"/>
        <v>11</v>
      </c>
      <c r="J300" s="351">
        <v>1.92</v>
      </c>
      <c r="K300" s="241">
        <f>1.92*5</f>
        <v>9.6</v>
      </c>
      <c r="L300" s="237">
        <v>41079</v>
      </c>
      <c r="M300" s="1" t="s">
        <v>2412</v>
      </c>
      <c r="N300" s="235">
        <f t="shared" si="16"/>
        <v>11</v>
      </c>
      <c r="O300" s="235">
        <f t="shared" si="17"/>
        <v>0</v>
      </c>
      <c r="P300" s="238" t="s">
        <v>2413</v>
      </c>
      <c r="Q300" s="1" t="s">
        <v>393</v>
      </c>
      <c r="R300" s="239" t="s">
        <v>2414</v>
      </c>
      <c r="S300" s="238" t="s">
        <v>2415</v>
      </c>
      <c r="T300" s="238" t="s">
        <v>2416</v>
      </c>
      <c r="V300" s="238" t="s">
        <v>2417</v>
      </c>
      <c r="W300" s="236">
        <v>1062</v>
      </c>
      <c r="X300" s="233">
        <v>41079</v>
      </c>
      <c r="Y300" s="239"/>
      <c r="Z300" s="239"/>
      <c r="AB300" s="1" t="s">
        <v>2094</v>
      </c>
    </row>
    <row r="301" spans="1:28" ht="11.25" customHeight="1">
      <c r="A301" s="233">
        <v>41079</v>
      </c>
      <c r="B301" s="1" t="s">
        <v>2418</v>
      </c>
      <c r="C301" s="1" t="s">
        <v>2095</v>
      </c>
      <c r="D301" s="1" t="s">
        <v>1895</v>
      </c>
      <c r="E301" s="1" t="s">
        <v>2419</v>
      </c>
      <c r="F301" s="1">
        <v>15</v>
      </c>
      <c r="G301" s="1" t="s">
        <v>2101</v>
      </c>
      <c r="H301" s="234">
        <v>16.899999999999999</v>
      </c>
      <c r="I301" s="236">
        <f t="shared" si="19"/>
        <v>253.49999999999997</v>
      </c>
      <c r="J301" s="352">
        <v>13.33</v>
      </c>
      <c r="K301" s="241">
        <f>13.33*15</f>
        <v>199.95</v>
      </c>
      <c r="L301" s="237">
        <v>41079</v>
      </c>
      <c r="M301" s="1" t="s">
        <v>2412</v>
      </c>
      <c r="N301" s="235">
        <f t="shared" si="16"/>
        <v>253.49999999999997</v>
      </c>
      <c r="O301" s="235">
        <f t="shared" si="17"/>
        <v>0</v>
      </c>
      <c r="P301" s="238" t="s">
        <v>2413</v>
      </c>
      <c r="Q301" s="1" t="s">
        <v>393</v>
      </c>
      <c r="R301" s="239" t="s">
        <v>2414</v>
      </c>
      <c r="S301" s="238" t="s">
        <v>2415</v>
      </c>
      <c r="T301" s="238" t="s">
        <v>2416</v>
      </c>
      <c r="V301" s="238" t="s">
        <v>2417</v>
      </c>
      <c r="W301" s="236">
        <v>1062</v>
      </c>
      <c r="X301" s="233">
        <v>41079</v>
      </c>
      <c r="Y301" s="239"/>
      <c r="Z301" s="239"/>
      <c r="AB301" s="1" t="s">
        <v>2094</v>
      </c>
    </row>
    <row r="302" spans="1:28" ht="11.25" customHeight="1">
      <c r="A302" s="233">
        <v>41079</v>
      </c>
      <c r="B302" s="1" t="s">
        <v>2418</v>
      </c>
      <c r="C302" s="1" t="s">
        <v>2095</v>
      </c>
      <c r="D302" s="1" t="s">
        <v>2024</v>
      </c>
      <c r="E302" s="1">
        <v>10434</v>
      </c>
      <c r="F302" s="1">
        <v>5</v>
      </c>
      <c r="G302" s="1" t="s">
        <v>2420</v>
      </c>
      <c r="H302" s="234">
        <v>20</v>
      </c>
      <c r="I302" s="236">
        <f t="shared" si="19"/>
        <v>100</v>
      </c>
      <c r="J302" s="351"/>
      <c r="K302" s="241">
        <f>14.88*5</f>
        <v>74.400000000000006</v>
      </c>
      <c r="L302" s="237">
        <v>41079</v>
      </c>
      <c r="M302" s="1" t="s">
        <v>2412</v>
      </c>
      <c r="N302" s="235">
        <f t="shared" si="16"/>
        <v>100</v>
      </c>
      <c r="O302" s="235">
        <f t="shared" si="17"/>
        <v>0</v>
      </c>
      <c r="P302" s="238" t="s">
        <v>2413</v>
      </c>
      <c r="Q302" s="1" t="s">
        <v>393</v>
      </c>
      <c r="R302" s="239" t="s">
        <v>2414</v>
      </c>
      <c r="S302" s="238" t="s">
        <v>2415</v>
      </c>
      <c r="T302" s="238" t="s">
        <v>2416</v>
      </c>
      <c r="V302" s="238" t="s">
        <v>2417</v>
      </c>
      <c r="W302" s="236">
        <v>1062</v>
      </c>
      <c r="X302" s="233">
        <v>41079</v>
      </c>
      <c r="Y302" s="239"/>
      <c r="Z302" s="239"/>
      <c r="AB302" s="1" t="s">
        <v>2094</v>
      </c>
    </row>
    <row r="303" spans="1:28" ht="11.25" customHeight="1">
      <c r="A303" s="233">
        <v>41079</v>
      </c>
      <c r="B303" s="1" t="s">
        <v>2418</v>
      </c>
      <c r="C303" s="1" t="s">
        <v>2095</v>
      </c>
      <c r="D303" s="1" t="s">
        <v>1974</v>
      </c>
      <c r="E303" s="1">
        <v>1426</v>
      </c>
      <c r="F303" s="1">
        <v>10</v>
      </c>
      <c r="G303" s="5" t="s">
        <v>2420</v>
      </c>
      <c r="H303" s="234">
        <v>23.9</v>
      </c>
      <c r="I303" s="236">
        <f t="shared" si="19"/>
        <v>239</v>
      </c>
      <c r="J303" s="351"/>
      <c r="K303" s="241">
        <f>20*10</f>
        <v>200</v>
      </c>
      <c r="L303" s="237">
        <v>41079</v>
      </c>
      <c r="M303" s="1" t="s">
        <v>2412</v>
      </c>
      <c r="N303" s="235">
        <f t="shared" si="16"/>
        <v>239</v>
      </c>
      <c r="O303" s="235">
        <f t="shared" si="17"/>
        <v>0</v>
      </c>
      <c r="P303" s="238" t="s">
        <v>2413</v>
      </c>
      <c r="Q303" s="1" t="s">
        <v>393</v>
      </c>
      <c r="R303" s="239" t="s">
        <v>2414</v>
      </c>
      <c r="S303" s="238" t="s">
        <v>2415</v>
      </c>
      <c r="T303" s="238" t="s">
        <v>2416</v>
      </c>
      <c r="V303" s="238" t="s">
        <v>2417</v>
      </c>
      <c r="W303" s="236">
        <v>1062</v>
      </c>
      <c r="X303" s="233">
        <v>41079</v>
      </c>
      <c r="Y303" s="239"/>
      <c r="Z303" s="239"/>
      <c r="AB303" s="1" t="s">
        <v>2094</v>
      </c>
    </row>
    <row r="304" spans="1:28" ht="11.25" customHeight="1">
      <c r="A304" s="233">
        <v>41080</v>
      </c>
      <c r="B304" s="1" t="s">
        <v>2124</v>
      </c>
      <c r="C304" s="1" t="s">
        <v>2095</v>
      </c>
      <c r="D304" s="1" t="s">
        <v>2029</v>
      </c>
      <c r="E304" s="1">
        <v>7502</v>
      </c>
      <c r="F304" s="1">
        <v>5</v>
      </c>
      <c r="G304" s="1" t="s">
        <v>2101</v>
      </c>
      <c r="H304" s="234">
        <v>139.52000000000001</v>
      </c>
      <c r="I304" s="236">
        <f t="shared" si="19"/>
        <v>697.6</v>
      </c>
      <c r="J304" s="351">
        <v>122.8</v>
      </c>
      <c r="K304" s="241">
        <f>122.8*5</f>
        <v>614</v>
      </c>
      <c r="L304" s="237">
        <v>41080</v>
      </c>
      <c r="M304" s="1" t="s">
        <v>2412</v>
      </c>
      <c r="N304" s="235">
        <f t="shared" si="16"/>
        <v>697.6</v>
      </c>
      <c r="O304" s="235">
        <f t="shared" si="17"/>
        <v>0</v>
      </c>
      <c r="P304" s="238" t="s">
        <v>2421</v>
      </c>
      <c r="Q304" s="1" t="s">
        <v>393</v>
      </c>
      <c r="R304" s="239" t="s">
        <v>731</v>
      </c>
      <c r="S304" s="238" t="s">
        <v>2422</v>
      </c>
      <c r="T304" s="238" t="s">
        <v>797</v>
      </c>
      <c r="Y304" s="239"/>
      <c r="Z304" s="239"/>
      <c r="AB304" s="1" t="s">
        <v>2423</v>
      </c>
    </row>
    <row r="305" spans="1:28" ht="11.25" customHeight="1">
      <c r="A305" s="233">
        <v>41080</v>
      </c>
      <c r="B305" s="1" t="s">
        <v>2424</v>
      </c>
      <c r="C305" s="1" t="s">
        <v>2425</v>
      </c>
      <c r="D305" s="1" t="s">
        <v>2426</v>
      </c>
      <c r="E305" s="1" t="s">
        <v>2427</v>
      </c>
      <c r="F305" s="1">
        <v>20</v>
      </c>
      <c r="G305" s="1" t="s">
        <v>2428</v>
      </c>
      <c r="H305" s="234">
        <v>35</v>
      </c>
      <c r="I305" s="236">
        <f t="shared" si="19"/>
        <v>700</v>
      </c>
      <c r="J305" s="351">
        <v>32</v>
      </c>
      <c r="K305" s="241">
        <f>32*20</f>
        <v>640</v>
      </c>
      <c r="L305" s="237">
        <v>41080</v>
      </c>
      <c r="M305" s="1" t="s">
        <v>2429</v>
      </c>
      <c r="N305" s="235">
        <f t="shared" si="16"/>
        <v>700</v>
      </c>
      <c r="O305" s="235">
        <f t="shared" si="17"/>
        <v>0</v>
      </c>
      <c r="P305" s="238" t="s">
        <v>2430</v>
      </c>
      <c r="Q305" s="1" t="s">
        <v>393</v>
      </c>
      <c r="R305" s="239" t="s">
        <v>731</v>
      </c>
      <c r="S305" s="238" t="s">
        <v>2422</v>
      </c>
      <c r="T305" s="238" t="s">
        <v>797</v>
      </c>
      <c r="Y305" s="239"/>
      <c r="Z305" s="239"/>
      <c r="AB305" s="1" t="s">
        <v>2423</v>
      </c>
    </row>
    <row r="306" spans="1:28" ht="11.25" customHeight="1">
      <c r="A306" s="233">
        <v>41080</v>
      </c>
      <c r="B306" s="1" t="s">
        <v>2424</v>
      </c>
      <c r="C306" s="1" t="s">
        <v>2425</v>
      </c>
      <c r="D306" s="1" t="s">
        <v>233</v>
      </c>
      <c r="E306" s="1" t="s">
        <v>2431</v>
      </c>
      <c r="F306" s="1">
        <v>20</v>
      </c>
      <c r="G306" s="1" t="s">
        <v>232</v>
      </c>
      <c r="H306" s="234">
        <v>5.52</v>
      </c>
      <c r="I306" s="236">
        <f t="shared" si="19"/>
        <v>110.39999999999999</v>
      </c>
      <c r="J306" s="351">
        <v>5.0999999999999996</v>
      </c>
      <c r="K306" s="241">
        <f>5.1*20</f>
        <v>102</v>
      </c>
      <c r="L306" s="237">
        <v>41080</v>
      </c>
      <c r="M306" s="1" t="s">
        <v>2429</v>
      </c>
      <c r="N306" s="235">
        <f t="shared" si="16"/>
        <v>110.39999999999999</v>
      </c>
      <c r="O306" s="235">
        <f t="shared" si="17"/>
        <v>0</v>
      </c>
      <c r="P306" s="238" t="s">
        <v>2430</v>
      </c>
      <c r="Q306" s="1" t="s">
        <v>393</v>
      </c>
      <c r="R306" s="239" t="s">
        <v>731</v>
      </c>
      <c r="S306" s="238" t="s">
        <v>2422</v>
      </c>
      <c r="T306" s="238" t="s">
        <v>797</v>
      </c>
      <c r="Y306" s="239"/>
      <c r="Z306" s="239"/>
      <c r="AB306" s="1" t="s">
        <v>2423</v>
      </c>
    </row>
    <row r="307" spans="1:28" ht="11.25" customHeight="1">
      <c r="A307" s="233">
        <v>41080</v>
      </c>
      <c r="B307" s="1" t="s">
        <v>2424</v>
      </c>
      <c r="C307" s="1" t="s">
        <v>2425</v>
      </c>
      <c r="D307" s="1" t="s">
        <v>2432</v>
      </c>
      <c r="E307" s="1">
        <v>501</v>
      </c>
      <c r="F307" s="1">
        <v>10</v>
      </c>
      <c r="G307" s="1" t="s">
        <v>2428</v>
      </c>
      <c r="H307" s="234">
        <v>1.49</v>
      </c>
      <c r="I307" s="236">
        <f t="shared" si="19"/>
        <v>14.9</v>
      </c>
      <c r="J307" s="351">
        <v>1.4</v>
      </c>
      <c r="K307" s="241">
        <f>1.4*10</f>
        <v>14</v>
      </c>
      <c r="L307" s="237">
        <v>41080</v>
      </c>
      <c r="M307" s="1" t="s">
        <v>2429</v>
      </c>
      <c r="N307" s="235">
        <f t="shared" si="16"/>
        <v>14.9</v>
      </c>
      <c r="O307" s="235">
        <f t="shared" si="17"/>
        <v>0</v>
      </c>
      <c r="P307" s="238" t="s">
        <v>2430</v>
      </c>
      <c r="Q307" s="1" t="s">
        <v>393</v>
      </c>
      <c r="R307" s="239" t="s">
        <v>731</v>
      </c>
      <c r="S307" s="238" t="s">
        <v>2422</v>
      </c>
      <c r="T307" s="238" t="s">
        <v>797</v>
      </c>
      <c r="Y307" s="239"/>
      <c r="Z307" s="239"/>
      <c r="AB307" s="1" t="s">
        <v>2423</v>
      </c>
    </row>
    <row r="308" spans="1:28" ht="11.25" customHeight="1">
      <c r="A308" s="233">
        <v>41081</v>
      </c>
      <c r="B308" s="1" t="s">
        <v>713</v>
      </c>
      <c r="C308" s="1" t="s">
        <v>2425</v>
      </c>
      <c r="D308" s="1" t="s">
        <v>1216</v>
      </c>
      <c r="E308" s="1">
        <v>3200</v>
      </c>
      <c r="F308" s="1">
        <v>40</v>
      </c>
      <c r="G308" s="1" t="s">
        <v>2428</v>
      </c>
      <c r="H308" s="234">
        <v>36.299999999999997</v>
      </c>
      <c r="I308" s="236">
        <f t="shared" si="19"/>
        <v>1452</v>
      </c>
      <c r="J308" s="351">
        <v>28</v>
      </c>
      <c r="K308" s="241">
        <f>28*40</f>
        <v>1120</v>
      </c>
      <c r="L308" s="237">
        <v>41081</v>
      </c>
      <c r="M308" s="1" t="s">
        <v>332</v>
      </c>
      <c r="N308" s="235">
        <f t="shared" si="16"/>
        <v>1452</v>
      </c>
      <c r="O308" s="235">
        <f t="shared" si="17"/>
        <v>0</v>
      </c>
      <c r="P308" s="238" t="s">
        <v>2433</v>
      </c>
      <c r="Q308" s="1" t="s">
        <v>1263</v>
      </c>
      <c r="R308" s="239" t="s">
        <v>2434</v>
      </c>
      <c r="S308" s="238" t="s">
        <v>714</v>
      </c>
      <c r="T308" s="238" t="s">
        <v>800</v>
      </c>
      <c r="U308" s="238" t="s">
        <v>2435</v>
      </c>
      <c r="V308" s="238" t="s">
        <v>2436</v>
      </c>
      <c r="W308" s="236">
        <v>2180.8000000000002</v>
      </c>
      <c r="X308" s="233">
        <v>41103</v>
      </c>
      <c r="Y308" s="238" t="s">
        <v>2437</v>
      </c>
      <c r="Z308" s="238"/>
      <c r="AB308" s="1" t="s">
        <v>2438</v>
      </c>
    </row>
    <row r="309" spans="1:28" ht="11.25" customHeight="1">
      <c r="A309" s="233">
        <v>41081</v>
      </c>
      <c r="B309" s="1" t="s">
        <v>713</v>
      </c>
      <c r="C309" s="1" t="s">
        <v>2425</v>
      </c>
      <c r="D309" s="1" t="s">
        <v>2439</v>
      </c>
      <c r="E309" s="1" t="s">
        <v>2440</v>
      </c>
      <c r="F309" s="1">
        <v>140</v>
      </c>
      <c r="G309" s="1" t="s">
        <v>232</v>
      </c>
      <c r="H309" s="234">
        <v>2.2999999999999998</v>
      </c>
      <c r="I309" s="236">
        <f t="shared" si="19"/>
        <v>322</v>
      </c>
      <c r="J309" s="352">
        <v>1.8</v>
      </c>
      <c r="K309" s="241">
        <f>1.8*140</f>
        <v>252</v>
      </c>
      <c r="L309" s="237">
        <v>41081</v>
      </c>
      <c r="M309" s="1" t="s">
        <v>332</v>
      </c>
      <c r="N309" s="235">
        <f t="shared" si="16"/>
        <v>322</v>
      </c>
      <c r="O309" s="235">
        <f t="shared" si="17"/>
        <v>0</v>
      </c>
      <c r="P309" s="238" t="s">
        <v>2433</v>
      </c>
      <c r="Q309" s="1" t="s">
        <v>2441</v>
      </c>
      <c r="R309" s="239" t="s">
        <v>2434</v>
      </c>
      <c r="S309" s="238" t="s">
        <v>714</v>
      </c>
      <c r="T309" s="238" t="s">
        <v>800</v>
      </c>
      <c r="U309" s="238" t="s">
        <v>2435</v>
      </c>
      <c r="V309" s="238" t="s">
        <v>2436</v>
      </c>
      <c r="W309" s="236">
        <v>2180.8000000000002</v>
      </c>
      <c r="X309" s="233">
        <v>41103</v>
      </c>
      <c r="Y309" s="238" t="s">
        <v>2437</v>
      </c>
      <c r="Z309" s="238"/>
      <c r="AB309" s="1" t="s">
        <v>2438</v>
      </c>
    </row>
    <row r="310" spans="1:28" ht="11.25" customHeight="1">
      <c r="A310" s="233">
        <v>41081</v>
      </c>
      <c r="B310" s="1" t="s">
        <v>713</v>
      </c>
      <c r="C310" s="1" t="s">
        <v>2425</v>
      </c>
      <c r="D310" s="1" t="s">
        <v>348</v>
      </c>
      <c r="E310" s="1">
        <v>3700</v>
      </c>
      <c r="F310" s="1">
        <v>40</v>
      </c>
      <c r="G310" s="1" t="s">
        <v>2428</v>
      </c>
      <c r="H310" s="234">
        <v>4.7</v>
      </c>
      <c r="I310" s="236">
        <f t="shared" si="19"/>
        <v>188</v>
      </c>
      <c r="J310" s="351">
        <v>3.6</v>
      </c>
      <c r="K310" s="241">
        <f>3.6*40</f>
        <v>144</v>
      </c>
      <c r="L310" s="237">
        <v>41081</v>
      </c>
      <c r="M310" s="1" t="s">
        <v>332</v>
      </c>
      <c r="N310" s="235">
        <f t="shared" si="16"/>
        <v>188</v>
      </c>
      <c r="O310" s="235">
        <f t="shared" si="17"/>
        <v>0</v>
      </c>
      <c r="P310" s="238" t="s">
        <v>2433</v>
      </c>
      <c r="Q310" s="1" t="s">
        <v>2441</v>
      </c>
      <c r="R310" s="239" t="s">
        <v>2434</v>
      </c>
      <c r="S310" s="238" t="s">
        <v>714</v>
      </c>
      <c r="T310" s="238" t="s">
        <v>800</v>
      </c>
      <c r="U310" s="238" t="s">
        <v>2435</v>
      </c>
      <c r="V310" s="238" t="s">
        <v>2436</v>
      </c>
      <c r="W310" s="236">
        <v>2180.8000000000002</v>
      </c>
      <c r="X310" s="233">
        <v>41103</v>
      </c>
      <c r="Y310" s="238" t="s">
        <v>2437</v>
      </c>
      <c r="Z310" s="238"/>
      <c r="AB310" s="1" t="s">
        <v>2438</v>
      </c>
    </row>
    <row r="311" spans="1:28" ht="11.25" customHeight="1">
      <c r="A311" s="233">
        <v>41081</v>
      </c>
      <c r="B311" s="1" t="s">
        <v>713</v>
      </c>
      <c r="C311" s="1" t="s">
        <v>2425</v>
      </c>
      <c r="D311" s="1" t="s">
        <v>2442</v>
      </c>
      <c r="E311" s="1">
        <v>1270</v>
      </c>
      <c r="F311" s="1">
        <v>40</v>
      </c>
      <c r="G311" s="1" t="s">
        <v>240</v>
      </c>
      <c r="H311" s="234">
        <v>5.47</v>
      </c>
      <c r="I311" s="236">
        <f t="shared" si="19"/>
        <v>218.79999999999998</v>
      </c>
      <c r="J311" s="351"/>
      <c r="K311" s="241">
        <f>4.31*40</f>
        <v>172.39999999999998</v>
      </c>
      <c r="L311" s="237">
        <v>41081</v>
      </c>
      <c r="M311" s="1" t="s">
        <v>332</v>
      </c>
      <c r="N311" s="235">
        <f t="shared" si="16"/>
        <v>218.79999999999998</v>
      </c>
      <c r="O311" s="235">
        <f t="shared" si="17"/>
        <v>0</v>
      </c>
      <c r="P311" s="238" t="s">
        <v>2433</v>
      </c>
      <c r="Q311" s="1" t="s">
        <v>2441</v>
      </c>
      <c r="R311" s="239" t="s">
        <v>2434</v>
      </c>
      <c r="S311" s="238" t="s">
        <v>714</v>
      </c>
      <c r="T311" s="238" t="s">
        <v>800</v>
      </c>
      <c r="U311" s="238" t="s">
        <v>2435</v>
      </c>
      <c r="V311" s="238" t="s">
        <v>2436</v>
      </c>
      <c r="W311" s="236">
        <v>2180.8000000000002</v>
      </c>
      <c r="X311" s="233">
        <v>41103</v>
      </c>
      <c r="Y311" s="238" t="s">
        <v>2437</v>
      </c>
      <c r="Z311" s="238"/>
      <c r="AB311" s="1" t="s">
        <v>2438</v>
      </c>
    </row>
    <row r="312" spans="1:28" ht="11.25" customHeight="1">
      <c r="A312" s="233">
        <v>41085</v>
      </c>
      <c r="B312" s="1" t="s">
        <v>2443</v>
      </c>
      <c r="C312" s="1" t="s">
        <v>2425</v>
      </c>
      <c r="D312" s="1" t="s">
        <v>2444</v>
      </c>
      <c r="E312" s="1" t="s">
        <v>2445</v>
      </c>
      <c r="F312" s="5">
        <v>2000</v>
      </c>
      <c r="G312" s="1" t="s">
        <v>5002</v>
      </c>
      <c r="H312" s="234">
        <v>1.6</v>
      </c>
      <c r="I312" s="236">
        <f t="shared" si="19"/>
        <v>3200</v>
      </c>
      <c r="J312" s="351">
        <v>1.55</v>
      </c>
      <c r="K312" s="241">
        <f>1.55*2000</f>
        <v>3100</v>
      </c>
      <c r="L312" s="237">
        <v>41085</v>
      </c>
      <c r="M312" s="1" t="s">
        <v>2447</v>
      </c>
      <c r="N312" s="235">
        <f t="shared" si="16"/>
        <v>3200</v>
      </c>
      <c r="O312" s="235">
        <f t="shared" si="17"/>
        <v>0</v>
      </c>
      <c r="P312" s="238" t="s">
        <v>2448</v>
      </c>
      <c r="Q312" s="1" t="s">
        <v>2449</v>
      </c>
      <c r="R312" s="239" t="s">
        <v>2450</v>
      </c>
      <c r="S312" s="238" t="s">
        <v>718</v>
      </c>
      <c r="T312" s="238" t="s">
        <v>2451</v>
      </c>
      <c r="U312" s="238" t="s">
        <v>2452</v>
      </c>
      <c r="V312" s="238" t="s">
        <v>2453</v>
      </c>
      <c r="Y312" s="239"/>
      <c r="Z312" s="239"/>
      <c r="AB312" s="1" t="s">
        <v>2423</v>
      </c>
    </row>
    <row r="313" spans="1:28" ht="11.25" customHeight="1">
      <c r="A313" s="233">
        <v>41086</v>
      </c>
      <c r="B313" s="1" t="s">
        <v>2454</v>
      </c>
      <c r="C313" s="1" t="s">
        <v>2425</v>
      </c>
      <c r="D313" s="1" t="s">
        <v>2455</v>
      </c>
      <c r="E313" s="1" t="s">
        <v>2456</v>
      </c>
      <c r="F313" s="1">
        <v>4</v>
      </c>
      <c r="G313" s="1" t="s">
        <v>230</v>
      </c>
      <c r="H313" s="234">
        <v>30</v>
      </c>
      <c r="I313" s="236">
        <f t="shared" si="19"/>
        <v>120</v>
      </c>
      <c r="J313" s="351">
        <v>19</v>
      </c>
      <c r="K313" s="241">
        <f>19*4</f>
        <v>76</v>
      </c>
      <c r="L313" s="237">
        <v>41085</v>
      </c>
      <c r="M313" s="1" t="s">
        <v>2457</v>
      </c>
      <c r="N313" s="235">
        <f t="shared" si="16"/>
        <v>120</v>
      </c>
      <c r="O313" s="235">
        <f t="shared" si="17"/>
        <v>0</v>
      </c>
      <c r="P313" s="238" t="s">
        <v>2458</v>
      </c>
      <c r="Q313" s="1" t="s">
        <v>2441</v>
      </c>
      <c r="R313" s="239" t="s">
        <v>2459</v>
      </c>
      <c r="S313" s="238" t="s">
        <v>2460</v>
      </c>
      <c r="T313" s="238" t="s">
        <v>2461</v>
      </c>
      <c r="U313" s="238" t="s">
        <v>2462</v>
      </c>
      <c r="V313" s="238" t="s">
        <v>2453</v>
      </c>
      <c r="Y313" s="239"/>
      <c r="Z313" s="239"/>
      <c r="AB313" s="1" t="s">
        <v>2438</v>
      </c>
    </row>
    <row r="314" spans="1:28" ht="11.25" customHeight="1">
      <c r="A314" s="233">
        <v>41086</v>
      </c>
      <c r="B314" s="1" t="s">
        <v>2454</v>
      </c>
      <c r="C314" s="1" t="s">
        <v>2425</v>
      </c>
      <c r="D314" s="1" t="s">
        <v>233</v>
      </c>
      <c r="E314" s="1" t="s">
        <v>2431</v>
      </c>
      <c r="F314" s="1">
        <v>4</v>
      </c>
      <c r="G314" s="1" t="s">
        <v>232</v>
      </c>
      <c r="H314" s="234">
        <v>7.5</v>
      </c>
      <c r="I314" s="236">
        <f t="shared" si="19"/>
        <v>30</v>
      </c>
      <c r="J314" s="351">
        <v>5.0999999999999996</v>
      </c>
      <c r="K314" s="241">
        <f>5.1*4</f>
        <v>20.399999999999999</v>
      </c>
      <c r="L314" s="237">
        <v>41085</v>
      </c>
      <c r="M314" s="1" t="s">
        <v>2457</v>
      </c>
      <c r="N314" s="235">
        <f t="shared" si="16"/>
        <v>30</v>
      </c>
      <c r="O314" s="235">
        <f t="shared" si="17"/>
        <v>0</v>
      </c>
      <c r="P314" s="238" t="s">
        <v>2458</v>
      </c>
      <c r="Q314" s="1" t="s">
        <v>2441</v>
      </c>
      <c r="R314" s="239" t="s">
        <v>2459</v>
      </c>
      <c r="S314" s="238" t="s">
        <v>2460</v>
      </c>
      <c r="T314" s="238" t="s">
        <v>2461</v>
      </c>
      <c r="U314" s="238" t="s">
        <v>2462</v>
      </c>
      <c r="V314" s="238" t="s">
        <v>2453</v>
      </c>
      <c r="Y314" s="239"/>
      <c r="Z314" s="239"/>
      <c r="AB314" s="1" t="s">
        <v>2438</v>
      </c>
    </row>
    <row r="315" spans="1:28" ht="11.25" customHeight="1">
      <c r="A315" s="233">
        <v>41086</v>
      </c>
      <c r="B315" s="1" t="s">
        <v>2454</v>
      </c>
      <c r="C315" s="1" t="s">
        <v>2425</v>
      </c>
      <c r="D315" s="1" t="s">
        <v>2432</v>
      </c>
      <c r="E315" s="1">
        <v>501</v>
      </c>
      <c r="F315" s="1">
        <v>2</v>
      </c>
      <c r="G315" s="1" t="s">
        <v>2428</v>
      </c>
      <c r="H315" s="234">
        <v>1.9</v>
      </c>
      <c r="I315" s="236">
        <f t="shared" si="19"/>
        <v>3.8</v>
      </c>
      <c r="J315" s="351">
        <v>1.4</v>
      </c>
      <c r="K315" s="241">
        <f>1.4*2</f>
        <v>2.8</v>
      </c>
      <c r="L315" s="237">
        <v>41085</v>
      </c>
      <c r="M315" s="1" t="s">
        <v>2457</v>
      </c>
      <c r="N315" s="235">
        <f t="shared" si="16"/>
        <v>3.8</v>
      </c>
      <c r="O315" s="235">
        <f t="shared" si="17"/>
        <v>0</v>
      </c>
      <c r="P315" s="238" t="s">
        <v>2458</v>
      </c>
      <c r="Q315" s="1" t="s">
        <v>2441</v>
      </c>
      <c r="R315" s="239" t="s">
        <v>2459</v>
      </c>
      <c r="S315" s="238" t="s">
        <v>2460</v>
      </c>
      <c r="T315" s="238" t="s">
        <v>2461</v>
      </c>
      <c r="U315" s="238" t="s">
        <v>2462</v>
      </c>
      <c r="V315" s="238" t="s">
        <v>2453</v>
      </c>
      <c r="Y315" s="239"/>
      <c r="Z315" s="239"/>
      <c r="AB315" s="1" t="s">
        <v>2438</v>
      </c>
    </row>
    <row r="316" spans="1:28" ht="11.25" customHeight="1">
      <c r="A316" s="233">
        <v>41086</v>
      </c>
      <c r="B316" s="1" t="s">
        <v>2454</v>
      </c>
      <c r="C316" s="1" t="s">
        <v>2425</v>
      </c>
      <c r="D316" s="1" t="s">
        <v>241</v>
      </c>
      <c r="E316" s="1">
        <v>6200</v>
      </c>
      <c r="F316" s="1">
        <v>1</v>
      </c>
      <c r="G316" s="1" t="s">
        <v>230</v>
      </c>
      <c r="H316" s="234">
        <v>66.2</v>
      </c>
      <c r="I316" s="236">
        <f t="shared" si="19"/>
        <v>66.2</v>
      </c>
      <c r="J316" s="351">
        <v>45.8</v>
      </c>
      <c r="K316" s="241" t="e">
        <f>#REF!*F316</f>
        <v>#REF!</v>
      </c>
      <c r="L316" s="237">
        <v>41085</v>
      </c>
      <c r="M316" s="1" t="s">
        <v>2457</v>
      </c>
      <c r="N316" s="235">
        <f t="shared" si="16"/>
        <v>66.2</v>
      </c>
      <c r="O316" s="235">
        <f t="shared" si="17"/>
        <v>0</v>
      </c>
      <c r="P316" s="238" t="s">
        <v>2458</v>
      </c>
      <c r="Q316" s="1" t="s">
        <v>1263</v>
      </c>
      <c r="R316" s="239" t="s">
        <v>2459</v>
      </c>
      <c r="S316" s="238" t="s">
        <v>2460</v>
      </c>
      <c r="T316" s="238" t="s">
        <v>2461</v>
      </c>
      <c r="U316" s="238" t="s">
        <v>2462</v>
      </c>
      <c r="V316" s="238" t="s">
        <v>2453</v>
      </c>
      <c r="Y316" s="239"/>
      <c r="Z316" s="239"/>
      <c r="AB316" s="1" t="s">
        <v>2438</v>
      </c>
    </row>
    <row r="317" spans="1:28" ht="11.25" customHeight="1">
      <c r="A317" s="233">
        <v>41086</v>
      </c>
      <c r="B317" s="1" t="s">
        <v>2463</v>
      </c>
      <c r="C317" s="1" t="s">
        <v>2425</v>
      </c>
      <c r="D317" s="1" t="s">
        <v>2444</v>
      </c>
      <c r="E317" s="1" t="s">
        <v>2445</v>
      </c>
      <c r="F317" s="5">
        <v>200</v>
      </c>
      <c r="G317" s="1" t="s">
        <v>5002</v>
      </c>
      <c r="H317" s="234">
        <v>2.4</v>
      </c>
      <c r="I317" s="236">
        <f t="shared" si="19"/>
        <v>480</v>
      </c>
      <c r="J317" s="351">
        <v>1.58</v>
      </c>
      <c r="K317" s="241">
        <f>1.58*200</f>
        <v>316</v>
      </c>
      <c r="L317" s="237">
        <v>41086</v>
      </c>
      <c r="M317" s="1" t="s">
        <v>2429</v>
      </c>
      <c r="N317" s="235">
        <f t="shared" si="16"/>
        <v>480</v>
      </c>
      <c r="O317" s="235">
        <f t="shared" si="17"/>
        <v>0</v>
      </c>
      <c r="P317" s="238" t="s">
        <v>2464</v>
      </c>
      <c r="Q317" s="1" t="s">
        <v>2465</v>
      </c>
      <c r="R317" s="239" t="s">
        <v>2466</v>
      </c>
      <c r="S317" s="238" t="s">
        <v>2467</v>
      </c>
      <c r="T317" s="238" t="s">
        <v>2468</v>
      </c>
      <c r="V317" s="238" t="s">
        <v>2469</v>
      </c>
      <c r="W317" s="236">
        <v>1302</v>
      </c>
      <c r="X317" s="233">
        <v>41129</v>
      </c>
      <c r="Y317" s="242">
        <v>568105803534</v>
      </c>
      <c r="Z317" s="239"/>
      <c r="AB317" s="1" t="s">
        <v>2438</v>
      </c>
    </row>
    <row r="318" spans="1:28" ht="11.25" customHeight="1">
      <c r="A318" s="233">
        <v>41086</v>
      </c>
      <c r="B318" s="1" t="s">
        <v>2463</v>
      </c>
      <c r="C318" s="1" t="s">
        <v>2425</v>
      </c>
      <c r="D318" s="1" t="s">
        <v>241</v>
      </c>
      <c r="E318" s="1">
        <v>6200</v>
      </c>
      <c r="F318" s="1">
        <v>3</v>
      </c>
      <c r="G318" s="1" t="s">
        <v>230</v>
      </c>
      <c r="H318" s="234">
        <v>70</v>
      </c>
      <c r="I318" s="236">
        <f t="shared" si="19"/>
        <v>210</v>
      </c>
      <c r="J318" s="354">
        <v>45.8</v>
      </c>
      <c r="K318" s="241" t="e">
        <f>#REF!*F318</f>
        <v>#REF!</v>
      </c>
      <c r="L318" s="237">
        <v>41086</v>
      </c>
      <c r="M318" s="1" t="s">
        <v>2429</v>
      </c>
      <c r="N318" s="235">
        <f t="shared" si="16"/>
        <v>210</v>
      </c>
      <c r="O318" s="235">
        <f t="shared" si="17"/>
        <v>0</v>
      </c>
      <c r="P318" s="238" t="s">
        <v>2464</v>
      </c>
      <c r="Q318" s="1" t="s">
        <v>2465</v>
      </c>
      <c r="R318" s="239" t="s">
        <v>2466</v>
      </c>
      <c r="S318" s="238" t="s">
        <v>2467</v>
      </c>
      <c r="T318" s="238" t="s">
        <v>2468</v>
      </c>
      <c r="V318" s="238" t="s">
        <v>2469</v>
      </c>
      <c r="W318" s="236">
        <v>1302</v>
      </c>
      <c r="X318" s="233">
        <v>41129</v>
      </c>
      <c r="Y318" s="242">
        <v>568105803534</v>
      </c>
      <c r="Z318" s="239"/>
      <c r="AB318" s="1" t="s">
        <v>2438</v>
      </c>
    </row>
    <row r="319" spans="1:28" ht="11.25" customHeight="1">
      <c r="A319" s="233">
        <v>41086</v>
      </c>
      <c r="B319" s="1" t="s">
        <v>2463</v>
      </c>
      <c r="C319" s="1" t="s">
        <v>2425</v>
      </c>
      <c r="D319" s="1" t="s">
        <v>2455</v>
      </c>
      <c r="E319" s="1" t="s">
        <v>2456</v>
      </c>
      <c r="F319" s="1">
        <v>12</v>
      </c>
      <c r="G319" s="1" t="s">
        <v>230</v>
      </c>
      <c r="H319" s="234">
        <v>30</v>
      </c>
      <c r="I319" s="236">
        <f t="shared" si="19"/>
        <v>360</v>
      </c>
      <c r="J319" s="351">
        <v>18.37</v>
      </c>
      <c r="K319" s="241">
        <f>18.37*12</f>
        <v>220.44</v>
      </c>
      <c r="L319" s="237">
        <v>41086</v>
      </c>
      <c r="M319" s="1" t="s">
        <v>2429</v>
      </c>
      <c r="N319" s="235">
        <f t="shared" si="16"/>
        <v>360</v>
      </c>
      <c r="O319" s="235">
        <f t="shared" si="17"/>
        <v>0</v>
      </c>
      <c r="P319" s="238" t="s">
        <v>2464</v>
      </c>
      <c r="Q319" s="1" t="s">
        <v>2465</v>
      </c>
      <c r="R319" s="239" t="s">
        <v>2466</v>
      </c>
      <c r="S319" s="238" t="s">
        <v>2467</v>
      </c>
      <c r="T319" s="238" t="s">
        <v>2468</v>
      </c>
      <c r="V319" s="238" t="s">
        <v>2469</v>
      </c>
      <c r="W319" s="236">
        <v>1302</v>
      </c>
      <c r="X319" s="233">
        <v>41129</v>
      </c>
      <c r="Y319" s="242">
        <v>568105803534</v>
      </c>
      <c r="Z319" s="239"/>
      <c r="AB319" s="1" t="s">
        <v>2438</v>
      </c>
    </row>
    <row r="320" spans="1:28" ht="11.25" customHeight="1">
      <c r="A320" s="233">
        <v>41086</v>
      </c>
      <c r="B320" s="1" t="s">
        <v>2463</v>
      </c>
      <c r="C320" s="1" t="s">
        <v>2425</v>
      </c>
      <c r="D320" s="1" t="s">
        <v>233</v>
      </c>
      <c r="E320" s="1" t="s">
        <v>2431</v>
      </c>
      <c r="F320" s="1">
        <v>30</v>
      </c>
      <c r="G320" s="1" t="s">
        <v>232</v>
      </c>
      <c r="H320" s="234">
        <v>8</v>
      </c>
      <c r="I320" s="236">
        <f t="shared" si="19"/>
        <v>240</v>
      </c>
      <c r="J320" s="351">
        <v>5.0999999999999996</v>
      </c>
      <c r="K320" s="241">
        <f>5.1*30</f>
        <v>153</v>
      </c>
      <c r="L320" s="237">
        <v>41086</v>
      </c>
      <c r="M320" s="1" t="s">
        <v>2429</v>
      </c>
      <c r="N320" s="235">
        <f t="shared" si="16"/>
        <v>240</v>
      </c>
      <c r="O320" s="235">
        <f t="shared" si="17"/>
        <v>0</v>
      </c>
      <c r="P320" s="238" t="s">
        <v>2464</v>
      </c>
      <c r="Q320" s="1" t="s">
        <v>2465</v>
      </c>
      <c r="R320" s="239" t="s">
        <v>2466</v>
      </c>
      <c r="S320" s="238" t="s">
        <v>2467</v>
      </c>
      <c r="T320" s="238" t="s">
        <v>2468</v>
      </c>
      <c r="V320" s="238" t="s">
        <v>2469</v>
      </c>
      <c r="W320" s="236">
        <v>1302</v>
      </c>
      <c r="X320" s="233">
        <v>41129</v>
      </c>
      <c r="Y320" s="242">
        <v>568105803534</v>
      </c>
      <c r="Z320" s="239"/>
      <c r="AB320" s="1" t="s">
        <v>2438</v>
      </c>
    </row>
    <row r="321" spans="1:28" ht="11.25" customHeight="1">
      <c r="A321" s="233">
        <v>41086</v>
      </c>
      <c r="B321" s="1" t="s">
        <v>2463</v>
      </c>
      <c r="C321" s="1" t="s">
        <v>2425</v>
      </c>
      <c r="D321" s="1" t="s">
        <v>2432</v>
      </c>
      <c r="E321" s="1">
        <v>501</v>
      </c>
      <c r="F321" s="1">
        <v>6</v>
      </c>
      <c r="G321" s="1" t="s">
        <v>2428</v>
      </c>
      <c r="H321" s="234">
        <v>2</v>
      </c>
      <c r="I321" s="236">
        <f t="shared" si="19"/>
        <v>12</v>
      </c>
      <c r="J321" s="351">
        <v>1.4</v>
      </c>
      <c r="K321" s="241">
        <f>1.4*6</f>
        <v>8.3999999999999986</v>
      </c>
      <c r="L321" s="237">
        <v>41086</v>
      </c>
      <c r="M321" s="1" t="s">
        <v>2429</v>
      </c>
      <c r="N321" s="235">
        <f t="shared" si="16"/>
        <v>12</v>
      </c>
      <c r="O321" s="235">
        <f t="shared" si="17"/>
        <v>0</v>
      </c>
      <c r="P321" s="238" t="s">
        <v>2464</v>
      </c>
      <c r="Q321" s="1" t="s">
        <v>2465</v>
      </c>
      <c r="R321" s="239" t="s">
        <v>2466</v>
      </c>
      <c r="S321" s="238" t="s">
        <v>2467</v>
      </c>
      <c r="T321" s="238" t="s">
        <v>2468</v>
      </c>
      <c r="V321" s="238" t="s">
        <v>2469</v>
      </c>
      <c r="W321" s="236">
        <v>1302</v>
      </c>
      <c r="X321" s="233">
        <v>41129</v>
      </c>
      <c r="Y321" s="242">
        <v>568105803534</v>
      </c>
      <c r="Z321" s="239"/>
      <c r="AB321" s="1" t="s">
        <v>2438</v>
      </c>
    </row>
    <row r="322" spans="1:28" ht="11.25" customHeight="1">
      <c r="A322" s="233">
        <v>41086</v>
      </c>
      <c r="B322" s="1" t="s">
        <v>2470</v>
      </c>
      <c r="C322" s="1" t="s">
        <v>2425</v>
      </c>
      <c r="D322" s="1" t="s">
        <v>241</v>
      </c>
      <c r="E322" s="1">
        <v>6200</v>
      </c>
      <c r="F322" s="1">
        <v>40</v>
      </c>
      <c r="G322" s="1" t="s">
        <v>230</v>
      </c>
      <c r="H322" s="234">
        <v>79.400000000000006</v>
      </c>
      <c r="I322" s="236">
        <f t="shared" si="19"/>
        <v>3176</v>
      </c>
      <c r="J322" s="354">
        <v>45.8</v>
      </c>
      <c r="K322" s="241">
        <f>45.8*F322</f>
        <v>1832</v>
      </c>
      <c r="L322" s="237">
        <v>41222</v>
      </c>
      <c r="M322" s="1" t="s">
        <v>2471</v>
      </c>
      <c r="N322" s="235">
        <f t="shared" si="16"/>
        <v>3176</v>
      </c>
      <c r="O322" s="235">
        <f t="shared" si="17"/>
        <v>0</v>
      </c>
      <c r="P322" s="238" t="s">
        <v>4918</v>
      </c>
      <c r="Q322" s="1" t="s">
        <v>2472</v>
      </c>
      <c r="R322" s="239" t="s">
        <v>2473</v>
      </c>
      <c r="S322" s="238" t="s">
        <v>868</v>
      </c>
      <c r="T322" s="238" t="s">
        <v>2474</v>
      </c>
      <c r="U322" s="238" t="s">
        <v>2475</v>
      </c>
      <c r="V322" s="238" t="s">
        <v>2476</v>
      </c>
      <c r="W322" s="236">
        <v>9200</v>
      </c>
      <c r="X322" s="233">
        <v>41149</v>
      </c>
      <c r="Y322" s="238" t="s">
        <v>2477</v>
      </c>
      <c r="Z322" s="239"/>
      <c r="AA322" s="240" t="s">
        <v>593</v>
      </c>
      <c r="AB322" s="1" t="s">
        <v>2438</v>
      </c>
    </row>
    <row r="323" spans="1:28" ht="11.25" customHeight="1">
      <c r="A323" s="233">
        <v>41086</v>
      </c>
      <c r="B323" s="1" t="s">
        <v>2470</v>
      </c>
      <c r="C323" s="1" t="s">
        <v>2425</v>
      </c>
      <c r="D323" s="1" t="s">
        <v>2455</v>
      </c>
      <c r="E323" s="1" t="s">
        <v>2456</v>
      </c>
      <c r="F323" s="1">
        <v>160</v>
      </c>
      <c r="G323" s="1" t="s">
        <v>230</v>
      </c>
      <c r="H323" s="234">
        <v>28.6</v>
      </c>
      <c r="I323" s="236">
        <f t="shared" si="19"/>
        <v>4576</v>
      </c>
      <c r="J323" s="351">
        <v>18.37</v>
      </c>
      <c r="K323" s="241">
        <f>18.37*160</f>
        <v>2939.2000000000003</v>
      </c>
      <c r="L323" s="237">
        <v>41222</v>
      </c>
      <c r="M323" s="1" t="s">
        <v>2471</v>
      </c>
      <c r="N323" s="235">
        <f t="shared" ref="N323:N386" si="20">I323</f>
        <v>4576</v>
      </c>
      <c r="O323" s="235">
        <f t="shared" ref="O323:O386" si="21">I323-N323</f>
        <v>0</v>
      </c>
      <c r="P323" s="238" t="s">
        <v>4918</v>
      </c>
      <c r="Q323" s="1" t="s">
        <v>2472</v>
      </c>
      <c r="R323" s="239" t="s">
        <v>2473</v>
      </c>
      <c r="S323" s="238" t="s">
        <v>868</v>
      </c>
      <c r="T323" s="238" t="s">
        <v>799</v>
      </c>
      <c r="U323" s="238" t="s">
        <v>2475</v>
      </c>
      <c r="V323" s="238" t="s">
        <v>2476</v>
      </c>
      <c r="W323" s="236">
        <v>9200</v>
      </c>
      <c r="X323" s="233">
        <v>41149</v>
      </c>
      <c r="Y323" s="238" t="s">
        <v>2477</v>
      </c>
      <c r="Z323" s="239"/>
      <c r="AA323" s="240" t="s">
        <v>593</v>
      </c>
      <c r="AB323" s="1" t="s">
        <v>2438</v>
      </c>
    </row>
    <row r="324" spans="1:28" ht="11.25" customHeight="1">
      <c r="A324" s="233">
        <v>41086</v>
      </c>
      <c r="B324" s="1" t="s">
        <v>2470</v>
      </c>
      <c r="C324" s="1" t="s">
        <v>2425</v>
      </c>
      <c r="D324" s="1" t="s">
        <v>233</v>
      </c>
      <c r="E324" s="1" t="s">
        <v>2431</v>
      </c>
      <c r="F324" s="1">
        <v>160</v>
      </c>
      <c r="G324" s="1" t="s">
        <v>232</v>
      </c>
      <c r="H324" s="234">
        <v>7.99</v>
      </c>
      <c r="I324" s="236">
        <f t="shared" si="19"/>
        <v>1278.4000000000001</v>
      </c>
      <c r="J324" s="351">
        <v>5.0999999999999996</v>
      </c>
      <c r="K324" s="241">
        <f>5.1*160</f>
        <v>816</v>
      </c>
      <c r="L324" s="237">
        <v>41222</v>
      </c>
      <c r="M324" s="1" t="s">
        <v>2471</v>
      </c>
      <c r="N324" s="235">
        <f t="shared" si="20"/>
        <v>1278.4000000000001</v>
      </c>
      <c r="O324" s="235">
        <f t="shared" si="21"/>
        <v>0</v>
      </c>
      <c r="P324" s="238" t="s">
        <v>4918</v>
      </c>
      <c r="Q324" s="1" t="s">
        <v>2472</v>
      </c>
      <c r="R324" s="239" t="s">
        <v>2473</v>
      </c>
      <c r="S324" s="238" t="s">
        <v>868</v>
      </c>
      <c r="T324" s="238" t="s">
        <v>799</v>
      </c>
      <c r="U324" s="238" t="s">
        <v>2475</v>
      </c>
      <c r="V324" s="238" t="s">
        <v>2476</v>
      </c>
      <c r="W324" s="236">
        <v>9200</v>
      </c>
      <c r="X324" s="233">
        <v>41149</v>
      </c>
      <c r="Y324" s="238" t="s">
        <v>2477</v>
      </c>
      <c r="Z324" s="239"/>
      <c r="AA324" s="240" t="s">
        <v>593</v>
      </c>
      <c r="AB324" s="1" t="s">
        <v>2438</v>
      </c>
    </row>
    <row r="325" spans="1:28" ht="11.25" customHeight="1">
      <c r="A325" s="233">
        <v>41086</v>
      </c>
      <c r="B325" s="1" t="s">
        <v>2470</v>
      </c>
      <c r="C325" s="1" t="s">
        <v>2425</v>
      </c>
      <c r="D325" s="1" t="s">
        <v>2432</v>
      </c>
      <c r="E325" s="1">
        <v>501</v>
      </c>
      <c r="F325" s="1">
        <v>80</v>
      </c>
      <c r="G325" s="1" t="s">
        <v>2428</v>
      </c>
      <c r="H325" s="234">
        <v>2.12</v>
      </c>
      <c r="I325" s="236">
        <f t="shared" si="19"/>
        <v>169.60000000000002</v>
      </c>
      <c r="J325" s="351">
        <v>1.4</v>
      </c>
      <c r="K325" s="241">
        <f>1.4*80</f>
        <v>112</v>
      </c>
      <c r="L325" s="237">
        <v>41222</v>
      </c>
      <c r="M325" s="1" t="s">
        <v>2471</v>
      </c>
      <c r="N325" s="235">
        <f t="shared" si="20"/>
        <v>169.60000000000002</v>
      </c>
      <c r="O325" s="235">
        <f t="shared" si="21"/>
        <v>0</v>
      </c>
      <c r="P325" s="238" t="s">
        <v>4918</v>
      </c>
      <c r="Q325" s="1" t="s">
        <v>2472</v>
      </c>
      <c r="R325" s="239" t="s">
        <v>2473</v>
      </c>
      <c r="S325" s="238" t="s">
        <v>868</v>
      </c>
      <c r="T325" s="238" t="s">
        <v>799</v>
      </c>
      <c r="U325" s="238" t="s">
        <v>2475</v>
      </c>
      <c r="V325" s="238" t="s">
        <v>2476</v>
      </c>
      <c r="W325" s="236">
        <v>9200</v>
      </c>
      <c r="X325" s="233">
        <v>41149</v>
      </c>
      <c r="Y325" s="238" t="s">
        <v>2477</v>
      </c>
      <c r="Z325" s="239"/>
      <c r="AA325" s="240" t="s">
        <v>593</v>
      </c>
      <c r="AB325" s="1" t="s">
        <v>2438</v>
      </c>
    </row>
    <row r="326" spans="1:28" ht="11.25" customHeight="1">
      <c r="A326" s="233">
        <v>41087</v>
      </c>
      <c r="B326" s="1" t="s">
        <v>2478</v>
      </c>
      <c r="C326" s="1" t="s">
        <v>2425</v>
      </c>
      <c r="D326" s="1" t="s">
        <v>2479</v>
      </c>
      <c r="E326" s="1">
        <v>4680</v>
      </c>
      <c r="F326" s="1">
        <v>2</v>
      </c>
      <c r="G326" s="1" t="s">
        <v>2480</v>
      </c>
      <c r="H326" s="234">
        <v>100</v>
      </c>
      <c r="I326" s="256">
        <f t="shared" si="19"/>
        <v>200</v>
      </c>
      <c r="J326" s="356"/>
      <c r="K326" s="241">
        <v>192</v>
      </c>
      <c r="L326" s="237">
        <v>41080</v>
      </c>
      <c r="M326" s="1" t="s">
        <v>2471</v>
      </c>
      <c r="N326" s="235">
        <f t="shared" si="20"/>
        <v>200</v>
      </c>
      <c r="O326" s="235">
        <f t="shared" si="21"/>
        <v>0</v>
      </c>
      <c r="P326" s="238" t="s">
        <v>2481</v>
      </c>
      <c r="Q326" s="1" t="s">
        <v>2441</v>
      </c>
      <c r="R326" s="239" t="s">
        <v>729</v>
      </c>
      <c r="S326" s="238" t="s">
        <v>730</v>
      </c>
      <c r="T326" s="238" t="s">
        <v>798</v>
      </c>
      <c r="U326" s="238" t="s">
        <v>2482</v>
      </c>
      <c r="V326" s="238" t="s">
        <v>2483</v>
      </c>
      <c r="W326" s="236">
        <v>926.5</v>
      </c>
      <c r="X326" s="233">
        <v>41113</v>
      </c>
      <c r="Y326" s="255">
        <v>468490602772</v>
      </c>
      <c r="AB326" s="1" t="s">
        <v>2423</v>
      </c>
    </row>
    <row r="327" spans="1:28" ht="11.25" customHeight="1">
      <c r="A327" s="233">
        <v>41087</v>
      </c>
      <c r="B327" s="1" t="s">
        <v>2478</v>
      </c>
      <c r="C327" s="1" t="s">
        <v>2425</v>
      </c>
      <c r="D327" s="1" t="s">
        <v>2484</v>
      </c>
      <c r="E327" s="1">
        <v>4680</v>
      </c>
      <c r="F327" s="1">
        <v>2</v>
      </c>
      <c r="G327" s="1" t="s">
        <v>2480</v>
      </c>
      <c r="H327" s="234">
        <v>87.75</v>
      </c>
      <c r="I327" s="236">
        <f t="shared" si="19"/>
        <v>175.5</v>
      </c>
      <c r="J327" s="351"/>
      <c r="K327" s="241">
        <v>156.78</v>
      </c>
      <c r="L327" s="237">
        <v>41080</v>
      </c>
      <c r="M327" s="1" t="s">
        <v>2471</v>
      </c>
      <c r="N327" s="235">
        <f t="shared" si="20"/>
        <v>175.5</v>
      </c>
      <c r="O327" s="235">
        <f t="shared" si="21"/>
        <v>0</v>
      </c>
      <c r="P327" s="238" t="s">
        <v>2481</v>
      </c>
      <c r="Q327" s="1" t="s">
        <v>2441</v>
      </c>
      <c r="R327" s="239" t="s">
        <v>729</v>
      </c>
      <c r="S327" s="238" t="s">
        <v>730</v>
      </c>
      <c r="T327" s="238" t="s">
        <v>798</v>
      </c>
      <c r="U327" s="238" t="s">
        <v>2482</v>
      </c>
      <c r="V327" s="238" t="s">
        <v>2483</v>
      </c>
      <c r="W327" s="236">
        <v>926.5</v>
      </c>
      <c r="X327" s="233">
        <v>41113</v>
      </c>
      <c r="Y327" s="255">
        <v>468490602772</v>
      </c>
      <c r="AB327" s="1" t="s">
        <v>2423</v>
      </c>
    </row>
    <row r="328" spans="1:28" ht="11.25" customHeight="1">
      <c r="A328" s="233">
        <v>41087</v>
      </c>
      <c r="B328" s="1" t="s">
        <v>2478</v>
      </c>
      <c r="C328" s="1" t="s">
        <v>2425</v>
      </c>
      <c r="D328" s="1" t="s">
        <v>2485</v>
      </c>
      <c r="E328" s="1">
        <v>4680</v>
      </c>
      <c r="F328" s="1">
        <v>2</v>
      </c>
      <c r="G328" s="1" t="s">
        <v>2480</v>
      </c>
      <c r="H328" s="234">
        <v>100</v>
      </c>
      <c r="I328" s="236">
        <f t="shared" si="19"/>
        <v>200</v>
      </c>
      <c r="J328" s="351"/>
      <c r="K328" s="241">
        <v>156.78</v>
      </c>
      <c r="L328" s="237">
        <v>41085</v>
      </c>
      <c r="M328" s="1" t="s">
        <v>2471</v>
      </c>
      <c r="N328" s="235">
        <f t="shared" si="20"/>
        <v>200</v>
      </c>
      <c r="O328" s="235">
        <f t="shared" si="21"/>
        <v>0</v>
      </c>
      <c r="P328" s="238" t="s">
        <v>2481</v>
      </c>
      <c r="Q328" s="1" t="s">
        <v>2441</v>
      </c>
      <c r="R328" s="239" t="s">
        <v>729</v>
      </c>
      <c r="S328" s="238" t="s">
        <v>730</v>
      </c>
      <c r="T328" s="238" t="s">
        <v>798</v>
      </c>
      <c r="U328" s="238" t="s">
        <v>2482</v>
      </c>
      <c r="V328" s="238" t="s">
        <v>2483</v>
      </c>
      <c r="W328" s="236">
        <v>926.5</v>
      </c>
      <c r="X328" s="233">
        <v>41113</v>
      </c>
      <c r="Y328" s="255">
        <v>468490602772</v>
      </c>
      <c r="AB328" s="1" t="s">
        <v>2423</v>
      </c>
    </row>
    <row r="329" spans="1:28" ht="11.25" customHeight="1">
      <c r="A329" s="233">
        <v>41089</v>
      </c>
      <c r="B329" s="1" t="s">
        <v>2486</v>
      </c>
      <c r="C329" s="1" t="s">
        <v>2425</v>
      </c>
      <c r="D329" s="1" t="s">
        <v>2487</v>
      </c>
      <c r="E329" s="1">
        <v>8247</v>
      </c>
      <c r="F329" s="1">
        <v>120</v>
      </c>
      <c r="G329" s="1" t="s">
        <v>6206</v>
      </c>
      <c r="H329" s="234">
        <v>13.1</v>
      </c>
      <c r="I329" s="236">
        <f t="shared" si="19"/>
        <v>1572</v>
      </c>
      <c r="J329" s="351"/>
      <c r="K329" s="241">
        <f>12.7*F329</f>
        <v>1524</v>
      </c>
      <c r="L329" s="237">
        <v>41089</v>
      </c>
      <c r="M329" s="1" t="s">
        <v>2457</v>
      </c>
      <c r="N329" s="235">
        <f t="shared" si="20"/>
        <v>1572</v>
      </c>
      <c r="O329" s="235">
        <f t="shared" si="21"/>
        <v>0</v>
      </c>
      <c r="P329" s="238" t="s">
        <v>2488</v>
      </c>
      <c r="Q329" s="1" t="s">
        <v>2489</v>
      </c>
      <c r="R329" s="239" t="s">
        <v>2490</v>
      </c>
      <c r="S329" s="238" t="s">
        <v>735</v>
      </c>
      <c r="T329" s="238" t="s">
        <v>736</v>
      </c>
      <c r="U329" s="238" t="s">
        <v>2491</v>
      </c>
      <c r="V329" s="238" t="s">
        <v>2453</v>
      </c>
      <c r="Y329" s="239"/>
      <c r="Z329" s="239"/>
      <c r="AB329" s="1" t="s">
        <v>2423</v>
      </c>
    </row>
    <row r="330" spans="1:28" ht="11.25" customHeight="1">
      <c r="A330" s="233">
        <v>41090</v>
      </c>
      <c r="B330" s="1" t="s">
        <v>2492</v>
      </c>
      <c r="C330" s="1" t="s">
        <v>2425</v>
      </c>
      <c r="D330" s="5" t="s">
        <v>2444</v>
      </c>
      <c r="E330" s="1" t="s">
        <v>2445</v>
      </c>
      <c r="F330" s="5">
        <v>500</v>
      </c>
      <c r="G330" s="1" t="s">
        <v>5002</v>
      </c>
      <c r="H330" s="234">
        <v>1.59</v>
      </c>
      <c r="I330" s="236">
        <f t="shared" si="19"/>
        <v>795</v>
      </c>
      <c r="J330" s="351">
        <v>1.49</v>
      </c>
      <c r="K330" s="241">
        <f>1.49*F330</f>
        <v>745</v>
      </c>
      <c r="L330" s="237">
        <v>41163</v>
      </c>
      <c r="M330" s="1" t="s">
        <v>2447</v>
      </c>
      <c r="N330" s="235">
        <f t="shared" si="20"/>
        <v>795</v>
      </c>
      <c r="O330" s="235">
        <f t="shared" si="21"/>
        <v>0</v>
      </c>
      <c r="P330" s="238" t="s">
        <v>4918</v>
      </c>
      <c r="Q330" s="1" t="s">
        <v>2441</v>
      </c>
      <c r="R330" s="239" t="s">
        <v>2493</v>
      </c>
      <c r="S330" s="238" t="s">
        <v>2494</v>
      </c>
      <c r="T330" s="238" t="s">
        <v>775</v>
      </c>
      <c r="U330" s="238" t="s">
        <v>2495</v>
      </c>
      <c r="V330" s="238" t="s">
        <v>2453</v>
      </c>
      <c r="Y330" s="239"/>
      <c r="Z330" s="239"/>
      <c r="AA330" s="240" t="s">
        <v>2496</v>
      </c>
      <c r="AB330" s="1" t="s">
        <v>2423</v>
      </c>
    </row>
    <row r="331" spans="1:28" ht="11.25" customHeight="1">
      <c r="A331" s="233">
        <v>41090</v>
      </c>
      <c r="B331" s="1" t="s">
        <v>2492</v>
      </c>
      <c r="C331" s="1" t="s">
        <v>2425</v>
      </c>
      <c r="D331" s="1" t="s">
        <v>2497</v>
      </c>
      <c r="E331" s="1" t="s">
        <v>2498</v>
      </c>
      <c r="F331" s="1">
        <v>20</v>
      </c>
      <c r="G331" s="1" t="s">
        <v>2499</v>
      </c>
      <c r="H331" s="234">
        <v>14.65</v>
      </c>
      <c r="I331" s="236">
        <f t="shared" si="19"/>
        <v>293</v>
      </c>
      <c r="J331" s="351"/>
      <c r="K331" s="241">
        <f>13.91*F331</f>
        <v>278.2</v>
      </c>
      <c r="L331" s="237">
        <v>41163</v>
      </c>
      <c r="M331" s="1" t="s">
        <v>2447</v>
      </c>
      <c r="N331" s="235">
        <f t="shared" si="20"/>
        <v>293</v>
      </c>
      <c r="O331" s="235">
        <f t="shared" si="21"/>
        <v>0</v>
      </c>
      <c r="P331" s="238" t="s">
        <v>4918</v>
      </c>
      <c r="Q331" s="1" t="s">
        <v>2441</v>
      </c>
      <c r="R331" s="239" t="s">
        <v>2493</v>
      </c>
      <c r="S331" s="238" t="s">
        <v>2494</v>
      </c>
      <c r="T331" s="238" t="s">
        <v>775</v>
      </c>
      <c r="U331" s="238" t="s">
        <v>2495</v>
      </c>
      <c r="V331" s="238" t="s">
        <v>2453</v>
      </c>
      <c r="Y331" s="239"/>
      <c r="Z331" s="239"/>
      <c r="AA331" s="240" t="s">
        <v>2496</v>
      </c>
      <c r="AB331" s="1" t="s">
        <v>2423</v>
      </c>
    </row>
    <row r="332" spans="1:28" ht="11.25" customHeight="1">
      <c r="A332" s="233">
        <v>41090</v>
      </c>
      <c r="B332" s="1" t="s">
        <v>2492</v>
      </c>
      <c r="C332" s="1" t="s">
        <v>2425</v>
      </c>
      <c r="D332" s="1" t="s">
        <v>269</v>
      </c>
      <c r="E332" s="1" t="s">
        <v>2500</v>
      </c>
      <c r="F332" s="1">
        <v>300</v>
      </c>
      <c r="G332" s="1" t="s">
        <v>232</v>
      </c>
      <c r="H332" s="234">
        <v>1.45</v>
      </c>
      <c r="I332" s="236">
        <f t="shared" si="19"/>
        <v>435</v>
      </c>
      <c r="J332" s="352">
        <v>1.43</v>
      </c>
      <c r="K332" s="241">
        <f>1.43*F332</f>
        <v>429</v>
      </c>
      <c r="L332" s="237">
        <v>41163</v>
      </c>
      <c r="M332" s="1" t="s">
        <v>2447</v>
      </c>
      <c r="N332" s="235">
        <f t="shared" si="20"/>
        <v>435</v>
      </c>
      <c r="O332" s="235">
        <f t="shared" si="21"/>
        <v>0</v>
      </c>
      <c r="P332" s="238" t="s">
        <v>4918</v>
      </c>
      <c r="Q332" s="1" t="s">
        <v>2441</v>
      </c>
      <c r="R332" s="239" t="s">
        <v>2493</v>
      </c>
      <c r="S332" s="238" t="s">
        <v>2494</v>
      </c>
      <c r="T332" s="238" t="s">
        <v>775</v>
      </c>
      <c r="U332" s="238" t="s">
        <v>2495</v>
      </c>
      <c r="V332" s="238" t="s">
        <v>2453</v>
      </c>
      <c r="Y332" s="239"/>
      <c r="Z332" s="239"/>
      <c r="AA332" s="240" t="s">
        <v>2496</v>
      </c>
      <c r="AB332" s="1" t="s">
        <v>2423</v>
      </c>
    </row>
    <row r="333" spans="1:28" ht="11.25" customHeight="1">
      <c r="A333" s="233">
        <v>41090</v>
      </c>
      <c r="B333" s="1" t="s">
        <v>2492</v>
      </c>
      <c r="C333" s="1" t="s">
        <v>2425</v>
      </c>
      <c r="D333" s="1" t="s">
        <v>1216</v>
      </c>
      <c r="E333" s="1">
        <v>3200</v>
      </c>
      <c r="F333" s="1">
        <v>40</v>
      </c>
      <c r="G333" s="1" t="s">
        <v>2428</v>
      </c>
      <c r="H333" s="234">
        <v>28.58</v>
      </c>
      <c r="I333" s="236">
        <f t="shared" si="19"/>
        <v>1143.1999999999998</v>
      </c>
      <c r="J333" s="351">
        <v>28</v>
      </c>
      <c r="K333" s="241">
        <f>28*F333</f>
        <v>1120</v>
      </c>
      <c r="L333" s="237">
        <v>41163</v>
      </c>
      <c r="M333" s="1" t="s">
        <v>2447</v>
      </c>
      <c r="N333" s="235">
        <f t="shared" si="20"/>
        <v>1143.1999999999998</v>
      </c>
      <c r="O333" s="235">
        <f t="shared" si="21"/>
        <v>0</v>
      </c>
      <c r="P333" s="238" t="s">
        <v>4918</v>
      </c>
      <c r="Q333" s="1" t="s">
        <v>1263</v>
      </c>
      <c r="R333" s="239" t="s">
        <v>2493</v>
      </c>
      <c r="S333" s="238" t="s">
        <v>2494</v>
      </c>
      <c r="T333" s="238" t="s">
        <v>775</v>
      </c>
      <c r="U333" s="238" t="s">
        <v>2495</v>
      </c>
      <c r="V333" s="238" t="s">
        <v>2453</v>
      </c>
      <c r="Y333" s="239"/>
      <c r="Z333" s="239"/>
      <c r="AA333" s="240" t="s">
        <v>605</v>
      </c>
      <c r="AB333" s="1" t="s">
        <v>2423</v>
      </c>
    </row>
    <row r="334" spans="1:28" ht="11.25" customHeight="1">
      <c r="A334" s="233">
        <v>41090</v>
      </c>
      <c r="B334" s="1" t="s">
        <v>2492</v>
      </c>
      <c r="C334" s="1" t="s">
        <v>2425</v>
      </c>
      <c r="D334" s="1" t="s">
        <v>2432</v>
      </c>
      <c r="E334" s="1" t="s">
        <v>2501</v>
      </c>
      <c r="F334" s="1">
        <v>20</v>
      </c>
      <c r="G334" s="1" t="s">
        <v>2428</v>
      </c>
      <c r="H334" s="234">
        <v>1.94</v>
      </c>
      <c r="I334" s="236">
        <f t="shared" si="19"/>
        <v>38.799999999999997</v>
      </c>
      <c r="J334" s="351">
        <v>1.92</v>
      </c>
      <c r="K334" s="241">
        <f>1.92*F334</f>
        <v>38.4</v>
      </c>
      <c r="L334" s="237">
        <v>41163</v>
      </c>
      <c r="M334" s="1" t="s">
        <v>2447</v>
      </c>
      <c r="N334" s="235">
        <f t="shared" si="20"/>
        <v>38.799999999999997</v>
      </c>
      <c r="O334" s="235">
        <f t="shared" si="21"/>
        <v>0</v>
      </c>
      <c r="P334" s="238" t="s">
        <v>4918</v>
      </c>
      <c r="Q334" s="1" t="s">
        <v>2441</v>
      </c>
      <c r="R334" s="239" t="s">
        <v>2493</v>
      </c>
      <c r="S334" s="238" t="s">
        <v>2494</v>
      </c>
      <c r="T334" s="238" t="s">
        <v>775</v>
      </c>
      <c r="U334" s="238" t="s">
        <v>2495</v>
      </c>
      <c r="V334" s="238" t="s">
        <v>2453</v>
      </c>
      <c r="Y334" s="239"/>
      <c r="Z334" s="239"/>
      <c r="AA334" s="240" t="s">
        <v>2496</v>
      </c>
      <c r="AB334" s="1" t="s">
        <v>2423</v>
      </c>
    </row>
    <row r="335" spans="1:28" ht="11.25" customHeight="1">
      <c r="A335" s="233">
        <v>41090</v>
      </c>
      <c r="B335" s="1" t="s">
        <v>2492</v>
      </c>
      <c r="C335" s="1" t="s">
        <v>2425</v>
      </c>
      <c r="D335" s="1" t="s">
        <v>2455</v>
      </c>
      <c r="E335" s="1" t="s">
        <v>2502</v>
      </c>
      <c r="F335" s="1">
        <v>40</v>
      </c>
      <c r="G335" s="1" t="s">
        <v>2428</v>
      </c>
      <c r="H335" s="234">
        <v>13.45</v>
      </c>
      <c r="I335" s="236">
        <f t="shared" si="19"/>
        <v>538</v>
      </c>
      <c r="J335" s="352">
        <v>13.33</v>
      </c>
      <c r="K335" s="241">
        <f>13.33*F335</f>
        <v>533.20000000000005</v>
      </c>
      <c r="L335" s="237">
        <v>41163</v>
      </c>
      <c r="M335" s="1" t="s">
        <v>2447</v>
      </c>
      <c r="N335" s="235">
        <f t="shared" si="20"/>
        <v>538</v>
      </c>
      <c r="O335" s="235">
        <f t="shared" si="21"/>
        <v>0</v>
      </c>
      <c r="P335" s="238" t="s">
        <v>4918</v>
      </c>
      <c r="Q335" s="1" t="s">
        <v>2441</v>
      </c>
      <c r="R335" s="239" t="s">
        <v>2493</v>
      </c>
      <c r="S335" s="238" t="s">
        <v>2494</v>
      </c>
      <c r="T335" s="238" t="s">
        <v>775</v>
      </c>
      <c r="U335" s="238" t="s">
        <v>2495</v>
      </c>
      <c r="V335" s="238" t="s">
        <v>2453</v>
      </c>
      <c r="Y335" s="239"/>
      <c r="Z335" s="239"/>
      <c r="AA335" s="240" t="s">
        <v>2496</v>
      </c>
      <c r="AB335" s="1" t="s">
        <v>2423</v>
      </c>
    </row>
    <row r="336" spans="1:28" ht="11.25" customHeight="1">
      <c r="A336" s="233">
        <v>41090</v>
      </c>
      <c r="B336" s="1" t="s">
        <v>2492</v>
      </c>
      <c r="C336" s="1" t="s">
        <v>2425</v>
      </c>
      <c r="D336" s="1" t="s">
        <v>333</v>
      </c>
      <c r="E336" s="1" t="s">
        <v>2503</v>
      </c>
      <c r="F336" s="1">
        <v>25</v>
      </c>
      <c r="G336" s="1" t="s">
        <v>232</v>
      </c>
      <c r="H336" s="234">
        <v>2.4500000000000002</v>
      </c>
      <c r="I336" s="236">
        <f t="shared" si="19"/>
        <v>61.250000000000007</v>
      </c>
      <c r="J336" s="351"/>
      <c r="K336" s="241">
        <f>2.4*F336</f>
        <v>60</v>
      </c>
      <c r="L336" s="237">
        <v>41163</v>
      </c>
      <c r="M336" s="1" t="s">
        <v>2447</v>
      </c>
      <c r="N336" s="235">
        <f t="shared" si="20"/>
        <v>61.250000000000007</v>
      </c>
      <c r="O336" s="235">
        <f t="shared" si="21"/>
        <v>0</v>
      </c>
      <c r="P336" s="238" t="s">
        <v>4918</v>
      </c>
      <c r="Q336" s="1" t="s">
        <v>2441</v>
      </c>
      <c r="R336" s="239" t="s">
        <v>2493</v>
      </c>
      <c r="S336" s="238" t="s">
        <v>2494</v>
      </c>
      <c r="T336" s="238" t="s">
        <v>775</v>
      </c>
      <c r="U336" s="238" t="s">
        <v>2495</v>
      </c>
      <c r="V336" s="238" t="s">
        <v>2453</v>
      </c>
      <c r="Y336" s="239"/>
      <c r="Z336" s="239"/>
      <c r="AA336" s="240" t="s">
        <v>2496</v>
      </c>
      <c r="AB336" s="1" t="s">
        <v>2423</v>
      </c>
    </row>
    <row r="337" spans="1:28" ht="11.25" customHeight="1">
      <c r="A337" s="233">
        <v>41090</v>
      </c>
      <c r="B337" s="1" t="s">
        <v>2492</v>
      </c>
      <c r="C337" s="1" t="s">
        <v>2425</v>
      </c>
      <c r="D337" s="1" t="s">
        <v>828</v>
      </c>
      <c r="E337" s="1" t="s">
        <v>2504</v>
      </c>
      <c r="F337" s="1">
        <v>300</v>
      </c>
      <c r="G337" s="1" t="s">
        <v>2446</v>
      </c>
      <c r="H337" s="234">
        <v>5.6</v>
      </c>
      <c r="I337" s="236">
        <f t="shared" si="19"/>
        <v>1680</v>
      </c>
      <c r="J337" s="351"/>
      <c r="K337" s="241">
        <f>5.06*F337</f>
        <v>1517.9999999999998</v>
      </c>
      <c r="L337" s="237">
        <v>41163</v>
      </c>
      <c r="M337" s="1" t="s">
        <v>2447</v>
      </c>
      <c r="N337" s="235">
        <f t="shared" si="20"/>
        <v>1680</v>
      </c>
      <c r="O337" s="235">
        <f t="shared" si="21"/>
        <v>0</v>
      </c>
      <c r="P337" s="238" t="s">
        <v>4918</v>
      </c>
      <c r="Q337" s="1" t="s">
        <v>2441</v>
      </c>
      <c r="R337" s="239" t="s">
        <v>2493</v>
      </c>
      <c r="S337" s="238" t="s">
        <v>2494</v>
      </c>
      <c r="T337" s="238" t="s">
        <v>775</v>
      </c>
      <c r="U337" s="238" t="s">
        <v>2495</v>
      </c>
      <c r="V337" s="238" t="s">
        <v>2453</v>
      </c>
      <c r="Y337" s="239"/>
      <c r="Z337" s="239"/>
      <c r="AA337" s="240" t="s">
        <v>2496</v>
      </c>
      <c r="AB337" s="1" t="s">
        <v>2423</v>
      </c>
    </row>
    <row r="338" spans="1:28" ht="11.25" customHeight="1">
      <c r="A338" s="233">
        <v>41090</v>
      </c>
      <c r="B338" s="1" t="s">
        <v>2492</v>
      </c>
      <c r="C338" s="1" t="s">
        <v>2425</v>
      </c>
      <c r="D338" s="1" t="s">
        <v>2505</v>
      </c>
      <c r="E338" s="1">
        <v>8515</v>
      </c>
      <c r="F338" s="1">
        <v>5</v>
      </c>
      <c r="G338" s="5" t="s">
        <v>232</v>
      </c>
      <c r="H338" s="234">
        <v>17.25</v>
      </c>
      <c r="I338" s="236">
        <f t="shared" si="19"/>
        <v>86.25</v>
      </c>
      <c r="J338" s="351"/>
      <c r="K338" s="241">
        <f>17*F338</f>
        <v>85</v>
      </c>
      <c r="L338" s="237">
        <v>41163</v>
      </c>
      <c r="M338" s="1" t="s">
        <v>2447</v>
      </c>
      <c r="N338" s="235">
        <f t="shared" si="20"/>
        <v>86.25</v>
      </c>
      <c r="O338" s="235">
        <f t="shared" si="21"/>
        <v>0</v>
      </c>
      <c r="P338" s="238" t="s">
        <v>4918</v>
      </c>
      <c r="Q338" s="1" t="s">
        <v>2441</v>
      </c>
      <c r="R338" s="239" t="s">
        <v>2493</v>
      </c>
      <c r="S338" s="238" t="s">
        <v>2494</v>
      </c>
      <c r="T338" s="238" t="s">
        <v>775</v>
      </c>
      <c r="U338" s="238" t="s">
        <v>2495</v>
      </c>
      <c r="V338" s="238" t="s">
        <v>2453</v>
      </c>
      <c r="Y338" s="239"/>
      <c r="Z338" s="239"/>
      <c r="AA338" s="240" t="s">
        <v>2496</v>
      </c>
      <c r="AB338" s="1" t="s">
        <v>2423</v>
      </c>
    </row>
    <row r="339" spans="1:28" ht="11.25" customHeight="1">
      <c r="A339" s="233">
        <v>41092</v>
      </c>
      <c r="B339" s="1" t="s">
        <v>989</v>
      </c>
      <c r="C339" s="1" t="s">
        <v>2425</v>
      </c>
      <c r="D339" s="1" t="s">
        <v>269</v>
      </c>
      <c r="E339" s="1" t="s">
        <v>2500</v>
      </c>
      <c r="F339" s="1">
        <v>240</v>
      </c>
      <c r="G339" s="1" t="s">
        <v>232</v>
      </c>
      <c r="H339" s="234">
        <v>1.65</v>
      </c>
      <c r="I339" s="236">
        <f t="shared" si="19"/>
        <v>396</v>
      </c>
      <c r="J339" s="352">
        <v>1.42</v>
      </c>
      <c r="K339" s="241">
        <f>1.42*F339</f>
        <v>340.79999999999995</v>
      </c>
      <c r="L339" s="237">
        <v>41092</v>
      </c>
      <c r="M339" s="1" t="s">
        <v>2429</v>
      </c>
      <c r="N339" s="235">
        <f t="shared" si="20"/>
        <v>396</v>
      </c>
      <c r="O339" s="235">
        <f t="shared" si="21"/>
        <v>0</v>
      </c>
      <c r="P339" s="238" t="s">
        <v>2506</v>
      </c>
      <c r="Q339" s="1" t="s">
        <v>2465</v>
      </c>
      <c r="R339" s="239" t="s">
        <v>2507</v>
      </c>
      <c r="S339" s="238" t="s">
        <v>2508</v>
      </c>
      <c r="T339" s="238" t="s">
        <v>2466</v>
      </c>
      <c r="V339" s="238" t="s">
        <v>2453</v>
      </c>
      <c r="Y339" s="239"/>
      <c r="Z339" s="239"/>
      <c r="AB339" s="1" t="s">
        <v>2438</v>
      </c>
    </row>
    <row r="340" spans="1:28" ht="11.25" customHeight="1">
      <c r="A340" s="233">
        <v>41092</v>
      </c>
      <c r="B340" s="1" t="s">
        <v>989</v>
      </c>
      <c r="C340" s="1" t="s">
        <v>2425</v>
      </c>
      <c r="D340" s="1" t="s">
        <v>264</v>
      </c>
      <c r="E340" s="1" t="s">
        <v>2134</v>
      </c>
      <c r="F340" s="1">
        <v>40</v>
      </c>
      <c r="G340" s="1" t="s">
        <v>2101</v>
      </c>
      <c r="H340" s="234">
        <v>2.85</v>
      </c>
      <c r="I340" s="236">
        <f t="shared" si="19"/>
        <v>114</v>
      </c>
      <c r="J340" s="351">
        <v>1.92</v>
      </c>
      <c r="K340" s="241">
        <f>1.92*F340</f>
        <v>76.8</v>
      </c>
      <c r="L340" s="237">
        <v>41092</v>
      </c>
      <c r="M340" s="1" t="s">
        <v>2412</v>
      </c>
      <c r="N340" s="235">
        <f t="shared" si="20"/>
        <v>114</v>
      </c>
      <c r="O340" s="235">
        <f t="shared" si="21"/>
        <v>0</v>
      </c>
      <c r="P340" s="238" t="s">
        <v>2509</v>
      </c>
      <c r="Q340" s="1" t="s">
        <v>2230</v>
      </c>
      <c r="R340" s="239" t="s">
        <v>2510</v>
      </c>
      <c r="S340" s="238" t="s">
        <v>2511</v>
      </c>
      <c r="T340" s="238" t="s">
        <v>2097</v>
      </c>
      <c r="V340" s="238" t="s">
        <v>2512</v>
      </c>
      <c r="Y340" s="239"/>
      <c r="Z340" s="239"/>
      <c r="AB340" s="1" t="s">
        <v>2094</v>
      </c>
    </row>
    <row r="341" spans="1:28" ht="11.25" customHeight="1">
      <c r="A341" s="233">
        <v>41092</v>
      </c>
      <c r="B341" s="1" t="s">
        <v>989</v>
      </c>
      <c r="C341" s="1" t="s">
        <v>2095</v>
      </c>
      <c r="D341" s="1" t="s">
        <v>355</v>
      </c>
      <c r="E341" s="1" t="s">
        <v>2419</v>
      </c>
      <c r="F341" s="1">
        <v>40</v>
      </c>
      <c r="G341" s="1" t="s">
        <v>2101</v>
      </c>
      <c r="H341" s="234">
        <v>14.5</v>
      </c>
      <c r="I341" s="236">
        <f t="shared" si="19"/>
        <v>580</v>
      </c>
      <c r="J341" s="352">
        <v>13.33</v>
      </c>
      <c r="K341" s="241">
        <f>13.33*F341</f>
        <v>533.20000000000005</v>
      </c>
      <c r="L341" s="237">
        <v>41092</v>
      </c>
      <c r="M341" s="1" t="s">
        <v>2412</v>
      </c>
      <c r="N341" s="235">
        <f t="shared" si="20"/>
        <v>580</v>
      </c>
      <c r="O341" s="235">
        <f t="shared" si="21"/>
        <v>0</v>
      </c>
      <c r="P341" s="238" t="s">
        <v>2509</v>
      </c>
      <c r="Q341" s="1" t="s">
        <v>2230</v>
      </c>
      <c r="R341" s="239" t="s">
        <v>2510</v>
      </c>
      <c r="S341" s="238" t="s">
        <v>2511</v>
      </c>
      <c r="T341" s="238" t="s">
        <v>2097</v>
      </c>
      <c r="V341" s="238" t="s">
        <v>2512</v>
      </c>
      <c r="Y341" s="239"/>
      <c r="Z341" s="239"/>
      <c r="AB341" s="1" t="s">
        <v>2094</v>
      </c>
    </row>
    <row r="342" spans="1:28" ht="11.25" customHeight="1">
      <c r="A342" s="233">
        <v>41092</v>
      </c>
      <c r="B342" s="1" t="s">
        <v>989</v>
      </c>
      <c r="C342" s="1" t="s">
        <v>2095</v>
      </c>
      <c r="D342" s="1" t="s">
        <v>1216</v>
      </c>
      <c r="E342" s="1">
        <v>3200</v>
      </c>
      <c r="F342" s="1">
        <v>40</v>
      </c>
      <c r="G342" s="1" t="s">
        <v>2101</v>
      </c>
      <c r="H342" s="234">
        <v>29</v>
      </c>
      <c r="I342" s="236">
        <f t="shared" si="19"/>
        <v>1160</v>
      </c>
      <c r="J342" s="351">
        <v>28.73</v>
      </c>
      <c r="K342" s="241">
        <f>28.73*F342</f>
        <v>1149.2</v>
      </c>
      <c r="L342" s="237">
        <v>41092</v>
      </c>
      <c r="M342" s="1" t="s">
        <v>2412</v>
      </c>
      <c r="N342" s="235">
        <f t="shared" si="20"/>
        <v>1160</v>
      </c>
      <c r="O342" s="235">
        <f t="shared" si="21"/>
        <v>0</v>
      </c>
      <c r="P342" s="238" t="s">
        <v>2509</v>
      </c>
      <c r="Q342" s="1" t="s">
        <v>2230</v>
      </c>
      <c r="R342" s="239" t="s">
        <v>2510</v>
      </c>
      <c r="S342" s="238" t="s">
        <v>2511</v>
      </c>
      <c r="T342" s="238" t="s">
        <v>2097</v>
      </c>
      <c r="V342" s="238" t="s">
        <v>2512</v>
      </c>
      <c r="Y342" s="239"/>
      <c r="Z342" s="239"/>
      <c r="AB342" s="1" t="s">
        <v>2094</v>
      </c>
    </row>
    <row r="343" spans="1:28" ht="11.25" customHeight="1">
      <c r="A343" s="233">
        <v>41092</v>
      </c>
      <c r="B343" s="1" t="s">
        <v>989</v>
      </c>
      <c r="C343" s="1" t="s">
        <v>2095</v>
      </c>
      <c r="D343" s="5" t="s">
        <v>2026</v>
      </c>
      <c r="E343" s="1" t="s">
        <v>2513</v>
      </c>
      <c r="F343" s="5">
        <v>1000</v>
      </c>
      <c r="G343" s="1" t="s">
        <v>5002</v>
      </c>
      <c r="H343" s="234">
        <v>1.9</v>
      </c>
      <c r="I343" s="236">
        <f t="shared" si="19"/>
        <v>1900</v>
      </c>
      <c r="J343" s="351">
        <v>1.55</v>
      </c>
      <c r="K343" s="241">
        <f>1.55*F343</f>
        <v>1550</v>
      </c>
      <c r="L343" s="237">
        <v>41092</v>
      </c>
      <c r="M343" s="1" t="s">
        <v>2412</v>
      </c>
      <c r="N343" s="235">
        <f t="shared" si="20"/>
        <v>1900</v>
      </c>
      <c r="O343" s="235">
        <f t="shared" si="21"/>
        <v>0</v>
      </c>
      <c r="P343" s="238" t="s">
        <v>2509</v>
      </c>
      <c r="Q343" s="1" t="s">
        <v>2230</v>
      </c>
      <c r="R343" s="239" t="s">
        <v>2510</v>
      </c>
      <c r="S343" s="238" t="s">
        <v>2511</v>
      </c>
      <c r="T343" s="238" t="s">
        <v>2097</v>
      </c>
      <c r="V343" s="238" t="s">
        <v>2512</v>
      </c>
      <c r="Y343" s="239"/>
      <c r="Z343" s="239"/>
      <c r="AB343" s="1" t="s">
        <v>2094</v>
      </c>
    </row>
    <row r="344" spans="1:28" ht="11.25" customHeight="1">
      <c r="A344" s="233">
        <v>41092</v>
      </c>
      <c r="B344" s="1" t="s">
        <v>2515</v>
      </c>
      <c r="C344" s="1" t="s">
        <v>2095</v>
      </c>
      <c r="D344" s="1" t="s">
        <v>355</v>
      </c>
      <c r="E344" s="1" t="s">
        <v>2516</v>
      </c>
      <c r="F344" s="5">
        <v>4</v>
      </c>
      <c r="G344" s="1" t="s">
        <v>230</v>
      </c>
      <c r="H344" s="234">
        <v>25</v>
      </c>
      <c r="I344" s="236">
        <v>100</v>
      </c>
      <c r="J344" s="351">
        <v>18.5</v>
      </c>
      <c r="K344" s="241">
        <f>18.5*F344</f>
        <v>74</v>
      </c>
      <c r="L344" s="237">
        <v>41092</v>
      </c>
      <c r="M344" s="1" t="s">
        <v>2412</v>
      </c>
      <c r="N344" s="235">
        <f t="shared" si="20"/>
        <v>100</v>
      </c>
      <c r="O344" s="235">
        <f t="shared" si="21"/>
        <v>0</v>
      </c>
      <c r="P344" s="238" t="s">
        <v>2517</v>
      </c>
      <c r="Q344" s="1" t="s">
        <v>2230</v>
      </c>
      <c r="R344" s="239" t="s">
        <v>2518</v>
      </c>
      <c r="S344" s="238" t="s">
        <v>2519</v>
      </c>
      <c r="T344" s="238" t="s">
        <v>2097</v>
      </c>
      <c r="V344" s="238" t="s">
        <v>2512</v>
      </c>
      <c r="Y344" s="239"/>
      <c r="Z344" s="239"/>
      <c r="AB344" s="1" t="s">
        <v>2094</v>
      </c>
    </row>
    <row r="345" spans="1:28" ht="11.25" customHeight="1">
      <c r="A345" s="233">
        <v>41092</v>
      </c>
      <c r="B345" s="1" t="s">
        <v>2515</v>
      </c>
      <c r="C345" s="1" t="s">
        <v>2095</v>
      </c>
      <c r="D345" s="1" t="s">
        <v>355</v>
      </c>
      <c r="E345" s="1" t="s">
        <v>2516</v>
      </c>
      <c r="F345" s="5">
        <v>2</v>
      </c>
      <c r="G345" s="1" t="s">
        <v>230</v>
      </c>
      <c r="H345" s="234">
        <v>25</v>
      </c>
      <c r="I345" s="236">
        <v>50</v>
      </c>
      <c r="J345" s="351">
        <v>19</v>
      </c>
      <c r="K345" s="241">
        <f>19*F345</f>
        <v>38</v>
      </c>
      <c r="L345" s="237">
        <v>41092</v>
      </c>
      <c r="M345" s="1" t="s">
        <v>2412</v>
      </c>
      <c r="N345" s="235">
        <f t="shared" si="20"/>
        <v>50</v>
      </c>
      <c r="O345" s="235">
        <f t="shared" si="21"/>
        <v>0</v>
      </c>
      <c r="P345" s="238" t="s">
        <v>2517</v>
      </c>
      <c r="Q345" s="1" t="s">
        <v>2230</v>
      </c>
      <c r="R345" s="239" t="s">
        <v>2518</v>
      </c>
      <c r="S345" s="238" t="s">
        <v>2519</v>
      </c>
      <c r="T345" s="238" t="s">
        <v>2097</v>
      </c>
      <c r="V345" s="238" t="s">
        <v>2512</v>
      </c>
      <c r="Y345" s="239"/>
      <c r="Z345" s="239"/>
      <c r="AB345" s="1" t="s">
        <v>2094</v>
      </c>
    </row>
    <row r="346" spans="1:28" ht="11.25" customHeight="1">
      <c r="A346" s="233">
        <v>41092</v>
      </c>
      <c r="B346" s="1" t="s">
        <v>2515</v>
      </c>
      <c r="C346" s="1" t="s">
        <v>2095</v>
      </c>
      <c r="D346" s="1" t="s">
        <v>233</v>
      </c>
      <c r="E346" s="1" t="s">
        <v>2123</v>
      </c>
      <c r="F346" s="5">
        <v>6</v>
      </c>
      <c r="G346" s="1" t="s">
        <v>232</v>
      </c>
      <c r="H346" s="234">
        <v>7.9</v>
      </c>
      <c r="I346" s="236">
        <v>47.4</v>
      </c>
      <c r="J346" s="351">
        <v>5.0999999999999996</v>
      </c>
      <c r="K346" s="241">
        <f>5.1*F346</f>
        <v>30.599999999999998</v>
      </c>
      <c r="L346" s="237">
        <v>41092</v>
      </c>
      <c r="M346" s="1" t="s">
        <v>2412</v>
      </c>
      <c r="N346" s="235">
        <f t="shared" si="20"/>
        <v>47.4</v>
      </c>
      <c r="O346" s="235">
        <f t="shared" si="21"/>
        <v>0</v>
      </c>
      <c r="P346" s="238" t="s">
        <v>2517</v>
      </c>
      <c r="Q346" s="1" t="s">
        <v>2230</v>
      </c>
      <c r="R346" s="239" t="s">
        <v>2518</v>
      </c>
      <c r="S346" s="238" t="s">
        <v>2519</v>
      </c>
      <c r="T346" s="238" t="s">
        <v>2097</v>
      </c>
      <c r="V346" s="238" t="s">
        <v>2512</v>
      </c>
      <c r="Y346" s="239"/>
      <c r="Z346" s="239"/>
      <c r="AB346" s="1" t="s">
        <v>2094</v>
      </c>
    </row>
    <row r="347" spans="1:28" ht="11.25" customHeight="1">
      <c r="A347" s="233">
        <v>41092</v>
      </c>
      <c r="B347" s="1" t="s">
        <v>2515</v>
      </c>
      <c r="C347" s="1" t="s">
        <v>2095</v>
      </c>
      <c r="D347" s="1" t="s">
        <v>264</v>
      </c>
      <c r="E347" s="1">
        <v>501</v>
      </c>
      <c r="F347" s="5">
        <v>6</v>
      </c>
      <c r="G347" s="1" t="s">
        <v>230</v>
      </c>
      <c r="H347" s="234">
        <v>1.99</v>
      </c>
      <c r="I347" s="236">
        <v>11.94</v>
      </c>
      <c r="J347" s="351">
        <v>1.4</v>
      </c>
      <c r="K347" s="241">
        <f>1.4*F347</f>
        <v>8.3999999999999986</v>
      </c>
      <c r="L347" s="237">
        <v>41092</v>
      </c>
      <c r="M347" s="1" t="s">
        <v>2412</v>
      </c>
      <c r="N347" s="235">
        <f t="shared" si="20"/>
        <v>11.94</v>
      </c>
      <c r="O347" s="235">
        <f t="shared" si="21"/>
        <v>0</v>
      </c>
      <c r="P347" s="238" t="s">
        <v>2517</v>
      </c>
      <c r="Q347" s="1" t="s">
        <v>2230</v>
      </c>
      <c r="R347" s="239" t="s">
        <v>2518</v>
      </c>
      <c r="S347" s="238" t="s">
        <v>2519</v>
      </c>
      <c r="T347" s="238" t="s">
        <v>2097</v>
      </c>
      <c r="V347" s="238" t="s">
        <v>2512</v>
      </c>
      <c r="Y347" s="239"/>
      <c r="Z347" s="239"/>
      <c r="AB347" s="1" t="s">
        <v>2094</v>
      </c>
    </row>
    <row r="348" spans="1:28" ht="11.25" customHeight="1">
      <c r="A348" s="233">
        <v>41092</v>
      </c>
      <c r="B348" s="1" t="s">
        <v>2515</v>
      </c>
      <c r="C348" s="1" t="s">
        <v>2095</v>
      </c>
      <c r="D348" s="1" t="s">
        <v>241</v>
      </c>
      <c r="E348" s="1">
        <v>6200</v>
      </c>
      <c r="F348" s="5">
        <v>3</v>
      </c>
      <c r="G348" s="1" t="s">
        <v>230</v>
      </c>
      <c r="H348" s="234">
        <v>70.22</v>
      </c>
      <c r="I348" s="236">
        <v>210.66</v>
      </c>
      <c r="J348" s="351">
        <v>45.8</v>
      </c>
      <c r="K348" s="241" t="e">
        <f>#REF!*F348</f>
        <v>#REF!</v>
      </c>
      <c r="L348" s="237">
        <v>41092</v>
      </c>
      <c r="M348" s="1" t="s">
        <v>2412</v>
      </c>
      <c r="N348" s="235">
        <f t="shared" si="20"/>
        <v>210.66</v>
      </c>
      <c r="O348" s="235">
        <f t="shared" si="21"/>
        <v>0</v>
      </c>
      <c r="P348" s="238" t="s">
        <v>2517</v>
      </c>
      <c r="Q348" s="1" t="s">
        <v>2230</v>
      </c>
      <c r="R348" s="239" t="s">
        <v>2518</v>
      </c>
      <c r="S348" s="238" t="s">
        <v>2519</v>
      </c>
      <c r="T348" s="238" t="s">
        <v>2097</v>
      </c>
      <c r="V348" s="238" t="s">
        <v>2512</v>
      </c>
      <c r="Y348" s="239"/>
      <c r="Z348" s="239"/>
      <c r="AB348" s="1" t="s">
        <v>2094</v>
      </c>
    </row>
    <row r="349" spans="1:28" ht="11.25" customHeight="1">
      <c r="A349" s="233">
        <v>41092</v>
      </c>
      <c r="B349" s="1" t="s">
        <v>2515</v>
      </c>
      <c r="C349" s="1" t="s">
        <v>2095</v>
      </c>
      <c r="D349" s="5" t="s">
        <v>2026</v>
      </c>
      <c r="E349" s="1" t="s">
        <v>2513</v>
      </c>
      <c r="F349" s="5">
        <v>100</v>
      </c>
      <c r="G349" s="1" t="s">
        <v>5002</v>
      </c>
      <c r="H349" s="234">
        <v>2.4</v>
      </c>
      <c r="I349" s="236">
        <f>H349*F349</f>
        <v>240</v>
      </c>
      <c r="J349" s="351" t="s">
        <v>6084</v>
      </c>
      <c r="K349" s="241">
        <f>1.55*10+1.6*90</f>
        <v>159.5</v>
      </c>
      <c r="L349" s="237">
        <v>41092</v>
      </c>
      <c r="M349" s="1" t="s">
        <v>2412</v>
      </c>
      <c r="N349" s="235">
        <f t="shared" si="20"/>
        <v>240</v>
      </c>
      <c r="O349" s="235">
        <f t="shared" si="21"/>
        <v>0</v>
      </c>
      <c r="P349" s="238" t="s">
        <v>2517</v>
      </c>
      <c r="Q349" s="1" t="s">
        <v>2230</v>
      </c>
      <c r="R349" s="239" t="s">
        <v>2518</v>
      </c>
      <c r="S349" s="238" t="s">
        <v>2519</v>
      </c>
      <c r="T349" s="238" t="s">
        <v>2097</v>
      </c>
      <c r="V349" s="238" t="s">
        <v>2512</v>
      </c>
      <c r="Y349" s="239"/>
      <c r="Z349" s="239"/>
      <c r="AB349" s="1" t="s">
        <v>2094</v>
      </c>
    </row>
    <row r="350" spans="1:28" ht="11.25" customHeight="1">
      <c r="A350" s="233">
        <v>41092</v>
      </c>
      <c r="B350" s="1" t="s">
        <v>2515</v>
      </c>
      <c r="C350" s="1" t="s">
        <v>2095</v>
      </c>
      <c r="D350" s="1" t="s">
        <v>233</v>
      </c>
      <c r="E350" s="1" t="s">
        <v>2123</v>
      </c>
      <c r="F350" s="5">
        <v>6</v>
      </c>
      <c r="G350" s="1" t="s">
        <v>232</v>
      </c>
      <c r="H350" s="234">
        <v>7.84</v>
      </c>
      <c r="I350" s="236">
        <v>47</v>
      </c>
      <c r="J350" s="351">
        <v>5.0999999999999996</v>
      </c>
      <c r="K350" s="241">
        <f>5.1*F350</f>
        <v>30.599999999999998</v>
      </c>
      <c r="L350" s="237">
        <v>41092</v>
      </c>
      <c r="M350" s="1" t="s">
        <v>2412</v>
      </c>
      <c r="N350" s="235">
        <f t="shared" si="20"/>
        <v>47</v>
      </c>
      <c r="O350" s="235">
        <f t="shared" si="21"/>
        <v>0</v>
      </c>
      <c r="P350" s="238" t="s">
        <v>2517</v>
      </c>
      <c r="Q350" s="1" t="s">
        <v>2230</v>
      </c>
      <c r="R350" s="239" t="s">
        <v>2518</v>
      </c>
      <c r="S350" s="238" t="s">
        <v>2519</v>
      </c>
      <c r="T350" s="238" t="s">
        <v>2097</v>
      </c>
      <c r="V350" s="238" t="s">
        <v>2512</v>
      </c>
      <c r="Y350" s="239"/>
      <c r="Z350" s="239"/>
      <c r="AB350" s="1" t="s">
        <v>2094</v>
      </c>
    </row>
    <row r="351" spans="1:28" ht="11.25" customHeight="1">
      <c r="A351" s="233">
        <v>41093</v>
      </c>
      <c r="B351" s="1" t="s">
        <v>2520</v>
      </c>
      <c r="C351" s="1" t="s">
        <v>2095</v>
      </c>
      <c r="D351" s="5" t="s">
        <v>2026</v>
      </c>
      <c r="E351" s="1" t="s">
        <v>2513</v>
      </c>
      <c r="F351" s="5">
        <v>500</v>
      </c>
      <c r="G351" s="1" t="s">
        <v>5002</v>
      </c>
      <c r="H351" s="234">
        <v>2.2999999999999998</v>
      </c>
      <c r="I351" s="236">
        <f t="shared" ref="I351:I358" si="22">H351*F351</f>
        <v>1150</v>
      </c>
      <c r="J351" s="351">
        <v>1.55</v>
      </c>
      <c r="K351" s="241">
        <f>1.55*F351</f>
        <v>775</v>
      </c>
      <c r="L351" s="237">
        <v>41090</v>
      </c>
      <c r="M351" s="1" t="s">
        <v>2349</v>
      </c>
      <c r="N351" s="235">
        <f t="shared" si="20"/>
        <v>1150</v>
      </c>
      <c r="O351" s="235">
        <f t="shared" si="21"/>
        <v>0</v>
      </c>
      <c r="P351" s="238" t="s">
        <v>2521</v>
      </c>
      <c r="Q351" s="1" t="s">
        <v>2522</v>
      </c>
      <c r="R351" s="239" t="s">
        <v>2523</v>
      </c>
      <c r="S351" s="238" t="s">
        <v>2524</v>
      </c>
      <c r="T351" s="238" t="s">
        <v>2525</v>
      </c>
      <c r="U351" s="238" t="s">
        <v>2526</v>
      </c>
      <c r="V351" s="238" t="s">
        <v>2512</v>
      </c>
      <c r="Y351" s="239"/>
      <c r="Z351" s="239"/>
      <c r="AB351" s="1" t="s">
        <v>2094</v>
      </c>
    </row>
    <row r="352" spans="1:28" ht="11.25" customHeight="1">
      <c r="A352" s="233">
        <v>41093</v>
      </c>
      <c r="B352" s="1" t="s">
        <v>2527</v>
      </c>
      <c r="C352" s="1" t="s">
        <v>2095</v>
      </c>
      <c r="D352" s="5" t="s">
        <v>2026</v>
      </c>
      <c r="E352" s="1" t="s">
        <v>2513</v>
      </c>
      <c r="F352" s="5">
        <v>500</v>
      </c>
      <c r="G352" s="1" t="s">
        <v>5002</v>
      </c>
      <c r="H352" s="234">
        <v>2.2999999999999998</v>
      </c>
      <c r="I352" s="236">
        <f t="shared" si="22"/>
        <v>1150</v>
      </c>
      <c r="J352" s="351">
        <v>1.55</v>
      </c>
      <c r="K352" s="241">
        <f>1.55*F352</f>
        <v>775</v>
      </c>
      <c r="L352" s="237">
        <v>41093</v>
      </c>
      <c r="M352" s="1" t="s">
        <v>2412</v>
      </c>
      <c r="N352" s="235">
        <f t="shared" si="20"/>
        <v>1150</v>
      </c>
      <c r="O352" s="235">
        <f t="shared" si="21"/>
        <v>0</v>
      </c>
      <c r="P352" s="238" t="s">
        <v>2528</v>
      </c>
      <c r="Q352" s="1" t="s">
        <v>2529</v>
      </c>
      <c r="R352" s="239" t="s">
        <v>2097</v>
      </c>
      <c r="S352" s="238" t="s">
        <v>2530</v>
      </c>
      <c r="T352" s="238" t="s">
        <v>2531</v>
      </c>
      <c r="V352" s="238" t="s">
        <v>2512</v>
      </c>
      <c r="Y352" s="239"/>
      <c r="Z352" s="239"/>
      <c r="AB352" s="1" t="s">
        <v>2094</v>
      </c>
    </row>
    <row r="353" spans="1:28" ht="11.25" customHeight="1">
      <c r="A353" s="233">
        <v>41093</v>
      </c>
      <c r="B353" s="1" t="s">
        <v>2532</v>
      </c>
      <c r="C353" s="1" t="s">
        <v>2095</v>
      </c>
      <c r="D353" s="1" t="s">
        <v>1219</v>
      </c>
      <c r="E353" s="1" t="s">
        <v>2533</v>
      </c>
      <c r="F353" s="5">
        <v>3</v>
      </c>
      <c r="G353" s="1" t="s">
        <v>2420</v>
      </c>
      <c r="H353" s="234">
        <v>17</v>
      </c>
      <c r="I353" s="236">
        <f t="shared" si="22"/>
        <v>51</v>
      </c>
      <c r="J353" s="351">
        <v>13.4</v>
      </c>
      <c r="K353" s="250">
        <f>13.4*F353</f>
        <v>40.200000000000003</v>
      </c>
      <c r="L353" s="237">
        <v>41093</v>
      </c>
      <c r="M353" s="1" t="s">
        <v>2412</v>
      </c>
      <c r="N353" s="235">
        <f t="shared" si="20"/>
        <v>51</v>
      </c>
      <c r="O353" s="235">
        <f t="shared" si="21"/>
        <v>0</v>
      </c>
      <c r="P353" s="238" t="s">
        <v>2534</v>
      </c>
      <c r="Q353" s="1" t="s">
        <v>2535</v>
      </c>
      <c r="R353" s="239" t="s">
        <v>2536</v>
      </c>
      <c r="S353" s="238" t="s">
        <v>2537</v>
      </c>
      <c r="T353" s="238" t="s">
        <v>804</v>
      </c>
      <c r="U353" s="238" t="s">
        <v>2538</v>
      </c>
      <c r="V353" s="238" t="s">
        <v>2539</v>
      </c>
      <c r="W353" s="236">
        <v>849</v>
      </c>
      <c r="X353" s="233">
        <v>41103</v>
      </c>
      <c r="Y353" s="238" t="s">
        <v>2540</v>
      </c>
      <c r="Z353" s="238"/>
      <c r="AB353" s="1" t="s">
        <v>2094</v>
      </c>
    </row>
    <row r="354" spans="1:28" ht="11.25" customHeight="1">
      <c r="A354" s="233">
        <v>41093</v>
      </c>
      <c r="B354" s="1" t="s">
        <v>2532</v>
      </c>
      <c r="C354" s="1" t="s">
        <v>2095</v>
      </c>
      <c r="D354" s="1" t="s">
        <v>241</v>
      </c>
      <c r="E354" s="1">
        <v>6200</v>
      </c>
      <c r="F354" s="5">
        <v>3</v>
      </c>
      <c r="G354" s="1" t="s">
        <v>230</v>
      </c>
      <c r="H354" s="234">
        <v>65.400000000000006</v>
      </c>
      <c r="I354" s="236">
        <f t="shared" si="22"/>
        <v>196.20000000000002</v>
      </c>
      <c r="J354" s="351">
        <v>45.8</v>
      </c>
      <c r="K354" s="241" t="e">
        <f>#REF!*F354</f>
        <v>#REF!</v>
      </c>
      <c r="L354" s="237">
        <v>41093</v>
      </c>
      <c r="M354" s="1" t="s">
        <v>2412</v>
      </c>
      <c r="N354" s="235">
        <f t="shared" si="20"/>
        <v>196.20000000000002</v>
      </c>
      <c r="O354" s="235">
        <f t="shared" si="21"/>
        <v>0</v>
      </c>
      <c r="P354" s="238" t="s">
        <v>2534</v>
      </c>
      <c r="Q354" s="1" t="s">
        <v>2535</v>
      </c>
      <c r="R354" s="239" t="s">
        <v>2536</v>
      </c>
      <c r="S354" s="238" t="s">
        <v>2537</v>
      </c>
      <c r="T354" s="238" t="s">
        <v>804</v>
      </c>
      <c r="U354" s="238" t="s">
        <v>2538</v>
      </c>
      <c r="V354" s="238" t="s">
        <v>2539</v>
      </c>
      <c r="W354" s="236">
        <v>849</v>
      </c>
      <c r="X354" s="233">
        <v>41103</v>
      </c>
      <c r="Y354" s="238" t="s">
        <v>2540</v>
      </c>
      <c r="Z354" s="238"/>
      <c r="AB354" s="1" t="s">
        <v>2094</v>
      </c>
    </row>
    <row r="355" spans="1:28" ht="11.25" customHeight="1">
      <c r="A355" s="233">
        <v>41093</v>
      </c>
      <c r="B355" s="1" t="s">
        <v>2532</v>
      </c>
      <c r="C355" s="1" t="s">
        <v>2095</v>
      </c>
      <c r="D355" s="1" t="s">
        <v>355</v>
      </c>
      <c r="E355" s="1" t="s">
        <v>2516</v>
      </c>
      <c r="F355" s="5">
        <v>16</v>
      </c>
      <c r="G355" s="1" t="s">
        <v>230</v>
      </c>
      <c r="H355" s="234">
        <v>29</v>
      </c>
      <c r="I355" s="236">
        <f t="shared" si="22"/>
        <v>464</v>
      </c>
      <c r="J355" s="351">
        <v>18.5</v>
      </c>
      <c r="K355" s="241">
        <f>18.37*10+18.5*6</f>
        <v>294.70000000000005</v>
      </c>
      <c r="L355" s="237">
        <v>41093</v>
      </c>
      <c r="M355" s="1" t="s">
        <v>2412</v>
      </c>
      <c r="N355" s="235">
        <f t="shared" si="20"/>
        <v>464</v>
      </c>
      <c r="O355" s="235">
        <f t="shared" si="21"/>
        <v>0</v>
      </c>
      <c r="P355" s="238" t="s">
        <v>2534</v>
      </c>
      <c r="Q355" s="1" t="s">
        <v>2535</v>
      </c>
      <c r="R355" s="239" t="s">
        <v>2536</v>
      </c>
      <c r="S355" s="238" t="s">
        <v>2537</v>
      </c>
      <c r="T355" s="238" t="s">
        <v>804</v>
      </c>
      <c r="U355" s="238" t="s">
        <v>2538</v>
      </c>
      <c r="V355" s="238" t="s">
        <v>2539</v>
      </c>
      <c r="W355" s="236">
        <v>849</v>
      </c>
      <c r="X355" s="233">
        <v>41103</v>
      </c>
      <c r="Y355" s="238" t="s">
        <v>2540</v>
      </c>
      <c r="Z355" s="238"/>
      <c r="AB355" s="1" t="s">
        <v>2094</v>
      </c>
    </row>
    <row r="356" spans="1:28" ht="11.25" customHeight="1">
      <c r="A356" s="233">
        <v>41093</v>
      </c>
      <c r="B356" s="1" t="s">
        <v>2532</v>
      </c>
      <c r="C356" s="1" t="s">
        <v>2095</v>
      </c>
      <c r="D356" s="1" t="s">
        <v>233</v>
      </c>
      <c r="E356" s="1" t="s">
        <v>2123</v>
      </c>
      <c r="F356" s="5">
        <v>16</v>
      </c>
      <c r="G356" s="1" t="s">
        <v>232</v>
      </c>
      <c r="H356" s="234">
        <v>7.9</v>
      </c>
      <c r="I356" s="236">
        <f t="shared" si="22"/>
        <v>126.4</v>
      </c>
      <c r="J356" s="351">
        <v>5.0999999999999996</v>
      </c>
      <c r="K356" s="241">
        <f>5.1*F356</f>
        <v>81.599999999999994</v>
      </c>
      <c r="L356" s="237">
        <v>41093</v>
      </c>
      <c r="M356" s="1" t="s">
        <v>2412</v>
      </c>
      <c r="N356" s="235">
        <f t="shared" si="20"/>
        <v>126.4</v>
      </c>
      <c r="O356" s="235">
        <f t="shared" si="21"/>
        <v>0</v>
      </c>
      <c r="P356" s="238" t="s">
        <v>2534</v>
      </c>
      <c r="Q356" s="1" t="s">
        <v>2535</v>
      </c>
      <c r="R356" s="239" t="s">
        <v>2536</v>
      </c>
      <c r="S356" s="238" t="s">
        <v>2537</v>
      </c>
      <c r="T356" s="238" t="s">
        <v>804</v>
      </c>
      <c r="U356" s="238" t="s">
        <v>2538</v>
      </c>
      <c r="V356" s="238" t="s">
        <v>2539</v>
      </c>
      <c r="W356" s="236">
        <v>849</v>
      </c>
      <c r="X356" s="233">
        <v>41103</v>
      </c>
      <c r="Y356" s="238" t="s">
        <v>2540</v>
      </c>
      <c r="Z356" s="238"/>
      <c r="AB356" s="1" t="s">
        <v>2094</v>
      </c>
    </row>
    <row r="357" spans="1:28" ht="11.25" customHeight="1">
      <c r="A357" s="233">
        <v>41093</v>
      </c>
      <c r="B357" s="1" t="s">
        <v>2532</v>
      </c>
      <c r="C357" s="1" t="s">
        <v>2095</v>
      </c>
      <c r="D357" s="1" t="s">
        <v>264</v>
      </c>
      <c r="E357" s="1">
        <v>501</v>
      </c>
      <c r="F357" s="5">
        <v>6</v>
      </c>
      <c r="G357" s="1" t="s">
        <v>230</v>
      </c>
      <c r="H357" s="234">
        <v>1.9</v>
      </c>
      <c r="I357" s="236">
        <f t="shared" si="22"/>
        <v>11.399999999999999</v>
      </c>
      <c r="J357" s="351">
        <v>1.4</v>
      </c>
      <c r="K357" s="241">
        <f>1.4*F357</f>
        <v>8.3999999999999986</v>
      </c>
      <c r="L357" s="237">
        <v>41093</v>
      </c>
      <c r="M357" s="1" t="s">
        <v>2412</v>
      </c>
      <c r="N357" s="235">
        <f t="shared" si="20"/>
        <v>11.399999999999999</v>
      </c>
      <c r="O357" s="235">
        <f t="shared" si="21"/>
        <v>0</v>
      </c>
      <c r="P357" s="238" t="s">
        <v>2534</v>
      </c>
      <c r="Q357" s="1" t="s">
        <v>2535</v>
      </c>
      <c r="R357" s="239" t="s">
        <v>2536</v>
      </c>
      <c r="S357" s="238" t="s">
        <v>2537</v>
      </c>
      <c r="T357" s="238" t="s">
        <v>804</v>
      </c>
      <c r="U357" s="238" t="s">
        <v>2538</v>
      </c>
      <c r="V357" s="238" t="s">
        <v>2539</v>
      </c>
      <c r="W357" s="236">
        <v>849</v>
      </c>
      <c r="X357" s="233">
        <v>41103</v>
      </c>
      <c r="Y357" s="238" t="s">
        <v>2540</v>
      </c>
      <c r="Z357" s="238"/>
      <c r="AB357" s="1" t="s">
        <v>2094</v>
      </c>
    </row>
    <row r="358" spans="1:28" ht="11.25" customHeight="1">
      <c r="A358" s="233">
        <v>41093</v>
      </c>
      <c r="B358" s="1" t="s">
        <v>2541</v>
      </c>
      <c r="C358" s="1" t="s">
        <v>2095</v>
      </c>
      <c r="D358" s="5" t="s">
        <v>2026</v>
      </c>
      <c r="E358" s="1" t="s">
        <v>2513</v>
      </c>
      <c r="F358" s="5">
        <v>1000</v>
      </c>
      <c r="G358" s="1" t="s">
        <v>5002</v>
      </c>
      <c r="H358" s="234">
        <v>1.7</v>
      </c>
      <c r="I358" s="236">
        <f t="shared" si="22"/>
        <v>1700</v>
      </c>
      <c r="J358" s="351">
        <v>1.55</v>
      </c>
      <c r="K358" s="241">
        <f>1.55*F358</f>
        <v>1550</v>
      </c>
      <c r="L358" s="237">
        <v>41093</v>
      </c>
      <c r="M358" s="1" t="s">
        <v>2412</v>
      </c>
      <c r="N358" s="235">
        <f t="shared" si="20"/>
        <v>1700</v>
      </c>
      <c r="O358" s="235">
        <f t="shared" si="21"/>
        <v>0</v>
      </c>
      <c r="P358" s="238" t="s">
        <v>2542</v>
      </c>
      <c r="Q358" s="1" t="s">
        <v>2230</v>
      </c>
      <c r="R358" s="239" t="s">
        <v>2543</v>
      </c>
      <c r="S358" s="238" t="s">
        <v>2544</v>
      </c>
      <c r="T358" s="238" t="s">
        <v>2097</v>
      </c>
      <c r="V358" s="238" t="s">
        <v>2512</v>
      </c>
      <c r="Y358" s="239"/>
      <c r="Z358" s="239"/>
      <c r="AB358" s="1" t="s">
        <v>2094</v>
      </c>
    </row>
    <row r="359" spans="1:28" ht="11.25" customHeight="1">
      <c r="A359" s="233">
        <v>41093</v>
      </c>
      <c r="B359" s="1" t="s">
        <v>2545</v>
      </c>
      <c r="C359" s="1" t="s">
        <v>2095</v>
      </c>
      <c r="D359" s="1" t="s">
        <v>1774</v>
      </c>
      <c r="E359" s="1" t="s">
        <v>2546</v>
      </c>
      <c r="F359" s="5">
        <v>600</v>
      </c>
      <c r="G359" s="1" t="s">
        <v>232</v>
      </c>
      <c r="H359" s="234">
        <v>3.65</v>
      </c>
      <c r="I359" s="236">
        <f t="shared" ref="I359:I370" si="23">H359*F359</f>
        <v>2190</v>
      </c>
      <c r="J359" s="351"/>
      <c r="K359" s="241">
        <f>2.6*F359</f>
        <v>1560</v>
      </c>
      <c r="L359" s="237">
        <v>41093</v>
      </c>
      <c r="M359" s="1" t="s">
        <v>2412</v>
      </c>
      <c r="N359" s="235">
        <f t="shared" si="20"/>
        <v>2190</v>
      </c>
      <c r="O359" s="235">
        <f t="shared" si="21"/>
        <v>0</v>
      </c>
      <c r="P359" s="238" t="s">
        <v>2547</v>
      </c>
      <c r="Q359" s="1" t="s">
        <v>2529</v>
      </c>
      <c r="R359" s="239" t="s">
        <v>2548</v>
      </c>
      <c r="S359" s="238" t="s">
        <v>2549</v>
      </c>
      <c r="T359" s="238" t="s">
        <v>2550</v>
      </c>
      <c r="V359" s="238" t="s">
        <v>2512</v>
      </c>
      <c r="Y359" s="239"/>
      <c r="Z359" s="239"/>
      <c r="AB359" s="1" t="s">
        <v>2551</v>
      </c>
    </row>
    <row r="360" spans="1:28" ht="11.25" customHeight="1">
      <c r="A360" s="233">
        <v>41093</v>
      </c>
      <c r="B360" s="1" t="s">
        <v>2552</v>
      </c>
      <c r="C360" s="1" t="s">
        <v>2095</v>
      </c>
      <c r="D360" s="1" t="s">
        <v>2034</v>
      </c>
      <c r="E360" s="1">
        <v>4690</v>
      </c>
      <c r="F360" s="5">
        <v>1</v>
      </c>
      <c r="G360" s="1" t="s">
        <v>2553</v>
      </c>
      <c r="H360" s="234">
        <v>228</v>
      </c>
      <c r="I360" s="236">
        <f t="shared" si="23"/>
        <v>228</v>
      </c>
      <c r="J360" s="351"/>
      <c r="K360" s="241">
        <f>212.43*F360</f>
        <v>212.43</v>
      </c>
      <c r="L360" s="237">
        <v>41094</v>
      </c>
      <c r="M360" s="1" t="s">
        <v>2412</v>
      </c>
      <c r="N360" s="235">
        <f t="shared" si="20"/>
        <v>228</v>
      </c>
      <c r="O360" s="235">
        <f t="shared" si="21"/>
        <v>0</v>
      </c>
      <c r="P360" s="238" t="s">
        <v>2554</v>
      </c>
      <c r="Q360" s="1" t="s">
        <v>2529</v>
      </c>
      <c r="R360" s="239" t="s">
        <v>2555</v>
      </c>
      <c r="S360" s="238" t="s">
        <v>2556</v>
      </c>
      <c r="T360" s="238" t="s">
        <v>2557</v>
      </c>
      <c r="V360" s="238" t="s">
        <v>2512</v>
      </c>
      <c r="Y360" s="239"/>
      <c r="Z360" s="239"/>
      <c r="AB360" s="1" t="s">
        <v>2551</v>
      </c>
    </row>
    <row r="361" spans="1:28" ht="11.25" customHeight="1">
      <c r="A361" s="233">
        <v>41093</v>
      </c>
      <c r="B361" s="1" t="s">
        <v>2552</v>
      </c>
      <c r="C361" s="1" t="s">
        <v>2095</v>
      </c>
      <c r="D361" s="1" t="s">
        <v>2035</v>
      </c>
      <c r="E361" s="1">
        <v>4690</v>
      </c>
      <c r="F361" s="5">
        <v>1</v>
      </c>
      <c r="G361" s="1" t="s">
        <v>2553</v>
      </c>
      <c r="H361" s="234">
        <v>228</v>
      </c>
      <c r="I361" s="236">
        <f t="shared" si="23"/>
        <v>228</v>
      </c>
      <c r="J361" s="351"/>
      <c r="K361" s="241">
        <f>212.43*F361</f>
        <v>212.43</v>
      </c>
      <c r="L361" s="237">
        <v>41094</v>
      </c>
      <c r="M361" s="1" t="s">
        <v>2412</v>
      </c>
      <c r="N361" s="235">
        <f t="shared" si="20"/>
        <v>228</v>
      </c>
      <c r="O361" s="235">
        <f t="shared" si="21"/>
        <v>0</v>
      </c>
      <c r="P361" s="238" t="s">
        <v>2554</v>
      </c>
      <c r="Q361" s="1" t="s">
        <v>2529</v>
      </c>
      <c r="R361" s="239" t="s">
        <v>2555</v>
      </c>
      <c r="S361" s="238" t="s">
        <v>2556</v>
      </c>
      <c r="T361" s="238" t="s">
        <v>2557</v>
      </c>
      <c r="V361" s="238" t="s">
        <v>2512</v>
      </c>
      <c r="Y361" s="239"/>
      <c r="Z361" s="239"/>
      <c r="AB361" s="1" t="s">
        <v>2551</v>
      </c>
    </row>
    <row r="362" spans="1:28" ht="11.25" customHeight="1">
      <c r="A362" s="233">
        <v>41095</v>
      </c>
      <c r="B362" s="1" t="s">
        <v>2558</v>
      </c>
      <c r="C362" s="1" t="s">
        <v>2095</v>
      </c>
      <c r="D362" s="1" t="s">
        <v>355</v>
      </c>
      <c r="E362" s="1" t="s">
        <v>2516</v>
      </c>
      <c r="F362" s="5">
        <v>4</v>
      </c>
      <c r="G362" s="1" t="s">
        <v>230</v>
      </c>
      <c r="H362" s="234">
        <v>25.9</v>
      </c>
      <c r="I362" s="236">
        <f t="shared" si="23"/>
        <v>103.6</v>
      </c>
      <c r="J362" s="351">
        <v>18.5</v>
      </c>
      <c r="K362" s="241">
        <f>18.5*F362</f>
        <v>74</v>
      </c>
      <c r="L362" s="237">
        <v>41095</v>
      </c>
      <c r="M362" s="1" t="s">
        <v>2412</v>
      </c>
      <c r="N362" s="235">
        <f t="shared" si="20"/>
        <v>103.6</v>
      </c>
      <c r="O362" s="235">
        <f t="shared" si="21"/>
        <v>0</v>
      </c>
      <c r="P362" s="238" t="s">
        <v>2559</v>
      </c>
      <c r="Q362" s="1" t="s">
        <v>2230</v>
      </c>
      <c r="R362" s="239" t="s">
        <v>2560</v>
      </c>
      <c r="S362" s="238" t="s">
        <v>2561</v>
      </c>
      <c r="T362" s="238" t="s">
        <v>2562</v>
      </c>
      <c r="V362" s="238" t="s">
        <v>2512</v>
      </c>
      <c r="Y362" s="239"/>
      <c r="Z362" s="239"/>
      <c r="AB362" s="1" t="s">
        <v>2094</v>
      </c>
    </row>
    <row r="363" spans="1:28" ht="11.25" customHeight="1">
      <c r="A363" s="233">
        <v>41095</v>
      </c>
      <c r="B363" s="1" t="s">
        <v>2558</v>
      </c>
      <c r="C363" s="1" t="s">
        <v>2095</v>
      </c>
      <c r="D363" s="1" t="s">
        <v>233</v>
      </c>
      <c r="E363" s="1" t="s">
        <v>2123</v>
      </c>
      <c r="F363" s="5">
        <v>4</v>
      </c>
      <c r="G363" s="1" t="s">
        <v>232</v>
      </c>
      <c r="H363" s="234">
        <v>7.3</v>
      </c>
      <c r="I363" s="236">
        <f t="shared" si="23"/>
        <v>29.2</v>
      </c>
      <c r="J363" s="351">
        <v>5.0999999999999996</v>
      </c>
      <c r="K363" s="241">
        <f>5.1*F363</f>
        <v>20.399999999999999</v>
      </c>
      <c r="L363" s="237">
        <v>41095</v>
      </c>
      <c r="M363" s="1" t="s">
        <v>2412</v>
      </c>
      <c r="N363" s="235">
        <f t="shared" si="20"/>
        <v>29.2</v>
      </c>
      <c r="O363" s="235">
        <f t="shared" si="21"/>
        <v>0</v>
      </c>
      <c r="P363" s="238" t="s">
        <v>2559</v>
      </c>
      <c r="Q363" s="1" t="s">
        <v>2230</v>
      </c>
      <c r="R363" s="239" t="s">
        <v>2560</v>
      </c>
      <c r="S363" s="238" t="s">
        <v>2561</v>
      </c>
      <c r="T363" s="238" t="s">
        <v>2562</v>
      </c>
      <c r="V363" s="238" t="s">
        <v>2512</v>
      </c>
      <c r="Y363" s="239"/>
      <c r="Z363" s="239"/>
      <c r="AB363" s="1" t="s">
        <v>2094</v>
      </c>
    </row>
    <row r="364" spans="1:28" ht="11.25" customHeight="1">
      <c r="A364" s="233">
        <v>41095</v>
      </c>
      <c r="B364" s="1" t="s">
        <v>2558</v>
      </c>
      <c r="C364" s="1" t="s">
        <v>2095</v>
      </c>
      <c r="D364" s="1" t="s">
        <v>264</v>
      </c>
      <c r="E364" s="1">
        <v>501</v>
      </c>
      <c r="F364" s="5">
        <v>4</v>
      </c>
      <c r="G364" s="1" t="s">
        <v>230</v>
      </c>
      <c r="H364" s="234">
        <v>1.8</v>
      </c>
      <c r="I364" s="236">
        <f t="shared" si="23"/>
        <v>7.2</v>
      </c>
      <c r="J364" s="351">
        <v>1.4</v>
      </c>
      <c r="K364" s="241">
        <f>1.4*F364</f>
        <v>5.6</v>
      </c>
      <c r="L364" s="237">
        <v>41095</v>
      </c>
      <c r="M364" s="1" t="s">
        <v>2412</v>
      </c>
      <c r="N364" s="235">
        <f t="shared" si="20"/>
        <v>7.2</v>
      </c>
      <c r="O364" s="235">
        <f t="shared" si="21"/>
        <v>0</v>
      </c>
      <c r="P364" s="238" t="s">
        <v>2559</v>
      </c>
      <c r="Q364" s="1" t="s">
        <v>2230</v>
      </c>
      <c r="R364" s="239" t="s">
        <v>2560</v>
      </c>
      <c r="S364" s="238" t="s">
        <v>2561</v>
      </c>
      <c r="T364" s="238" t="s">
        <v>2562</v>
      </c>
      <c r="V364" s="238" t="s">
        <v>2512</v>
      </c>
      <c r="Y364" s="239"/>
      <c r="Z364" s="239"/>
      <c r="AB364" s="1" t="s">
        <v>2094</v>
      </c>
    </row>
    <row r="365" spans="1:28" ht="11.25" customHeight="1">
      <c r="A365" s="233">
        <v>41096</v>
      </c>
      <c r="B365" s="1" t="s">
        <v>2124</v>
      </c>
      <c r="C365" s="1" t="s">
        <v>2095</v>
      </c>
      <c r="D365" s="1" t="s">
        <v>1880</v>
      </c>
      <c r="E365" s="1">
        <v>6006</v>
      </c>
      <c r="F365" s="5">
        <v>20</v>
      </c>
      <c r="G365" s="1" t="s">
        <v>230</v>
      </c>
      <c r="H365" s="234">
        <v>60.11</v>
      </c>
      <c r="I365" s="236">
        <f t="shared" si="23"/>
        <v>1202.2</v>
      </c>
      <c r="J365" s="351"/>
      <c r="K365" s="241">
        <f>57.708*F365</f>
        <v>1154.1599999999999</v>
      </c>
      <c r="L365" s="237">
        <v>41096</v>
      </c>
      <c r="M365" s="1" t="s">
        <v>2412</v>
      </c>
      <c r="N365" s="235">
        <f t="shared" si="20"/>
        <v>1202.2</v>
      </c>
      <c r="O365" s="235">
        <f t="shared" si="21"/>
        <v>0</v>
      </c>
      <c r="P365" s="238" t="s">
        <v>2563</v>
      </c>
      <c r="Q365" s="1" t="s">
        <v>2230</v>
      </c>
      <c r="R365" s="239" t="s">
        <v>2564</v>
      </c>
      <c r="S365" s="238" t="s">
        <v>2565</v>
      </c>
      <c r="T365" s="238" t="s">
        <v>797</v>
      </c>
      <c r="Y365" s="239"/>
      <c r="Z365" s="239"/>
      <c r="AB365" s="1" t="s">
        <v>2551</v>
      </c>
    </row>
    <row r="366" spans="1:28" ht="11.25" customHeight="1">
      <c r="A366" s="233">
        <v>41096</v>
      </c>
      <c r="B366" s="1" t="s">
        <v>2124</v>
      </c>
      <c r="C366" s="1" t="s">
        <v>2095</v>
      </c>
      <c r="D366" s="1" t="s">
        <v>233</v>
      </c>
      <c r="E366" s="1" t="s">
        <v>2123</v>
      </c>
      <c r="F366" s="5">
        <v>50</v>
      </c>
      <c r="G366" s="1" t="s">
        <v>232</v>
      </c>
      <c r="H366" s="234">
        <v>5.52</v>
      </c>
      <c r="I366" s="236">
        <f t="shared" si="23"/>
        <v>276</v>
      </c>
      <c r="J366" s="351">
        <v>5.0999999999999996</v>
      </c>
      <c r="K366" s="241">
        <f>5.1*F366</f>
        <v>254.99999999999997</v>
      </c>
      <c r="L366" s="237">
        <v>41096</v>
      </c>
      <c r="M366" s="1" t="s">
        <v>2412</v>
      </c>
      <c r="N366" s="235">
        <f t="shared" si="20"/>
        <v>276</v>
      </c>
      <c r="O366" s="235">
        <f t="shared" si="21"/>
        <v>0</v>
      </c>
      <c r="P366" s="238" t="s">
        <v>2563</v>
      </c>
      <c r="Q366" s="1" t="s">
        <v>2230</v>
      </c>
      <c r="R366" s="239" t="s">
        <v>2564</v>
      </c>
      <c r="S366" s="238" t="s">
        <v>2565</v>
      </c>
      <c r="T366" s="238" t="s">
        <v>797</v>
      </c>
      <c r="Y366" s="239"/>
      <c r="Z366" s="239"/>
      <c r="AB366" s="1" t="s">
        <v>2551</v>
      </c>
    </row>
    <row r="367" spans="1:28" ht="11.25" customHeight="1">
      <c r="A367" s="257">
        <v>41096</v>
      </c>
      <c r="B367" s="229" t="s">
        <v>2124</v>
      </c>
      <c r="C367" s="1" t="s">
        <v>2095</v>
      </c>
      <c r="D367" s="229" t="s">
        <v>274</v>
      </c>
      <c r="E367" s="229" t="s">
        <v>2126</v>
      </c>
      <c r="F367" s="5">
        <v>-20</v>
      </c>
      <c r="G367" s="229" t="s">
        <v>2101</v>
      </c>
      <c r="H367" s="258">
        <v>35</v>
      </c>
      <c r="I367" s="236">
        <f t="shared" si="23"/>
        <v>-700</v>
      </c>
      <c r="J367" s="351">
        <v>32</v>
      </c>
      <c r="K367" s="241">
        <v>-640</v>
      </c>
      <c r="L367" s="237" t="s">
        <v>2097</v>
      </c>
      <c r="M367" s="229" t="s">
        <v>2566</v>
      </c>
      <c r="N367" s="235">
        <f t="shared" si="20"/>
        <v>-700</v>
      </c>
      <c r="O367" s="235">
        <f t="shared" si="21"/>
        <v>0</v>
      </c>
      <c r="P367" s="238" t="s">
        <v>4918</v>
      </c>
      <c r="Q367" s="229" t="s">
        <v>2529</v>
      </c>
      <c r="Y367" s="239"/>
      <c r="Z367" s="239"/>
      <c r="AB367" s="1" t="s">
        <v>2551</v>
      </c>
    </row>
    <row r="368" spans="1:28" ht="11.25" customHeight="1">
      <c r="A368" s="233">
        <v>41097</v>
      </c>
      <c r="B368" s="1" t="s">
        <v>2567</v>
      </c>
      <c r="C368" s="1" t="s">
        <v>2095</v>
      </c>
      <c r="D368" s="1" t="s">
        <v>694</v>
      </c>
      <c r="E368" s="1" t="s">
        <v>2568</v>
      </c>
      <c r="F368" s="5">
        <v>2</v>
      </c>
      <c r="G368" s="1" t="s">
        <v>2420</v>
      </c>
      <c r="H368" s="234">
        <v>2.4</v>
      </c>
      <c r="I368" s="236">
        <f t="shared" si="23"/>
        <v>4.8</v>
      </c>
      <c r="J368" s="351"/>
      <c r="K368" s="254">
        <v>0</v>
      </c>
      <c r="L368" s="237">
        <v>41097</v>
      </c>
      <c r="M368" s="1" t="s">
        <v>2412</v>
      </c>
      <c r="N368" s="235">
        <f t="shared" si="20"/>
        <v>4.8</v>
      </c>
      <c r="O368" s="235">
        <f t="shared" si="21"/>
        <v>0</v>
      </c>
      <c r="P368" s="238" t="s">
        <v>2569</v>
      </c>
      <c r="Q368" s="1" t="s">
        <v>2230</v>
      </c>
      <c r="R368" s="239" t="s">
        <v>2570</v>
      </c>
      <c r="S368" s="238" t="s">
        <v>2571</v>
      </c>
      <c r="T368" s="238" t="s">
        <v>2572</v>
      </c>
      <c r="V368" s="238" t="s">
        <v>2512</v>
      </c>
      <c r="Y368" s="239"/>
      <c r="Z368" s="239" t="s">
        <v>2573</v>
      </c>
      <c r="AB368" s="1" t="s">
        <v>2094</v>
      </c>
    </row>
    <row r="369" spans="1:28" ht="11.25" customHeight="1">
      <c r="A369" s="233">
        <v>41097</v>
      </c>
      <c r="B369" s="1" t="s">
        <v>2567</v>
      </c>
      <c r="C369" s="1" t="s">
        <v>2095</v>
      </c>
      <c r="D369" s="1" t="s">
        <v>2023</v>
      </c>
      <c r="E369" s="1" t="s">
        <v>2096</v>
      </c>
      <c r="F369" s="5">
        <v>2</v>
      </c>
      <c r="G369" s="1" t="s">
        <v>2420</v>
      </c>
      <c r="H369" s="234">
        <v>42</v>
      </c>
      <c r="I369" s="236">
        <f t="shared" si="23"/>
        <v>84</v>
      </c>
      <c r="J369" s="351">
        <v>30.15</v>
      </c>
      <c r="K369" s="241">
        <f>30.15*F369</f>
        <v>60.3</v>
      </c>
      <c r="L369" s="237">
        <v>41097</v>
      </c>
      <c r="M369" s="1" t="s">
        <v>2412</v>
      </c>
      <c r="N369" s="235">
        <f t="shared" si="20"/>
        <v>84</v>
      </c>
      <c r="O369" s="235">
        <f t="shared" si="21"/>
        <v>0</v>
      </c>
      <c r="P369" s="238" t="s">
        <v>2569</v>
      </c>
      <c r="Q369" s="1" t="s">
        <v>2230</v>
      </c>
      <c r="R369" s="239" t="s">
        <v>2570</v>
      </c>
      <c r="S369" s="238" t="s">
        <v>2571</v>
      </c>
      <c r="T369" s="238" t="s">
        <v>2572</v>
      </c>
      <c r="V369" s="238" t="s">
        <v>2512</v>
      </c>
      <c r="Y369" s="239"/>
      <c r="Z369" s="239"/>
      <c r="AB369" s="1" t="s">
        <v>2094</v>
      </c>
    </row>
    <row r="370" spans="1:28" ht="11.25" customHeight="1">
      <c r="A370" s="233">
        <v>41097</v>
      </c>
      <c r="B370" s="1" t="s">
        <v>2567</v>
      </c>
      <c r="C370" s="1" t="s">
        <v>2095</v>
      </c>
      <c r="D370" s="5" t="s">
        <v>2026</v>
      </c>
      <c r="E370" s="1" t="s">
        <v>2513</v>
      </c>
      <c r="F370" s="5">
        <v>50</v>
      </c>
      <c r="G370" s="1" t="s">
        <v>5002</v>
      </c>
      <c r="H370" s="234">
        <v>2.2999999999999998</v>
      </c>
      <c r="I370" s="236">
        <f t="shared" si="23"/>
        <v>114.99999999999999</v>
      </c>
      <c r="J370" s="351">
        <v>1.58</v>
      </c>
      <c r="K370" s="241">
        <f>1.58*F370</f>
        <v>79</v>
      </c>
      <c r="L370" s="237">
        <v>41097</v>
      </c>
      <c r="M370" s="1" t="s">
        <v>2412</v>
      </c>
      <c r="N370" s="235">
        <f t="shared" si="20"/>
        <v>114.99999999999999</v>
      </c>
      <c r="O370" s="235">
        <f t="shared" si="21"/>
        <v>0</v>
      </c>
      <c r="P370" s="238" t="s">
        <v>2569</v>
      </c>
      <c r="Q370" s="1" t="s">
        <v>2230</v>
      </c>
      <c r="R370" s="239" t="s">
        <v>2570</v>
      </c>
      <c r="S370" s="238" t="s">
        <v>2571</v>
      </c>
      <c r="T370" s="238" t="s">
        <v>2572</v>
      </c>
      <c r="V370" s="238" t="s">
        <v>2512</v>
      </c>
      <c r="Y370" s="239"/>
      <c r="Z370" s="239"/>
      <c r="AB370" s="1" t="s">
        <v>2094</v>
      </c>
    </row>
    <row r="371" spans="1:28" ht="11.25" customHeight="1">
      <c r="A371" s="233">
        <v>41099</v>
      </c>
      <c r="B371" s="1" t="s">
        <v>2574</v>
      </c>
      <c r="C371" s="1" t="s">
        <v>2095</v>
      </c>
      <c r="D371" s="1" t="s">
        <v>269</v>
      </c>
      <c r="E371" s="1" t="s">
        <v>2136</v>
      </c>
      <c r="F371" s="5">
        <v>5</v>
      </c>
      <c r="G371" s="1" t="s">
        <v>232</v>
      </c>
      <c r="H371" s="234">
        <v>2</v>
      </c>
      <c r="I371" s="236">
        <f t="shared" ref="I371:I421" si="24">H371*F371</f>
        <v>10</v>
      </c>
      <c r="J371" s="352">
        <v>1.43</v>
      </c>
      <c r="K371" s="241">
        <f>1.43*F371</f>
        <v>7.1499999999999995</v>
      </c>
      <c r="L371" s="237">
        <v>41099</v>
      </c>
      <c r="M371" s="1" t="s">
        <v>2412</v>
      </c>
      <c r="N371" s="235">
        <f t="shared" si="20"/>
        <v>10</v>
      </c>
      <c r="O371" s="235">
        <f t="shared" si="21"/>
        <v>0</v>
      </c>
      <c r="P371" s="238" t="s">
        <v>2575</v>
      </c>
      <c r="Q371" s="1" t="s">
        <v>2230</v>
      </c>
      <c r="R371" s="239" t="s">
        <v>2576</v>
      </c>
      <c r="S371" s="238" t="s">
        <v>2577</v>
      </c>
      <c r="T371" s="238" t="s">
        <v>2578</v>
      </c>
      <c r="V371" s="238" t="s">
        <v>2512</v>
      </c>
      <c r="Y371" s="239"/>
      <c r="Z371" s="239"/>
      <c r="AB371" s="1" t="s">
        <v>2094</v>
      </c>
    </row>
    <row r="372" spans="1:28" ht="11.25" customHeight="1">
      <c r="A372" s="233">
        <v>41099</v>
      </c>
      <c r="B372" s="1" t="s">
        <v>2574</v>
      </c>
      <c r="C372" s="1" t="s">
        <v>2095</v>
      </c>
      <c r="D372" s="1" t="s">
        <v>1216</v>
      </c>
      <c r="E372" s="1">
        <v>3200</v>
      </c>
      <c r="F372" s="5">
        <v>5</v>
      </c>
      <c r="G372" s="1" t="s">
        <v>2101</v>
      </c>
      <c r="H372" s="234">
        <v>40.5</v>
      </c>
      <c r="I372" s="236">
        <f t="shared" si="24"/>
        <v>202.5</v>
      </c>
      <c r="J372" s="351">
        <v>28</v>
      </c>
      <c r="K372" s="241">
        <f>28*3+28.73*2</f>
        <v>141.46</v>
      </c>
      <c r="L372" s="237">
        <v>41099</v>
      </c>
      <c r="M372" s="1" t="s">
        <v>2412</v>
      </c>
      <c r="N372" s="235">
        <f t="shared" si="20"/>
        <v>202.5</v>
      </c>
      <c r="O372" s="235">
        <f t="shared" si="21"/>
        <v>0</v>
      </c>
      <c r="P372" s="238" t="s">
        <v>2575</v>
      </c>
      <c r="Q372" s="1" t="s">
        <v>2230</v>
      </c>
      <c r="R372" s="239" t="s">
        <v>2576</v>
      </c>
      <c r="S372" s="238" t="s">
        <v>2577</v>
      </c>
      <c r="T372" s="238" t="s">
        <v>2578</v>
      </c>
      <c r="V372" s="238" t="s">
        <v>2512</v>
      </c>
      <c r="Y372" s="239"/>
      <c r="Z372" s="239"/>
      <c r="AB372" s="1" t="s">
        <v>2094</v>
      </c>
    </row>
    <row r="373" spans="1:28" ht="11.25" customHeight="1">
      <c r="A373" s="233">
        <v>41099</v>
      </c>
      <c r="B373" s="1" t="s">
        <v>2574</v>
      </c>
      <c r="C373" s="1" t="s">
        <v>2095</v>
      </c>
      <c r="D373" s="1" t="s">
        <v>264</v>
      </c>
      <c r="E373" s="1" t="s">
        <v>2134</v>
      </c>
      <c r="F373" s="5">
        <v>5</v>
      </c>
      <c r="G373" s="1" t="s">
        <v>2101</v>
      </c>
      <c r="H373" s="234">
        <v>2.7</v>
      </c>
      <c r="I373" s="236">
        <f t="shared" si="24"/>
        <v>13.5</v>
      </c>
      <c r="J373" s="351">
        <v>1.92</v>
      </c>
      <c r="K373" s="241">
        <f>2*5</f>
        <v>10</v>
      </c>
      <c r="L373" s="237">
        <v>41099</v>
      </c>
      <c r="M373" s="1" t="s">
        <v>2412</v>
      </c>
      <c r="N373" s="235">
        <f t="shared" si="20"/>
        <v>13.5</v>
      </c>
      <c r="O373" s="235">
        <f t="shared" si="21"/>
        <v>0</v>
      </c>
      <c r="P373" s="238" t="s">
        <v>2575</v>
      </c>
      <c r="Q373" s="1" t="s">
        <v>2230</v>
      </c>
      <c r="R373" s="239" t="s">
        <v>2576</v>
      </c>
      <c r="S373" s="238" t="s">
        <v>2577</v>
      </c>
      <c r="T373" s="238" t="s">
        <v>2578</v>
      </c>
      <c r="V373" s="238" t="s">
        <v>2512</v>
      </c>
      <c r="Y373" s="239"/>
      <c r="Z373" s="239"/>
      <c r="AB373" s="1" t="s">
        <v>2094</v>
      </c>
    </row>
    <row r="374" spans="1:28" ht="11.25" customHeight="1">
      <c r="A374" s="233">
        <v>41099</v>
      </c>
      <c r="B374" s="1" t="s">
        <v>2574</v>
      </c>
      <c r="C374" s="1" t="s">
        <v>2095</v>
      </c>
      <c r="D374" s="1" t="s">
        <v>355</v>
      </c>
      <c r="E374" s="1" t="s">
        <v>2419</v>
      </c>
      <c r="F374" s="5">
        <v>5</v>
      </c>
      <c r="G374" s="1" t="s">
        <v>2101</v>
      </c>
      <c r="H374" s="234">
        <v>19.8</v>
      </c>
      <c r="I374" s="236">
        <f t="shared" si="24"/>
        <v>99</v>
      </c>
      <c r="J374" s="352">
        <v>13.33</v>
      </c>
      <c r="K374" s="241">
        <f>13.33*F374</f>
        <v>66.650000000000006</v>
      </c>
      <c r="L374" s="237">
        <v>41099</v>
      </c>
      <c r="M374" s="1" t="s">
        <v>2412</v>
      </c>
      <c r="N374" s="235">
        <f t="shared" si="20"/>
        <v>99</v>
      </c>
      <c r="O374" s="235">
        <f t="shared" si="21"/>
        <v>0</v>
      </c>
      <c r="P374" s="238" t="s">
        <v>2575</v>
      </c>
      <c r="Q374" s="1" t="s">
        <v>2230</v>
      </c>
      <c r="R374" s="239" t="s">
        <v>2576</v>
      </c>
      <c r="S374" s="238" t="s">
        <v>2577</v>
      </c>
      <c r="T374" s="238" t="s">
        <v>2578</v>
      </c>
      <c r="V374" s="238" t="s">
        <v>2512</v>
      </c>
      <c r="Y374" s="239"/>
      <c r="Z374" s="239"/>
      <c r="AB374" s="1" t="s">
        <v>2094</v>
      </c>
    </row>
    <row r="375" spans="1:28" ht="11.25" customHeight="1">
      <c r="A375" s="233">
        <v>41099</v>
      </c>
      <c r="B375" s="1" t="s">
        <v>2574</v>
      </c>
      <c r="C375" s="1" t="s">
        <v>2095</v>
      </c>
      <c r="D375" s="1" t="s">
        <v>269</v>
      </c>
      <c r="E375" s="1" t="s">
        <v>2136</v>
      </c>
      <c r="F375" s="5">
        <v>20</v>
      </c>
      <c r="G375" s="1" t="s">
        <v>232</v>
      </c>
      <c r="H375" s="234">
        <v>2</v>
      </c>
      <c r="I375" s="236">
        <f t="shared" si="24"/>
        <v>40</v>
      </c>
      <c r="J375" s="352">
        <v>1.43</v>
      </c>
      <c r="K375" s="241">
        <f>1.43*F375</f>
        <v>28.599999999999998</v>
      </c>
      <c r="L375" s="237">
        <v>41099</v>
      </c>
      <c r="M375" s="1" t="s">
        <v>2412</v>
      </c>
      <c r="N375" s="235">
        <f t="shared" si="20"/>
        <v>40</v>
      </c>
      <c r="O375" s="235">
        <f t="shared" si="21"/>
        <v>0</v>
      </c>
      <c r="P375" s="238" t="s">
        <v>2575</v>
      </c>
      <c r="Q375" s="1" t="s">
        <v>2230</v>
      </c>
      <c r="R375" s="239" t="s">
        <v>2576</v>
      </c>
      <c r="S375" s="238" t="s">
        <v>2577</v>
      </c>
      <c r="T375" s="238" t="s">
        <v>2578</v>
      </c>
      <c r="V375" s="238" t="s">
        <v>2512</v>
      </c>
      <c r="Y375" s="239"/>
      <c r="Z375" s="239"/>
      <c r="AB375" s="1" t="s">
        <v>2094</v>
      </c>
    </row>
    <row r="376" spans="1:28" ht="11.25" customHeight="1">
      <c r="A376" s="233">
        <v>41099</v>
      </c>
      <c r="B376" s="1" t="s">
        <v>2574</v>
      </c>
      <c r="C376" s="1" t="s">
        <v>2095</v>
      </c>
      <c r="D376" s="5" t="s">
        <v>2026</v>
      </c>
      <c r="E376" s="1" t="s">
        <v>2513</v>
      </c>
      <c r="F376" s="5">
        <v>50</v>
      </c>
      <c r="G376" s="1" t="s">
        <v>5002</v>
      </c>
      <c r="H376" s="234">
        <v>2.2999999999999998</v>
      </c>
      <c r="I376" s="236">
        <f t="shared" si="24"/>
        <v>114.99999999999999</v>
      </c>
      <c r="J376" s="351">
        <v>1.58</v>
      </c>
      <c r="K376" s="241">
        <f>1.58*F376</f>
        <v>79</v>
      </c>
      <c r="L376" s="237">
        <v>41097</v>
      </c>
      <c r="M376" s="1" t="s">
        <v>2412</v>
      </c>
      <c r="N376" s="235">
        <f t="shared" si="20"/>
        <v>114.99999999999999</v>
      </c>
      <c r="O376" s="235">
        <f t="shared" si="21"/>
        <v>0</v>
      </c>
      <c r="P376" s="238" t="s">
        <v>2569</v>
      </c>
      <c r="Q376" s="1" t="s">
        <v>2230</v>
      </c>
      <c r="R376" s="239" t="s">
        <v>2576</v>
      </c>
      <c r="S376" s="238" t="s">
        <v>2577</v>
      </c>
      <c r="T376" s="238" t="s">
        <v>2578</v>
      </c>
      <c r="V376" s="238" t="s">
        <v>2512</v>
      </c>
      <c r="Y376" s="239"/>
      <c r="Z376" s="239"/>
      <c r="AB376" s="1" t="s">
        <v>2094</v>
      </c>
    </row>
    <row r="377" spans="1:28" ht="11.25" customHeight="1">
      <c r="A377" s="233">
        <v>41100</v>
      </c>
      <c r="B377" s="1" t="s">
        <v>2579</v>
      </c>
      <c r="C377" s="1" t="s">
        <v>2095</v>
      </c>
      <c r="D377" s="1" t="s">
        <v>241</v>
      </c>
      <c r="E377" s="1">
        <v>6200</v>
      </c>
      <c r="F377" s="5">
        <v>100</v>
      </c>
      <c r="G377" s="1" t="s">
        <v>230</v>
      </c>
      <c r="H377" s="234">
        <v>44.54</v>
      </c>
      <c r="I377" s="236">
        <f t="shared" si="24"/>
        <v>4454</v>
      </c>
      <c r="J377" s="351">
        <v>42</v>
      </c>
      <c r="K377" s="241" t="e">
        <f>#REF!*F377</f>
        <v>#REF!</v>
      </c>
      <c r="L377" s="237">
        <v>41096</v>
      </c>
      <c r="M377" s="1" t="s">
        <v>2092</v>
      </c>
      <c r="N377" s="235">
        <f t="shared" si="20"/>
        <v>4454</v>
      </c>
      <c r="O377" s="235">
        <f t="shared" si="21"/>
        <v>0</v>
      </c>
      <c r="P377" s="238" t="s">
        <v>2097</v>
      </c>
      <c r="Q377" s="1" t="s">
        <v>1264</v>
      </c>
      <c r="R377" s="239" t="s">
        <v>2580</v>
      </c>
      <c r="S377" s="238" t="s">
        <v>786</v>
      </c>
      <c r="T377" s="238" t="s">
        <v>2581</v>
      </c>
      <c r="U377" s="238" t="s">
        <v>2582</v>
      </c>
      <c r="V377" s="115" t="s">
        <v>2583</v>
      </c>
      <c r="W377" s="259">
        <v>10671.9</v>
      </c>
      <c r="X377" s="233">
        <v>41117</v>
      </c>
      <c r="Y377" s="239"/>
      <c r="Z377" s="239"/>
      <c r="AB377" s="1" t="s">
        <v>2551</v>
      </c>
    </row>
    <row r="378" spans="1:28" ht="11.25" customHeight="1">
      <c r="A378" s="233">
        <v>41100</v>
      </c>
      <c r="B378" s="1" t="s">
        <v>2579</v>
      </c>
      <c r="C378" s="1" t="s">
        <v>2095</v>
      </c>
      <c r="D378" s="1" t="s">
        <v>355</v>
      </c>
      <c r="E378" s="1" t="s">
        <v>2516</v>
      </c>
      <c r="F378" s="5">
        <v>200</v>
      </c>
      <c r="G378" s="1" t="s">
        <v>230</v>
      </c>
      <c r="H378" s="234">
        <v>18.39</v>
      </c>
      <c r="I378" s="236">
        <f t="shared" si="24"/>
        <v>3678</v>
      </c>
      <c r="J378" s="351">
        <v>17.5</v>
      </c>
      <c r="K378" s="241">
        <f>17.5*F378</f>
        <v>3500</v>
      </c>
      <c r="L378" s="237">
        <v>41096</v>
      </c>
      <c r="M378" s="1" t="s">
        <v>2092</v>
      </c>
      <c r="N378" s="235">
        <f t="shared" si="20"/>
        <v>3678</v>
      </c>
      <c r="O378" s="235">
        <f t="shared" si="21"/>
        <v>0</v>
      </c>
      <c r="P378" s="238" t="s">
        <v>2097</v>
      </c>
      <c r="Q378" s="1" t="s">
        <v>2584</v>
      </c>
      <c r="R378" s="239" t="s">
        <v>2580</v>
      </c>
      <c r="S378" s="238" t="s">
        <v>786</v>
      </c>
      <c r="T378" s="238" t="s">
        <v>2581</v>
      </c>
      <c r="U378" s="238" t="s">
        <v>2582</v>
      </c>
      <c r="V378" s="115" t="s">
        <v>2583</v>
      </c>
      <c r="W378" s="259">
        <v>10671.9</v>
      </c>
      <c r="X378" s="233">
        <v>41117</v>
      </c>
      <c r="Y378" s="239"/>
      <c r="Z378" s="239"/>
      <c r="AB378" s="1" t="s">
        <v>2551</v>
      </c>
    </row>
    <row r="379" spans="1:28" ht="11.25" customHeight="1">
      <c r="A379" s="233">
        <v>41100</v>
      </c>
      <c r="B379" s="1" t="s">
        <v>2579</v>
      </c>
      <c r="C379" s="1" t="s">
        <v>2095</v>
      </c>
      <c r="D379" s="1" t="s">
        <v>233</v>
      </c>
      <c r="E379" s="1" t="s">
        <v>2123</v>
      </c>
      <c r="F379" s="5">
        <v>700</v>
      </c>
      <c r="G379" s="1" t="s">
        <v>232</v>
      </c>
      <c r="H379" s="234">
        <v>5.34</v>
      </c>
      <c r="I379" s="236">
        <f t="shared" si="24"/>
        <v>3738</v>
      </c>
      <c r="J379" s="351">
        <v>5.0599999999999996</v>
      </c>
      <c r="K379" s="241">
        <f>5.06*F379</f>
        <v>3541.9999999999995</v>
      </c>
      <c r="L379" s="237">
        <v>41096</v>
      </c>
      <c r="M379" s="1" t="s">
        <v>2092</v>
      </c>
      <c r="N379" s="235">
        <f t="shared" si="20"/>
        <v>3738</v>
      </c>
      <c r="O379" s="235">
        <f t="shared" si="21"/>
        <v>0</v>
      </c>
      <c r="P379" s="238" t="s">
        <v>2097</v>
      </c>
      <c r="Q379" s="1" t="s">
        <v>2584</v>
      </c>
      <c r="R379" s="239" t="s">
        <v>2580</v>
      </c>
      <c r="S379" s="238" t="s">
        <v>786</v>
      </c>
      <c r="T379" s="238" t="s">
        <v>2581</v>
      </c>
      <c r="U379" s="238" t="s">
        <v>2582</v>
      </c>
      <c r="V379" s="115" t="s">
        <v>840</v>
      </c>
      <c r="W379" s="260">
        <v>11145.68</v>
      </c>
      <c r="X379" s="233">
        <v>41117</v>
      </c>
      <c r="Y379" s="239"/>
      <c r="Z379" s="239"/>
      <c r="AB379" s="1" t="s">
        <v>2551</v>
      </c>
    </row>
    <row r="380" spans="1:28" ht="11.25" customHeight="1">
      <c r="A380" s="233">
        <v>41100</v>
      </c>
      <c r="B380" s="1" t="s">
        <v>2579</v>
      </c>
      <c r="C380" s="1" t="s">
        <v>2095</v>
      </c>
      <c r="D380" s="1" t="s">
        <v>264</v>
      </c>
      <c r="E380" s="1">
        <v>501</v>
      </c>
      <c r="F380" s="5">
        <v>200</v>
      </c>
      <c r="G380" s="1" t="s">
        <v>230</v>
      </c>
      <c r="H380" s="234">
        <v>1.47</v>
      </c>
      <c r="I380" s="236">
        <f t="shared" si="24"/>
        <v>294</v>
      </c>
      <c r="J380" s="351">
        <v>1.41</v>
      </c>
      <c r="K380" s="241">
        <f>1.41*F380</f>
        <v>282</v>
      </c>
      <c r="L380" s="237">
        <v>41096</v>
      </c>
      <c r="M380" s="1" t="s">
        <v>2092</v>
      </c>
      <c r="N380" s="235">
        <f t="shared" si="20"/>
        <v>294</v>
      </c>
      <c r="O380" s="235">
        <f t="shared" si="21"/>
        <v>0</v>
      </c>
      <c r="P380" s="238" t="s">
        <v>2097</v>
      </c>
      <c r="Q380" s="1" t="s">
        <v>2584</v>
      </c>
      <c r="R380" s="239" t="s">
        <v>2580</v>
      </c>
      <c r="S380" s="238" t="s">
        <v>786</v>
      </c>
      <c r="T380" s="238" t="s">
        <v>2581</v>
      </c>
      <c r="U380" s="238" t="s">
        <v>2582</v>
      </c>
      <c r="V380" s="115" t="s">
        <v>2583</v>
      </c>
      <c r="W380" s="259">
        <v>10671.9</v>
      </c>
      <c r="X380" s="233">
        <v>41117</v>
      </c>
      <c r="Y380" s="239"/>
      <c r="Z380" s="239"/>
      <c r="AB380" s="1" t="s">
        <v>2551</v>
      </c>
    </row>
    <row r="381" spans="1:28" ht="11.25" customHeight="1">
      <c r="A381" s="233">
        <v>41100</v>
      </c>
      <c r="B381" s="10" t="s">
        <v>2585</v>
      </c>
      <c r="C381" s="1" t="s">
        <v>2095</v>
      </c>
      <c r="D381" s="5" t="s">
        <v>2026</v>
      </c>
      <c r="E381" s="1" t="s">
        <v>2513</v>
      </c>
      <c r="F381" s="5">
        <v>100</v>
      </c>
      <c r="G381" s="1" t="s">
        <v>5002</v>
      </c>
      <c r="H381" s="234">
        <v>2.4</v>
      </c>
      <c r="I381" s="236">
        <f t="shared" si="24"/>
        <v>240</v>
      </c>
      <c r="J381" s="351">
        <v>1.58</v>
      </c>
      <c r="K381" s="241">
        <f>1.58*F381</f>
        <v>158</v>
      </c>
      <c r="L381" s="237">
        <v>41100</v>
      </c>
      <c r="M381" s="1" t="s">
        <v>2412</v>
      </c>
      <c r="N381" s="235">
        <f t="shared" si="20"/>
        <v>240</v>
      </c>
      <c r="O381" s="235">
        <f t="shared" si="21"/>
        <v>0</v>
      </c>
      <c r="P381" s="238" t="s">
        <v>2097</v>
      </c>
      <c r="Q381" s="1" t="s">
        <v>2586</v>
      </c>
      <c r="R381" s="239" t="s">
        <v>2587</v>
      </c>
      <c r="S381" s="238" t="s">
        <v>787</v>
      </c>
      <c r="T381" s="238" t="s">
        <v>788</v>
      </c>
      <c r="U381" s="238" t="s">
        <v>2588</v>
      </c>
      <c r="V381" s="238" t="s">
        <v>2512</v>
      </c>
      <c r="Y381" s="239"/>
      <c r="Z381" s="239"/>
      <c r="AB381" s="1" t="s">
        <v>2094</v>
      </c>
    </row>
    <row r="382" spans="1:28" ht="11.25" customHeight="1">
      <c r="A382" s="233">
        <v>41100</v>
      </c>
      <c r="B382" s="10" t="s">
        <v>2585</v>
      </c>
      <c r="C382" s="1" t="s">
        <v>2095</v>
      </c>
      <c r="D382" s="1" t="s">
        <v>1219</v>
      </c>
      <c r="E382" s="1" t="s">
        <v>2533</v>
      </c>
      <c r="F382" s="5">
        <v>1</v>
      </c>
      <c r="G382" s="1" t="s">
        <v>2420</v>
      </c>
      <c r="H382" s="234">
        <v>18</v>
      </c>
      <c r="I382" s="236">
        <f t="shared" si="24"/>
        <v>18</v>
      </c>
      <c r="J382" s="351">
        <v>13</v>
      </c>
      <c r="K382" s="250">
        <v>13</v>
      </c>
      <c r="L382" s="237">
        <v>41100</v>
      </c>
      <c r="M382" s="1" t="s">
        <v>2412</v>
      </c>
      <c r="N382" s="235">
        <f t="shared" si="20"/>
        <v>18</v>
      </c>
      <c r="O382" s="235">
        <f t="shared" si="21"/>
        <v>0</v>
      </c>
      <c r="P382" s="238" t="s">
        <v>2097</v>
      </c>
      <c r="Q382" s="1" t="s">
        <v>2586</v>
      </c>
      <c r="R382" s="239" t="s">
        <v>2587</v>
      </c>
      <c r="S382" s="238" t="s">
        <v>787</v>
      </c>
      <c r="T382" s="238" t="s">
        <v>788</v>
      </c>
      <c r="U382" s="238" t="s">
        <v>2588</v>
      </c>
      <c r="V382" s="238" t="s">
        <v>2512</v>
      </c>
      <c r="Y382" s="239"/>
      <c r="Z382" s="239"/>
      <c r="AB382" s="1" t="s">
        <v>2094</v>
      </c>
    </row>
    <row r="383" spans="1:28" ht="11.25" customHeight="1">
      <c r="A383" s="233">
        <v>41100</v>
      </c>
      <c r="B383" s="10" t="s">
        <v>2585</v>
      </c>
      <c r="C383" s="1" t="s">
        <v>2095</v>
      </c>
      <c r="D383" s="1" t="s">
        <v>2024</v>
      </c>
      <c r="E383" s="1">
        <v>10434</v>
      </c>
      <c r="F383" s="5">
        <v>2</v>
      </c>
      <c r="G383" s="1" t="s">
        <v>2420</v>
      </c>
      <c r="H383" s="234">
        <v>22</v>
      </c>
      <c r="I383" s="236">
        <f t="shared" si="24"/>
        <v>44</v>
      </c>
      <c r="J383" s="351"/>
      <c r="K383" s="241">
        <f>14.88*F383</f>
        <v>29.76</v>
      </c>
      <c r="L383" s="237">
        <v>41100</v>
      </c>
      <c r="M383" s="1" t="s">
        <v>2412</v>
      </c>
      <c r="N383" s="235">
        <f t="shared" si="20"/>
        <v>44</v>
      </c>
      <c r="O383" s="235">
        <f t="shared" si="21"/>
        <v>0</v>
      </c>
      <c r="P383" s="238" t="s">
        <v>2097</v>
      </c>
      <c r="Q383" s="1" t="s">
        <v>2586</v>
      </c>
      <c r="R383" s="239" t="s">
        <v>2587</v>
      </c>
      <c r="S383" s="238" t="s">
        <v>787</v>
      </c>
      <c r="T383" s="238" t="s">
        <v>788</v>
      </c>
      <c r="U383" s="238" t="s">
        <v>2588</v>
      </c>
      <c r="V383" s="238" t="s">
        <v>2512</v>
      </c>
      <c r="Y383" s="239"/>
      <c r="Z383" s="239"/>
      <c r="AB383" s="1" t="s">
        <v>2094</v>
      </c>
    </row>
    <row r="384" spans="1:28" ht="11.25" customHeight="1">
      <c r="A384" s="233">
        <v>41100</v>
      </c>
      <c r="B384" s="1" t="s">
        <v>2589</v>
      </c>
      <c r="C384" s="1" t="s">
        <v>2095</v>
      </c>
      <c r="D384" s="1" t="s">
        <v>2036</v>
      </c>
      <c r="E384" s="1" t="s">
        <v>2590</v>
      </c>
      <c r="F384" s="5">
        <v>1000</v>
      </c>
      <c r="G384" s="1" t="s">
        <v>232</v>
      </c>
      <c r="H384" s="234">
        <v>1.6</v>
      </c>
      <c r="I384" s="236">
        <f t="shared" si="24"/>
        <v>1600</v>
      </c>
      <c r="J384" s="351"/>
      <c r="K384" s="241">
        <f>1.5*F384</f>
        <v>1500</v>
      </c>
      <c r="L384" s="237">
        <v>41163</v>
      </c>
      <c r="M384" s="1" t="s">
        <v>2349</v>
      </c>
      <c r="N384" s="235">
        <f t="shared" si="20"/>
        <v>1600</v>
      </c>
      <c r="O384" s="235">
        <f t="shared" si="21"/>
        <v>0</v>
      </c>
      <c r="P384" s="238" t="s">
        <v>4918</v>
      </c>
      <c r="Q384" s="1" t="s">
        <v>2586</v>
      </c>
      <c r="R384" s="239" t="s">
        <v>2591</v>
      </c>
      <c r="S384" s="238" t="s">
        <v>2592</v>
      </c>
      <c r="T384" s="238" t="s">
        <v>775</v>
      </c>
      <c r="U384" s="238" t="s">
        <v>2593</v>
      </c>
      <c r="V384" s="238" t="s">
        <v>2512</v>
      </c>
      <c r="Y384" s="239"/>
      <c r="Z384" s="239"/>
      <c r="AA384" s="240" t="s">
        <v>2594</v>
      </c>
      <c r="AB384" s="1" t="s">
        <v>2551</v>
      </c>
    </row>
    <row r="385" spans="1:28" ht="11.25" customHeight="1">
      <c r="A385" s="233">
        <v>41102</v>
      </c>
      <c r="B385" s="1" t="s">
        <v>2589</v>
      </c>
      <c r="C385" s="1" t="s">
        <v>2095</v>
      </c>
      <c r="D385" s="1" t="s">
        <v>333</v>
      </c>
      <c r="E385" s="1" t="s">
        <v>2595</v>
      </c>
      <c r="F385" s="5">
        <v>1000</v>
      </c>
      <c r="G385" s="1" t="s">
        <v>232</v>
      </c>
      <c r="H385" s="234">
        <v>2.4</v>
      </c>
      <c r="I385" s="236">
        <f t="shared" si="24"/>
        <v>2400</v>
      </c>
      <c r="J385" s="351"/>
      <c r="K385" s="241">
        <f>2.25*F385</f>
        <v>2250</v>
      </c>
      <c r="L385" s="237">
        <v>41163</v>
      </c>
      <c r="M385" s="1" t="s">
        <v>2349</v>
      </c>
      <c r="N385" s="235">
        <f t="shared" si="20"/>
        <v>2400</v>
      </c>
      <c r="O385" s="235">
        <f t="shared" si="21"/>
        <v>0</v>
      </c>
      <c r="P385" s="238" t="s">
        <v>4918</v>
      </c>
      <c r="Q385" s="1" t="s">
        <v>2586</v>
      </c>
      <c r="R385" s="239" t="s">
        <v>2591</v>
      </c>
      <c r="S385" s="238" t="s">
        <v>2592</v>
      </c>
      <c r="T385" s="238" t="s">
        <v>775</v>
      </c>
      <c r="U385" s="238" t="s">
        <v>2596</v>
      </c>
      <c r="V385" s="238" t="s">
        <v>2512</v>
      </c>
      <c r="Y385" s="239"/>
      <c r="Z385" s="239"/>
      <c r="AA385" s="240" t="s">
        <v>2594</v>
      </c>
      <c r="AB385" s="1" t="s">
        <v>2551</v>
      </c>
    </row>
    <row r="386" spans="1:28" ht="11.25" customHeight="1">
      <c r="A386" s="233">
        <v>41102</v>
      </c>
      <c r="B386" s="1" t="s">
        <v>2597</v>
      </c>
      <c r="C386" s="1" t="s">
        <v>2095</v>
      </c>
      <c r="D386" s="5" t="s">
        <v>2026</v>
      </c>
      <c r="E386" s="1" t="s">
        <v>2513</v>
      </c>
      <c r="F386" s="5">
        <v>500</v>
      </c>
      <c r="G386" s="1" t="s">
        <v>5002</v>
      </c>
      <c r="H386" s="234">
        <v>2.2999999999999998</v>
      </c>
      <c r="I386" s="236">
        <f t="shared" si="24"/>
        <v>1150</v>
      </c>
      <c r="J386" s="351">
        <v>1.55</v>
      </c>
      <c r="K386" s="241">
        <f>1.55*F386</f>
        <v>775</v>
      </c>
      <c r="L386" s="237">
        <v>41101</v>
      </c>
      <c r="M386" s="1" t="s">
        <v>2349</v>
      </c>
      <c r="N386" s="235">
        <f t="shared" si="20"/>
        <v>1150</v>
      </c>
      <c r="O386" s="235">
        <f t="shared" si="21"/>
        <v>0</v>
      </c>
      <c r="P386" s="238" t="s">
        <v>2598</v>
      </c>
      <c r="Q386" s="1" t="s">
        <v>2599</v>
      </c>
      <c r="R386" s="239" t="s">
        <v>2600</v>
      </c>
      <c r="S386" s="238" t="s">
        <v>2601</v>
      </c>
      <c r="T386" s="238" t="s">
        <v>2602</v>
      </c>
      <c r="U386" s="238" t="s">
        <v>2603</v>
      </c>
      <c r="V386" s="238" t="s">
        <v>2512</v>
      </c>
      <c r="Y386" s="239"/>
      <c r="Z386" s="239"/>
      <c r="AB386" s="1" t="s">
        <v>2094</v>
      </c>
    </row>
    <row r="387" spans="1:28" ht="11.25" customHeight="1">
      <c r="A387" s="233">
        <v>41102</v>
      </c>
      <c r="B387" s="1" t="s">
        <v>2604</v>
      </c>
      <c r="C387" s="1" t="s">
        <v>2095</v>
      </c>
      <c r="D387" s="5" t="s">
        <v>2026</v>
      </c>
      <c r="E387" s="1" t="s">
        <v>2513</v>
      </c>
      <c r="F387" s="5">
        <v>50</v>
      </c>
      <c r="G387" s="1" t="s">
        <v>5002</v>
      </c>
      <c r="H387" s="234">
        <v>2.1</v>
      </c>
      <c r="I387" s="236">
        <f t="shared" si="24"/>
        <v>105</v>
      </c>
      <c r="J387" s="351">
        <v>1.55</v>
      </c>
      <c r="K387" s="241">
        <f>1.55*F387</f>
        <v>77.5</v>
      </c>
      <c r="L387" s="237">
        <v>41102</v>
      </c>
      <c r="M387" s="1" t="s">
        <v>2412</v>
      </c>
      <c r="N387" s="235">
        <f t="shared" ref="N387:N450" si="25">I387</f>
        <v>105</v>
      </c>
      <c r="O387" s="235">
        <f t="shared" ref="O387:O450" si="26">I387-N387</f>
        <v>0</v>
      </c>
      <c r="P387" s="238" t="s">
        <v>2605</v>
      </c>
      <c r="Q387" s="1" t="s">
        <v>2529</v>
      </c>
      <c r="R387" s="239" t="s">
        <v>2606</v>
      </c>
      <c r="S387" s="238" t="s">
        <v>2607</v>
      </c>
      <c r="T387" s="238" t="s">
        <v>2608</v>
      </c>
      <c r="V387" s="238" t="s">
        <v>2609</v>
      </c>
      <c r="W387" s="236">
        <v>1411</v>
      </c>
      <c r="X387" s="233">
        <v>41163</v>
      </c>
      <c r="Y387" s="239"/>
      <c r="Z387" s="239"/>
      <c r="AB387" s="1" t="s">
        <v>2551</v>
      </c>
    </row>
    <row r="388" spans="1:28" ht="11.25" customHeight="1">
      <c r="A388" s="233">
        <v>41102</v>
      </c>
      <c r="B388" s="1" t="s">
        <v>2604</v>
      </c>
      <c r="C388" s="1" t="s">
        <v>2095</v>
      </c>
      <c r="D388" s="1" t="s">
        <v>2024</v>
      </c>
      <c r="E388" s="1">
        <v>10434</v>
      </c>
      <c r="F388" s="5">
        <v>20</v>
      </c>
      <c r="G388" s="1" t="s">
        <v>2420</v>
      </c>
      <c r="H388" s="234">
        <v>17</v>
      </c>
      <c r="I388" s="236">
        <f t="shared" si="24"/>
        <v>340</v>
      </c>
      <c r="J388" s="351"/>
      <c r="K388" s="241">
        <f>14.88*F388</f>
        <v>297.60000000000002</v>
      </c>
      <c r="L388" s="237">
        <v>41102</v>
      </c>
      <c r="M388" s="1" t="s">
        <v>2412</v>
      </c>
      <c r="N388" s="235">
        <f t="shared" si="25"/>
        <v>340</v>
      </c>
      <c r="O388" s="235">
        <f t="shared" si="26"/>
        <v>0</v>
      </c>
      <c r="P388" s="238" t="s">
        <v>2605</v>
      </c>
      <c r="Q388" s="1" t="s">
        <v>2529</v>
      </c>
      <c r="R388" s="239" t="s">
        <v>2606</v>
      </c>
      <c r="S388" s="238" t="s">
        <v>2607</v>
      </c>
      <c r="T388" s="238" t="s">
        <v>2608</v>
      </c>
      <c r="V388" s="238" t="s">
        <v>2609</v>
      </c>
      <c r="W388" s="236">
        <v>1411</v>
      </c>
      <c r="X388" s="233">
        <v>41163</v>
      </c>
      <c r="Y388" s="239"/>
      <c r="Z388" s="239"/>
      <c r="AB388" s="1" t="s">
        <v>2551</v>
      </c>
    </row>
    <row r="389" spans="1:28" ht="11.25" customHeight="1">
      <c r="A389" s="233">
        <v>41102</v>
      </c>
      <c r="B389" s="1" t="s">
        <v>2604</v>
      </c>
      <c r="C389" s="1" t="s">
        <v>2095</v>
      </c>
      <c r="D389" s="1" t="s">
        <v>307</v>
      </c>
      <c r="E389" s="1">
        <v>1270</v>
      </c>
      <c r="F389" s="5">
        <v>200</v>
      </c>
      <c r="G389" s="1" t="s">
        <v>2420</v>
      </c>
      <c r="H389" s="234">
        <v>4.83</v>
      </c>
      <c r="I389" s="236">
        <f t="shared" si="24"/>
        <v>966</v>
      </c>
      <c r="J389" s="351"/>
      <c r="K389" s="241">
        <f>4.31*F389</f>
        <v>861.99999999999989</v>
      </c>
      <c r="L389" s="237">
        <v>41102</v>
      </c>
      <c r="M389" s="1" t="s">
        <v>2412</v>
      </c>
      <c r="N389" s="235">
        <f t="shared" si="25"/>
        <v>966</v>
      </c>
      <c r="O389" s="235">
        <f t="shared" si="26"/>
        <v>0</v>
      </c>
      <c r="P389" s="238" t="s">
        <v>2605</v>
      </c>
      <c r="Q389" s="1" t="s">
        <v>2529</v>
      </c>
      <c r="R389" s="239" t="s">
        <v>2606</v>
      </c>
      <c r="S389" s="238" t="s">
        <v>2607</v>
      </c>
      <c r="T389" s="238" t="s">
        <v>2608</v>
      </c>
      <c r="V389" s="238" t="s">
        <v>2609</v>
      </c>
      <c r="W389" s="236">
        <v>1411</v>
      </c>
      <c r="X389" s="233">
        <v>41163</v>
      </c>
      <c r="Y389" s="239"/>
      <c r="Z389" s="239"/>
      <c r="AB389" s="1" t="s">
        <v>2551</v>
      </c>
    </row>
    <row r="390" spans="1:28" ht="11.25" customHeight="1">
      <c r="A390" s="233">
        <v>41106</v>
      </c>
      <c r="B390" s="1" t="s">
        <v>1254</v>
      </c>
      <c r="C390" s="1" t="s">
        <v>2095</v>
      </c>
      <c r="D390" s="5" t="s">
        <v>2026</v>
      </c>
      <c r="E390" s="1" t="s">
        <v>2513</v>
      </c>
      <c r="F390" s="5">
        <v>500</v>
      </c>
      <c r="G390" s="1" t="s">
        <v>5002</v>
      </c>
      <c r="H390" s="234">
        <v>2.5</v>
      </c>
      <c r="I390" s="236">
        <f t="shared" si="24"/>
        <v>1250</v>
      </c>
      <c r="J390" s="351">
        <v>1.55</v>
      </c>
      <c r="K390" s="241">
        <f>1.55*F390</f>
        <v>775</v>
      </c>
      <c r="L390" s="237">
        <v>41106</v>
      </c>
      <c r="M390" s="1" t="s">
        <v>2349</v>
      </c>
      <c r="N390" s="235">
        <f t="shared" si="25"/>
        <v>1250</v>
      </c>
      <c r="O390" s="235">
        <f t="shared" si="26"/>
        <v>0</v>
      </c>
      <c r="P390" s="238" t="s">
        <v>2610</v>
      </c>
      <c r="Q390" s="1" t="s">
        <v>2535</v>
      </c>
      <c r="R390" s="239" t="s">
        <v>2611</v>
      </c>
      <c r="S390" s="238" t="s">
        <v>2612</v>
      </c>
      <c r="T390" s="238" t="s">
        <v>2613</v>
      </c>
      <c r="U390" s="238" t="s">
        <v>2614</v>
      </c>
      <c r="V390" s="238" t="s">
        <v>1289</v>
      </c>
      <c r="W390" s="236">
        <v>1250</v>
      </c>
      <c r="X390" s="233">
        <v>41106</v>
      </c>
      <c r="Y390" s="238" t="s">
        <v>2614</v>
      </c>
      <c r="Z390" s="238"/>
      <c r="AB390" s="1" t="s">
        <v>2094</v>
      </c>
    </row>
    <row r="391" spans="1:28" ht="11.25" customHeight="1">
      <c r="A391" s="233">
        <v>41106</v>
      </c>
      <c r="B391" s="1" t="s">
        <v>2615</v>
      </c>
      <c r="C391" s="1" t="s">
        <v>2095</v>
      </c>
      <c r="D391" s="5" t="s">
        <v>2026</v>
      </c>
      <c r="E391" s="1" t="s">
        <v>2513</v>
      </c>
      <c r="F391" s="5">
        <v>50</v>
      </c>
      <c r="G391" s="1" t="s">
        <v>5002</v>
      </c>
      <c r="H391" s="234">
        <v>2.5</v>
      </c>
      <c r="I391" s="236">
        <f t="shared" si="24"/>
        <v>125</v>
      </c>
      <c r="J391" s="351">
        <v>1.55</v>
      </c>
      <c r="K391" s="241">
        <f>1.55*F391</f>
        <v>77.5</v>
      </c>
      <c r="L391" s="237">
        <v>41106</v>
      </c>
      <c r="M391" s="1" t="s">
        <v>2349</v>
      </c>
      <c r="N391" s="235">
        <f t="shared" si="25"/>
        <v>125</v>
      </c>
      <c r="O391" s="235">
        <f t="shared" si="26"/>
        <v>0</v>
      </c>
      <c r="P391" s="238" t="s">
        <v>2616</v>
      </c>
      <c r="Q391" s="1" t="s">
        <v>2617</v>
      </c>
      <c r="R391" s="239" t="s">
        <v>2618</v>
      </c>
      <c r="S391" s="238" t="s">
        <v>2619</v>
      </c>
      <c r="T391" s="238" t="s">
        <v>2620</v>
      </c>
      <c r="V391" s="238" t="s">
        <v>2512</v>
      </c>
      <c r="Z391" s="238"/>
      <c r="AB391" s="1" t="s">
        <v>2094</v>
      </c>
    </row>
    <row r="392" spans="1:28" ht="11.25" customHeight="1">
      <c r="A392" s="233">
        <v>41107</v>
      </c>
      <c r="B392" s="1" t="s">
        <v>2579</v>
      </c>
      <c r="C392" s="1" t="s">
        <v>2095</v>
      </c>
      <c r="D392" s="1" t="s">
        <v>2033</v>
      </c>
      <c r="E392" s="1" t="s">
        <v>2621</v>
      </c>
      <c r="F392" s="5">
        <v>3144</v>
      </c>
      <c r="G392" s="1" t="s">
        <v>2101</v>
      </c>
      <c r="H392" s="234">
        <v>1.67</v>
      </c>
      <c r="I392" s="236">
        <f>H392*F392</f>
        <v>5250.48</v>
      </c>
      <c r="J392" s="351"/>
      <c r="K392" s="241">
        <f>1.65*F392</f>
        <v>5187.5999999999995</v>
      </c>
      <c r="L392" s="237">
        <v>41106</v>
      </c>
      <c r="M392" s="1" t="s">
        <v>2092</v>
      </c>
      <c r="N392" s="235">
        <f t="shared" si="25"/>
        <v>5250.48</v>
      </c>
      <c r="O392" s="235">
        <f t="shared" si="26"/>
        <v>0</v>
      </c>
      <c r="P392" s="238" t="s">
        <v>2622</v>
      </c>
      <c r="Q392" s="1" t="s">
        <v>2623</v>
      </c>
      <c r="R392" s="239" t="s">
        <v>2624</v>
      </c>
      <c r="S392" s="238" t="s">
        <v>2625</v>
      </c>
      <c r="T392" s="238" t="s">
        <v>2626</v>
      </c>
      <c r="U392" s="238" t="s">
        <v>2627</v>
      </c>
      <c r="V392" s="115" t="s">
        <v>840</v>
      </c>
      <c r="W392" s="260">
        <v>11145.68</v>
      </c>
      <c r="X392" s="233">
        <v>41117</v>
      </c>
      <c r="Z392" s="238"/>
      <c r="AB392" s="1" t="s">
        <v>2551</v>
      </c>
    </row>
    <row r="393" spans="1:28" ht="11.25" customHeight="1">
      <c r="A393" s="233">
        <v>41107</v>
      </c>
      <c r="B393" s="1" t="s">
        <v>2579</v>
      </c>
      <c r="C393" s="1" t="s">
        <v>2095</v>
      </c>
      <c r="D393" s="1" t="s">
        <v>1219</v>
      </c>
      <c r="E393" s="1" t="s">
        <v>2533</v>
      </c>
      <c r="F393" s="5">
        <v>37</v>
      </c>
      <c r="G393" s="1" t="s">
        <v>2420</v>
      </c>
      <c r="H393" s="234">
        <v>13.2</v>
      </c>
      <c r="I393" s="236">
        <f t="shared" si="24"/>
        <v>488.4</v>
      </c>
      <c r="J393" s="351">
        <v>13</v>
      </c>
      <c r="K393" s="250">
        <f>13*F393</f>
        <v>481</v>
      </c>
      <c r="L393" s="237">
        <v>41106</v>
      </c>
      <c r="M393" s="1" t="s">
        <v>2092</v>
      </c>
      <c r="N393" s="235">
        <f t="shared" si="25"/>
        <v>488.4</v>
      </c>
      <c r="O393" s="235">
        <f t="shared" si="26"/>
        <v>0</v>
      </c>
      <c r="P393" s="238" t="s">
        <v>2622</v>
      </c>
      <c r="Q393" s="1" t="s">
        <v>2623</v>
      </c>
      <c r="R393" s="239" t="s">
        <v>2624</v>
      </c>
      <c r="S393" s="238" t="s">
        <v>2625</v>
      </c>
      <c r="T393" s="238" t="s">
        <v>2626</v>
      </c>
      <c r="U393" s="238" t="s">
        <v>2627</v>
      </c>
      <c r="V393" s="115" t="s">
        <v>2583</v>
      </c>
      <c r="W393" s="259">
        <v>10671.9</v>
      </c>
      <c r="X393" s="233">
        <v>41117</v>
      </c>
      <c r="Z393" s="238"/>
      <c r="AB393" s="1" t="s">
        <v>2551</v>
      </c>
    </row>
    <row r="394" spans="1:28" ht="11.25" customHeight="1">
      <c r="A394" s="233">
        <v>41108</v>
      </c>
      <c r="B394" s="1" t="s">
        <v>2628</v>
      </c>
      <c r="C394" s="1" t="s">
        <v>2095</v>
      </c>
      <c r="D394" s="5" t="s">
        <v>2026</v>
      </c>
      <c r="E394" s="1" t="s">
        <v>2513</v>
      </c>
      <c r="F394" s="5">
        <v>50</v>
      </c>
      <c r="G394" s="1" t="s">
        <v>5002</v>
      </c>
      <c r="H394" s="234">
        <v>2.2999999999999998</v>
      </c>
      <c r="I394" s="236">
        <f t="shared" si="24"/>
        <v>114.99999999999999</v>
      </c>
      <c r="J394" s="351">
        <v>1.55</v>
      </c>
      <c r="K394" s="241">
        <f>1.55*F394</f>
        <v>77.5</v>
      </c>
      <c r="L394" s="237">
        <v>41108</v>
      </c>
      <c r="M394" s="1" t="s">
        <v>2412</v>
      </c>
      <c r="N394" s="235">
        <f t="shared" si="25"/>
        <v>114.99999999999999</v>
      </c>
      <c r="O394" s="235">
        <f t="shared" si="26"/>
        <v>0</v>
      </c>
      <c r="P394" s="238" t="s">
        <v>2629</v>
      </c>
      <c r="Q394" s="1" t="s">
        <v>2230</v>
      </c>
      <c r="R394" s="239" t="s">
        <v>2630</v>
      </c>
      <c r="S394" s="238" t="s">
        <v>2631</v>
      </c>
      <c r="T394" s="238" t="s">
        <v>2632</v>
      </c>
      <c r="V394" s="238" t="s">
        <v>2512</v>
      </c>
      <c r="Z394" s="238"/>
      <c r="AB394" s="1" t="s">
        <v>2094</v>
      </c>
    </row>
    <row r="395" spans="1:28" ht="11.25" customHeight="1">
      <c r="A395" s="233">
        <v>41108</v>
      </c>
      <c r="B395" s="1" t="s">
        <v>2633</v>
      </c>
      <c r="C395" s="1" t="s">
        <v>2095</v>
      </c>
      <c r="D395" s="5" t="s">
        <v>2026</v>
      </c>
      <c r="E395" s="1" t="s">
        <v>2513</v>
      </c>
      <c r="F395" s="5">
        <v>100</v>
      </c>
      <c r="G395" s="1" t="s">
        <v>5002</v>
      </c>
      <c r="H395" s="234">
        <v>2.2999999999999998</v>
      </c>
      <c r="I395" s="236">
        <f t="shared" si="24"/>
        <v>229.99999999999997</v>
      </c>
      <c r="J395" s="351">
        <v>1.55</v>
      </c>
      <c r="K395" s="241">
        <f>1.55*F395</f>
        <v>155</v>
      </c>
      <c r="L395" s="237">
        <v>41108</v>
      </c>
      <c r="M395" s="1" t="s">
        <v>2412</v>
      </c>
      <c r="N395" s="235">
        <f t="shared" si="25"/>
        <v>229.99999999999997</v>
      </c>
      <c r="O395" s="235">
        <f t="shared" si="26"/>
        <v>0</v>
      </c>
      <c r="P395" s="238" t="s">
        <v>2634</v>
      </c>
      <c r="Q395" s="1" t="s">
        <v>2230</v>
      </c>
      <c r="R395" s="239" t="s">
        <v>2635</v>
      </c>
      <c r="S395" s="238" t="s">
        <v>2636</v>
      </c>
      <c r="T395" s="238" t="s">
        <v>2637</v>
      </c>
      <c r="V395" s="238" t="s">
        <v>2512</v>
      </c>
      <c r="Z395" s="238"/>
      <c r="AB395" s="1" t="s">
        <v>2094</v>
      </c>
    </row>
    <row r="396" spans="1:28" ht="11.25" customHeight="1">
      <c r="A396" s="233">
        <v>41108</v>
      </c>
      <c r="B396" s="1" t="s">
        <v>2633</v>
      </c>
      <c r="C396" s="1" t="s">
        <v>2095</v>
      </c>
      <c r="D396" s="1" t="s">
        <v>1219</v>
      </c>
      <c r="E396" s="1" t="s">
        <v>2533</v>
      </c>
      <c r="F396" s="5">
        <v>3</v>
      </c>
      <c r="G396" s="1" t="s">
        <v>2420</v>
      </c>
      <c r="H396" s="234">
        <v>20</v>
      </c>
      <c r="I396" s="236">
        <f t="shared" si="24"/>
        <v>60</v>
      </c>
      <c r="J396" s="351">
        <v>13.4</v>
      </c>
      <c r="K396" s="250">
        <f>13.4*F396</f>
        <v>40.200000000000003</v>
      </c>
      <c r="L396" s="237">
        <v>41108</v>
      </c>
      <c r="M396" s="1" t="s">
        <v>2412</v>
      </c>
      <c r="N396" s="235">
        <f t="shared" si="25"/>
        <v>60</v>
      </c>
      <c r="O396" s="235">
        <f t="shared" si="26"/>
        <v>0</v>
      </c>
      <c r="P396" s="238" t="s">
        <v>2634</v>
      </c>
      <c r="Q396" s="1" t="s">
        <v>2230</v>
      </c>
      <c r="R396" s="239" t="s">
        <v>2635</v>
      </c>
      <c r="S396" s="238" t="s">
        <v>2636</v>
      </c>
      <c r="T396" s="238" t="s">
        <v>2637</v>
      </c>
      <c r="V396" s="238" t="s">
        <v>2512</v>
      </c>
      <c r="Z396" s="238"/>
      <c r="AB396" s="1" t="s">
        <v>2094</v>
      </c>
    </row>
    <row r="397" spans="1:28" ht="11.25" customHeight="1">
      <c r="A397" s="233">
        <v>41108</v>
      </c>
      <c r="B397" s="1" t="s">
        <v>2589</v>
      </c>
      <c r="C397" s="1" t="s">
        <v>2095</v>
      </c>
      <c r="D397" s="1" t="s">
        <v>1915</v>
      </c>
      <c r="E397" s="1">
        <v>1270</v>
      </c>
      <c r="F397" s="5">
        <v>60</v>
      </c>
      <c r="G397" s="1" t="s">
        <v>2420</v>
      </c>
      <c r="H397" s="234">
        <v>4.5</v>
      </c>
      <c r="I397" s="236">
        <f t="shared" si="24"/>
        <v>270</v>
      </c>
      <c r="J397" s="351"/>
      <c r="K397" s="241">
        <f>4.14*F397</f>
        <v>248.39999999999998</v>
      </c>
      <c r="L397" s="237">
        <v>41169</v>
      </c>
      <c r="M397" s="1" t="s">
        <v>2349</v>
      </c>
      <c r="N397" s="235">
        <f t="shared" si="25"/>
        <v>270</v>
      </c>
      <c r="O397" s="235">
        <f t="shared" si="26"/>
        <v>0</v>
      </c>
      <c r="P397" s="238" t="s">
        <v>2638</v>
      </c>
      <c r="Q397" s="1" t="s">
        <v>2535</v>
      </c>
      <c r="R397" s="239" t="s">
        <v>2591</v>
      </c>
      <c r="S397" s="238" t="s">
        <v>2592</v>
      </c>
      <c r="T397" s="238" t="s">
        <v>775</v>
      </c>
      <c r="U397" s="238" t="s">
        <v>809</v>
      </c>
      <c r="V397" s="238" t="s">
        <v>2512</v>
      </c>
      <c r="Y397" s="239"/>
      <c r="Z397" s="239"/>
      <c r="AA397" s="240" t="s">
        <v>2594</v>
      </c>
      <c r="AB397" s="1" t="s">
        <v>2551</v>
      </c>
    </row>
    <row r="398" spans="1:28" ht="11.25" customHeight="1">
      <c r="A398" s="233">
        <v>41109</v>
      </c>
      <c r="B398" s="1" t="s">
        <v>2186</v>
      </c>
      <c r="C398" s="1" t="s">
        <v>2095</v>
      </c>
      <c r="D398" s="1" t="s">
        <v>1887</v>
      </c>
      <c r="E398" s="1" t="s">
        <v>2639</v>
      </c>
      <c r="F398" s="5">
        <v>900</v>
      </c>
      <c r="G398" s="1" t="s">
        <v>232</v>
      </c>
      <c r="H398" s="234">
        <v>1.8</v>
      </c>
      <c r="I398" s="236">
        <f t="shared" si="24"/>
        <v>1620</v>
      </c>
      <c r="J398" s="352">
        <v>1.73</v>
      </c>
      <c r="K398" s="241">
        <f>1.73*F398</f>
        <v>1557</v>
      </c>
      <c r="L398" s="237">
        <v>41108</v>
      </c>
      <c r="M398" s="1" t="s">
        <v>2092</v>
      </c>
      <c r="N398" s="235">
        <f t="shared" si="25"/>
        <v>1620</v>
      </c>
      <c r="O398" s="235">
        <f t="shared" si="26"/>
        <v>0</v>
      </c>
      <c r="P398" s="238" t="s">
        <v>2640</v>
      </c>
      <c r="Q398" s="1" t="s">
        <v>2641</v>
      </c>
      <c r="R398" s="239" t="s">
        <v>2642</v>
      </c>
      <c r="S398" s="238" t="s">
        <v>2643</v>
      </c>
      <c r="T398" s="238" t="s">
        <v>801</v>
      </c>
      <c r="U398" s="238" t="s">
        <v>2644</v>
      </c>
      <c r="V398" s="238" t="s">
        <v>2645</v>
      </c>
      <c r="W398" s="236">
        <v>8962.94</v>
      </c>
      <c r="X398" s="233">
        <v>41145</v>
      </c>
      <c r="Y398" s="238" t="s">
        <v>2646</v>
      </c>
      <c r="Z398" s="239"/>
      <c r="AB398" s="1" t="s">
        <v>2551</v>
      </c>
    </row>
    <row r="399" spans="1:28" ht="11.25" customHeight="1">
      <c r="A399" s="233">
        <v>41109</v>
      </c>
      <c r="B399" s="1" t="s">
        <v>2186</v>
      </c>
      <c r="C399" s="1" t="s">
        <v>2095</v>
      </c>
      <c r="D399" s="1" t="s">
        <v>1880</v>
      </c>
      <c r="E399" s="1">
        <v>6006</v>
      </c>
      <c r="F399" s="5">
        <v>74</v>
      </c>
      <c r="G399" s="1" t="s">
        <v>2101</v>
      </c>
      <c r="H399" s="234">
        <v>50</v>
      </c>
      <c r="I399" s="236">
        <f t="shared" si="24"/>
        <v>3700</v>
      </c>
      <c r="J399" s="351"/>
      <c r="K399" s="241">
        <f>49.8*F399</f>
        <v>3685.2</v>
      </c>
      <c r="L399" s="237">
        <v>41108</v>
      </c>
      <c r="M399" s="1" t="s">
        <v>2092</v>
      </c>
      <c r="N399" s="235">
        <f t="shared" si="25"/>
        <v>3700</v>
      </c>
      <c r="O399" s="235">
        <f t="shared" si="26"/>
        <v>0</v>
      </c>
      <c r="P399" s="238" t="s">
        <v>2640</v>
      </c>
      <c r="Q399" s="1" t="s">
        <v>2641</v>
      </c>
      <c r="R399" s="239" t="s">
        <v>2642</v>
      </c>
      <c r="S399" s="238" t="s">
        <v>2643</v>
      </c>
      <c r="T399" s="238" t="s">
        <v>801</v>
      </c>
      <c r="U399" s="238" t="s">
        <v>2644</v>
      </c>
      <c r="V399" s="238" t="s">
        <v>2645</v>
      </c>
      <c r="W399" s="236">
        <v>8962.94</v>
      </c>
      <c r="X399" s="233">
        <v>41145</v>
      </c>
      <c r="Y399" s="238" t="s">
        <v>2646</v>
      </c>
      <c r="Z399" s="239"/>
      <c r="AB399" s="1" t="s">
        <v>2551</v>
      </c>
    </row>
    <row r="400" spans="1:28" ht="11.25" customHeight="1">
      <c r="A400" s="233">
        <v>41109</v>
      </c>
      <c r="B400" s="1" t="s">
        <v>2186</v>
      </c>
      <c r="C400" s="1" t="s">
        <v>2095</v>
      </c>
      <c r="D400" s="1" t="s">
        <v>241</v>
      </c>
      <c r="E400" s="1">
        <v>6200</v>
      </c>
      <c r="F400" s="5">
        <v>37</v>
      </c>
      <c r="G400" s="1" t="s">
        <v>2101</v>
      </c>
      <c r="H400" s="234">
        <v>45.8</v>
      </c>
      <c r="I400" s="236">
        <f t="shared" si="24"/>
        <v>1694.6</v>
      </c>
      <c r="J400" s="351">
        <v>42</v>
      </c>
      <c r="K400" s="241" t="e">
        <f>#REF!*F400</f>
        <v>#REF!</v>
      </c>
      <c r="L400" s="237">
        <v>41108</v>
      </c>
      <c r="M400" s="1" t="s">
        <v>2092</v>
      </c>
      <c r="N400" s="235">
        <f t="shared" si="25"/>
        <v>1694.6</v>
      </c>
      <c r="O400" s="235">
        <f t="shared" si="26"/>
        <v>0</v>
      </c>
      <c r="P400" s="238" t="s">
        <v>2640</v>
      </c>
      <c r="Q400" s="1" t="s">
        <v>1265</v>
      </c>
      <c r="R400" s="239" t="s">
        <v>2642</v>
      </c>
      <c r="S400" s="238" t="s">
        <v>2643</v>
      </c>
      <c r="T400" s="238" t="s">
        <v>801</v>
      </c>
      <c r="U400" s="238" t="s">
        <v>2644</v>
      </c>
      <c r="V400" s="238" t="s">
        <v>2647</v>
      </c>
      <c r="W400" s="236">
        <v>11631.8</v>
      </c>
      <c r="X400" s="233">
        <v>41145</v>
      </c>
      <c r="Y400" s="238" t="s">
        <v>2646</v>
      </c>
      <c r="Z400" s="239"/>
      <c r="AB400" s="1" t="s">
        <v>2551</v>
      </c>
    </row>
    <row r="401" spans="1:28" ht="11.25" customHeight="1">
      <c r="A401" s="233">
        <v>41109</v>
      </c>
      <c r="B401" s="1" t="s">
        <v>2186</v>
      </c>
      <c r="C401" s="1" t="s">
        <v>2095</v>
      </c>
      <c r="D401" s="1" t="s">
        <v>1216</v>
      </c>
      <c r="E401" s="1">
        <v>3200</v>
      </c>
      <c r="F401" s="5">
        <v>100</v>
      </c>
      <c r="G401" s="1" t="s">
        <v>2101</v>
      </c>
      <c r="H401" s="234">
        <v>28.5</v>
      </c>
      <c r="I401" s="236">
        <f t="shared" si="24"/>
        <v>2850</v>
      </c>
      <c r="J401" s="351">
        <v>26.55</v>
      </c>
      <c r="K401" s="241">
        <f>26.55*F401</f>
        <v>2655</v>
      </c>
      <c r="L401" s="237">
        <v>41115</v>
      </c>
      <c r="M401" s="1" t="s">
        <v>2092</v>
      </c>
      <c r="N401" s="235">
        <f t="shared" si="25"/>
        <v>2850</v>
      </c>
      <c r="O401" s="235">
        <f t="shared" si="26"/>
        <v>0</v>
      </c>
      <c r="P401" s="238" t="s">
        <v>2648</v>
      </c>
      <c r="Q401" s="1" t="s">
        <v>1265</v>
      </c>
      <c r="R401" s="239" t="s">
        <v>2642</v>
      </c>
      <c r="S401" s="238" t="s">
        <v>2643</v>
      </c>
      <c r="T401" s="238" t="s">
        <v>801</v>
      </c>
      <c r="U401" s="238" t="s">
        <v>2644</v>
      </c>
      <c r="V401" s="238" t="s">
        <v>2645</v>
      </c>
      <c r="W401" s="236">
        <v>8962.94</v>
      </c>
      <c r="X401" s="233">
        <v>41145</v>
      </c>
      <c r="Y401" s="238" t="s">
        <v>2646</v>
      </c>
      <c r="Z401" s="239"/>
      <c r="AB401" s="1" t="s">
        <v>2551</v>
      </c>
    </row>
    <row r="402" spans="1:28" ht="11.25" customHeight="1">
      <c r="A402" s="233">
        <v>41109</v>
      </c>
      <c r="B402" s="1" t="s">
        <v>2186</v>
      </c>
      <c r="C402" s="1" t="s">
        <v>2095</v>
      </c>
      <c r="D402" s="1" t="s">
        <v>264</v>
      </c>
      <c r="E402" s="1" t="s">
        <v>2134</v>
      </c>
      <c r="F402" s="5">
        <v>100</v>
      </c>
      <c r="G402" s="1" t="s">
        <v>2101</v>
      </c>
      <c r="H402" s="234">
        <v>2.0099999999999998</v>
      </c>
      <c r="I402" s="236">
        <f t="shared" si="24"/>
        <v>200.99999999999997</v>
      </c>
      <c r="J402" s="351">
        <v>1.88</v>
      </c>
      <c r="K402" s="241">
        <f>1.88*F402</f>
        <v>188</v>
      </c>
      <c r="L402" s="237">
        <v>41115</v>
      </c>
      <c r="M402" s="1" t="s">
        <v>2092</v>
      </c>
      <c r="N402" s="235">
        <f t="shared" si="25"/>
        <v>200.99999999999997</v>
      </c>
      <c r="O402" s="235">
        <f t="shared" si="26"/>
        <v>0</v>
      </c>
      <c r="P402" s="238" t="s">
        <v>2648</v>
      </c>
      <c r="Q402" s="1" t="s">
        <v>2641</v>
      </c>
      <c r="R402" s="239" t="s">
        <v>2642</v>
      </c>
      <c r="S402" s="238" t="s">
        <v>2643</v>
      </c>
      <c r="T402" s="238" t="s">
        <v>801</v>
      </c>
      <c r="U402" s="238" t="s">
        <v>2644</v>
      </c>
      <c r="V402" s="238" t="s">
        <v>2645</v>
      </c>
      <c r="W402" s="236">
        <v>8962.94</v>
      </c>
      <c r="X402" s="233">
        <v>41145</v>
      </c>
      <c r="Y402" s="238" t="s">
        <v>2646</v>
      </c>
      <c r="Z402" s="239"/>
      <c r="AB402" s="1" t="s">
        <v>2551</v>
      </c>
    </row>
    <row r="403" spans="1:28" ht="11.25" customHeight="1">
      <c r="A403" s="233">
        <v>41109</v>
      </c>
      <c r="B403" s="1" t="s">
        <v>2186</v>
      </c>
      <c r="C403" s="1" t="s">
        <v>2095</v>
      </c>
      <c r="D403" s="5" t="s">
        <v>1227</v>
      </c>
      <c r="E403" s="1" t="s">
        <v>2649</v>
      </c>
      <c r="F403" s="5">
        <v>100</v>
      </c>
      <c r="G403" s="1" t="s">
        <v>2101</v>
      </c>
      <c r="H403" s="234">
        <v>37.65</v>
      </c>
      <c r="I403" s="236">
        <f t="shared" si="24"/>
        <v>3765</v>
      </c>
      <c r="J403" s="351"/>
      <c r="K403" s="241">
        <f>37*F403</f>
        <v>3700</v>
      </c>
      <c r="L403" s="237">
        <v>41115</v>
      </c>
      <c r="M403" s="1" t="s">
        <v>2092</v>
      </c>
      <c r="N403" s="235">
        <f t="shared" si="25"/>
        <v>3765</v>
      </c>
      <c r="O403" s="235">
        <f t="shared" si="26"/>
        <v>0</v>
      </c>
      <c r="P403" s="238" t="s">
        <v>2648</v>
      </c>
      <c r="Q403" s="1" t="s">
        <v>2641</v>
      </c>
      <c r="R403" s="239" t="s">
        <v>2642</v>
      </c>
      <c r="S403" s="238" t="s">
        <v>2643</v>
      </c>
      <c r="T403" s="238" t="s">
        <v>801</v>
      </c>
      <c r="U403" s="238" t="s">
        <v>2644</v>
      </c>
      <c r="V403" s="238" t="s">
        <v>2647</v>
      </c>
      <c r="W403" s="236">
        <v>11631.8</v>
      </c>
      <c r="X403" s="233">
        <v>41145</v>
      </c>
      <c r="Y403" s="238" t="s">
        <v>2646</v>
      </c>
      <c r="Z403" s="239"/>
      <c r="AB403" s="1" t="s">
        <v>2551</v>
      </c>
    </row>
    <row r="404" spans="1:28" ht="11.25" customHeight="1">
      <c r="A404" s="233">
        <v>41109</v>
      </c>
      <c r="B404" s="1" t="s">
        <v>2186</v>
      </c>
      <c r="C404" s="1" t="s">
        <v>2095</v>
      </c>
      <c r="D404" s="1" t="s">
        <v>269</v>
      </c>
      <c r="E404" s="1" t="s">
        <v>2136</v>
      </c>
      <c r="F404" s="5">
        <v>100</v>
      </c>
      <c r="G404" s="1" t="s">
        <v>232</v>
      </c>
      <c r="H404" s="234">
        <v>1.48</v>
      </c>
      <c r="I404" s="236">
        <f t="shared" si="24"/>
        <v>148</v>
      </c>
      <c r="J404" s="352">
        <v>1.4</v>
      </c>
      <c r="K404" s="241">
        <f>1.4*F404</f>
        <v>140</v>
      </c>
      <c r="L404" s="237">
        <v>41115</v>
      </c>
      <c r="M404" s="1" t="s">
        <v>2092</v>
      </c>
      <c r="N404" s="235">
        <f t="shared" si="25"/>
        <v>148</v>
      </c>
      <c r="O404" s="235">
        <f t="shared" si="26"/>
        <v>0</v>
      </c>
      <c r="P404" s="238" t="s">
        <v>2648</v>
      </c>
      <c r="Q404" s="1" t="s">
        <v>2641</v>
      </c>
      <c r="R404" s="239" t="s">
        <v>2642</v>
      </c>
      <c r="S404" s="238" t="s">
        <v>2643</v>
      </c>
      <c r="T404" s="238" t="s">
        <v>801</v>
      </c>
      <c r="U404" s="238" t="s">
        <v>2650</v>
      </c>
      <c r="V404" s="238" t="s">
        <v>2645</v>
      </c>
      <c r="W404" s="236">
        <v>8962.94</v>
      </c>
      <c r="X404" s="233">
        <v>41145</v>
      </c>
      <c r="Y404" s="238" t="s">
        <v>2646</v>
      </c>
      <c r="Z404" s="239"/>
      <c r="AB404" s="1" t="s">
        <v>2551</v>
      </c>
    </row>
    <row r="405" spans="1:28" ht="11.25" customHeight="1">
      <c r="A405" s="233">
        <v>41109</v>
      </c>
      <c r="B405" s="1" t="s">
        <v>2186</v>
      </c>
      <c r="C405" s="1" t="s">
        <v>2095</v>
      </c>
      <c r="D405" s="1" t="s">
        <v>1220</v>
      </c>
      <c r="E405" s="1">
        <v>4690</v>
      </c>
      <c r="F405" s="5">
        <v>1</v>
      </c>
      <c r="G405" s="1" t="s">
        <v>2553</v>
      </c>
      <c r="H405" s="234">
        <v>221.97</v>
      </c>
      <c r="I405" s="236">
        <f>H405*F405</f>
        <v>221.97</v>
      </c>
      <c r="J405" s="351"/>
      <c r="K405" s="241">
        <f>212.43*F405</f>
        <v>212.43</v>
      </c>
      <c r="L405" s="237">
        <v>41115</v>
      </c>
      <c r="M405" s="1" t="s">
        <v>2092</v>
      </c>
      <c r="N405" s="235">
        <f t="shared" si="25"/>
        <v>221.97</v>
      </c>
      <c r="O405" s="235">
        <f t="shared" si="26"/>
        <v>0</v>
      </c>
      <c r="P405" s="238" t="s">
        <v>2648</v>
      </c>
      <c r="Q405" s="1" t="s">
        <v>2599</v>
      </c>
      <c r="R405" s="239" t="s">
        <v>2642</v>
      </c>
      <c r="S405" s="238" t="s">
        <v>2643</v>
      </c>
      <c r="T405" s="238" t="s">
        <v>801</v>
      </c>
      <c r="U405" s="238" t="s">
        <v>2650</v>
      </c>
      <c r="V405" s="238" t="s">
        <v>2645</v>
      </c>
      <c r="W405" s="236">
        <v>8962.94</v>
      </c>
      <c r="X405" s="233">
        <v>41145</v>
      </c>
      <c r="Y405" s="238" t="s">
        <v>2646</v>
      </c>
      <c r="Z405" s="238"/>
      <c r="AB405" s="1" t="s">
        <v>2551</v>
      </c>
    </row>
    <row r="406" spans="1:28" ht="11.25" customHeight="1">
      <c r="A406" s="233">
        <v>41109</v>
      </c>
      <c r="B406" s="1" t="s">
        <v>2186</v>
      </c>
      <c r="C406" s="1" t="s">
        <v>2095</v>
      </c>
      <c r="D406" s="1" t="s">
        <v>1221</v>
      </c>
      <c r="E406" s="1">
        <v>4690</v>
      </c>
      <c r="F406" s="5">
        <v>1</v>
      </c>
      <c r="G406" s="1" t="s">
        <v>2553</v>
      </c>
      <c r="H406" s="234">
        <v>221.97</v>
      </c>
      <c r="I406" s="236">
        <f>H406*F406</f>
        <v>221.97</v>
      </c>
      <c r="J406" s="351"/>
      <c r="K406" s="241">
        <f>212.43*F406</f>
        <v>212.43</v>
      </c>
      <c r="L406" s="237">
        <v>41115</v>
      </c>
      <c r="M406" s="1" t="s">
        <v>2092</v>
      </c>
      <c r="N406" s="235">
        <f t="shared" si="25"/>
        <v>221.97</v>
      </c>
      <c r="O406" s="235">
        <f t="shared" si="26"/>
        <v>0</v>
      </c>
      <c r="P406" s="238" t="s">
        <v>2648</v>
      </c>
      <c r="Q406" s="1" t="s">
        <v>2599</v>
      </c>
      <c r="R406" s="239" t="s">
        <v>2642</v>
      </c>
      <c r="S406" s="238" t="s">
        <v>2643</v>
      </c>
      <c r="T406" s="238" t="s">
        <v>801</v>
      </c>
      <c r="V406" s="238" t="s">
        <v>2645</v>
      </c>
      <c r="W406" s="236">
        <v>8962.94</v>
      </c>
      <c r="X406" s="233">
        <v>41145</v>
      </c>
      <c r="Y406" s="238" t="s">
        <v>2646</v>
      </c>
      <c r="Z406" s="238"/>
      <c r="AB406" s="1" t="s">
        <v>2551</v>
      </c>
    </row>
    <row r="407" spans="1:28" ht="11.25" customHeight="1">
      <c r="A407" s="233">
        <v>41109</v>
      </c>
      <c r="B407" s="1" t="s">
        <v>2651</v>
      </c>
      <c r="C407" s="1" t="s">
        <v>2095</v>
      </c>
      <c r="D407" s="1" t="s">
        <v>2024</v>
      </c>
      <c r="E407" s="1">
        <v>10434</v>
      </c>
      <c r="F407" s="5">
        <v>3</v>
      </c>
      <c r="G407" s="1" t="s">
        <v>2420</v>
      </c>
      <c r="H407" s="234">
        <v>22</v>
      </c>
      <c r="I407" s="236">
        <f t="shared" si="24"/>
        <v>66</v>
      </c>
      <c r="J407" s="351"/>
      <c r="K407" s="241">
        <f>14.88*F407</f>
        <v>44.64</v>
      </c>
      <c r="L407" s="237">
        <v>41109</v>
      </c>
      <c r="M407" s="1" t="s">
        <v>2412</v>
      </c>
      <c r="N407" s="235">
        <f t="shared" si="25"/>
        <v>66</v>
      </c>
      <c r="O407" s="235">
        <f t="shared" si="26"/>
        <v>0</v>
      </c>
      <c r="P407" s="238" t="s">
        <v>2652</v>
      </c>
      <c r="Q407" s="1" t="s">
        <v>2230</v>
      </c>
      <c r="R407" s="239" t="s">
        <v>2653</v>
      </c>
      <c r="S407" s="238" t="s">
        <v>2654</v>
      </c>
      <c r="T407" s="238" t="s">
        <v>2655</v>
      </c>
      <c r="V407" s="238" t="s">
        <v>2512</v>
      </c>
      <c r="Z407" s="238"/>
      <c r="AB407" s="1" t="s">
        <v>2094</v>
      </c>
    </row>
    <row r="408" spans="1:28" ht="11.25" customHeight="1">
      <c r="A408" s="233">
        <v>41109</v>
      </c>
      <c r="B408" s="1" t="s">
        <v>2651</v>
      </c>
      <c r="C408" s="1" t="s">
        <v>2095</v>
      </c>
      <c r="D408" s="5" t="s">
        <v>2026</v>
      </c>
      <c r="E408" s="1" t="s">
        <v>2513</v>
      </c>
      <c r="F408" s="5">
        <v>100</v>
      </c>
      <c r="G408" s="1" t="s">
        <v>5002</v>
      </c>
      <c r="H408" s="234">
        <v>2.4</v>
      </c>
      <c r="I408" s="236">
        <f t="shared" si="24"/>
        <v>240</v>
      </c>
      <c r="J408" s="351">
        <v>1.55</v>
      </c>
      <c r="K408" s="241">
        <f>1.55*F408</f>
        <v>155</v>
      </c>
      <c r="L408" s="237">
        <v>41109</v>
      </c>
      <c r="M408" s="1" t="s">
        <v>2412</v>
      </c>
      <c r="N408" s="235">
        <f t="shared" si="25"/>
        <v>240</v>
      </c>
      <c r="O408" s="235">
        <f t="shared" si="26"/>
        <v>0</v>
      </c>
      <c r="P408" s="238" t="s">
        <v>2652</v>
      </c>
      <c r="Q408" s="1" t="s">
        <v>2230</v>
      </c>
      <c r="R408" s="239" t="s">
        <v>2653</v>
      </c>
      <c r="S408" s="238" t="s">
        <v>2654</v>
      </c>
      <c r="T408" s="238" t="s">
        <v>2655</v>
      </c>
      <c r="V408" s="238" t="s">
        <v>2512</v>
      </c>
      <c r="Z408" s="238"/>
      <c r="AB408" s="1" t="s">
        <v>2094</v>
      </c>
    </row>
    <row r="409" spans="1:28" ht="11.25" customHeight="1">
      <c r="A409" s="233">
        <v>41109</v>
      </c>
      <c r="B409" s="1" t="s">
        <v>2651</v>
      </c>
      <c r="C409" s="1" t="s">
        <v>2095</v>
      </c>
      <c r="D409" s="1" t="s">
        <v>233</v>
      </c>
      <c r="E409" s="1" t="s">
        <v>2123</v>
      </c>
      <c r="F409" s="5">
        <v>20</v>
      </c>
      <c r="G409" s="1" t="s">
        <v>232</v>
      </c>
      <c r="H409" s="234">
        <v>8.9</v>
      </c>
      <c r="I409" s="236">
        <f t="shared" si="24"/>
        <v>178</v>
      </c>
      <c r="J409" s="351">
        <v>5.0999999999999996</v>
      </c>
      <c r="K409" s="241">
        <f>5.1*F409</f>
        <v>102</v>
      </c>
      <c r="L409" s="237">
        <v>41109</v>
      </c>
      <c r="M409" s="1" t="s">
        <v>2412</v>
      </c>
      <c r="N409" s="235">
        <f t="shared" si="25"/>
        <v>178</v>
      </c>
      <c r="O409" s="235">
        <f t="shared" si="26"/>
        <v>0</v>
      </c>
      <c r="P409" s="238" t="s">
        <v>2652</v>
      </c>
      <c r="Q409" s="1" t="s">
        <v>2230</v>
      </c>
      <c r="R409" s="239" t="s">
        <v>2653</v>
      </c>
      <c r="S409" s="238" t="s">
        <v>2654</v>
      </c>
      <c r="T409" s="238" t="s">
        <v>2655</v>
      </c>
      <c r="V409" s="238" t="s">
        <v>2512</v>
      </c>
      <c r="Z409" s="238"/>
      <c r="AB409" s="1" t="s">
        <v>2094</v>
      </c>
    </row>
    <row r="410" spans="1:28" ht="11.25" customHeight="1">
      <c r="A410" s="233">
        <v>41109</v>
      </c>
      <c r="B410" s="1" t="s">
        <v>2651</v>
      </c>
      <c r="C410" s="1" t="s">
        <v>2095</v>
      </c>
      <c r="D410" s="1" t="s">
        <v>241</v>
      </c>
      <c r="E410" s="1">
        <v>6200</v>
      </c>
      <c r="F410" s="5">
        <v>4</v>
      </c>
      <c r="G410" s="1" t="s">
        <v>230</v>
      </c>
      <c r="H410" s="234">
        <v>65.400000000000006</v>
      </c>
      <c r="I410" s="236">
        <f t="shared" si="24"/>
        <v>261.60000000000002</v>
      </c>
      <c r="J410" s="351">
        <v>42</v>
      </c>
      <c r="K410" s="241" t="e">
        <f>#REF!*F410</f>
        <v>#REF!</v>
      </c>
      <c r="L410" s="237">
        <v>41109</v>
      </c>
      <c r="M410" s="1" t="s">
        <v>2412</v>
      </c>
      <c r="N410" s="235">
        <f t="shared" si="25"/>
        <v>261.60000000000002</v>
      </c>
      <c r="O410" s="235">
        <f t="shared" si="26"/>
        <v>0</v>
      </c>
      <c r="P410" s="238" t="s">
        <v>2652</v>
      </c>
      <c r="Q410" s="1" t="s">
        <v>2230</v>
      </c>
      <c r="R410" s="239" t="s">
        <v>2653</v>
      </c>
      <c r="S410" s="238" t="s">
        <v>2654</v>
      </c>
      <c r="T410" s="238" t="s">
        <v>2655</v>
      </c>
      <c r="V410" s="238" t="s">
        <v>2512</v>
      </c>
      <c r="Z410" s="238"/>
      <c r="AB410" s="1" t="s">
        <v>2094</v>
      </c>
    </row>
    <row r="411" spans="1:28" ht="11.25" customHeight="1">
      <c r="A411" s="233">
        <v>41109</v>
      </c>
      <c r="B411" s="1" t="s">
        <v>2651</v>
      </c>
      <c r="C411" s="1" t="s">
        <v>2095</v>
      </c>
      <c r="D411" s="1" t="s">
        <v>355</v>
      </c>
      <c r="E411" s="1" t="s">
        <v>2516</v>
      </c>
      <c r="F411" s="5">
        <v>8</v>
      </c>
      <c r="G411" s="1" t="s">
        <v>230</v>
      </c>
      <c r="H411" s="234">
        <v>29</v>
      </c>
      <c r="I411" s="236">
        <f t="shared" si="24"/>
        <v>232</v>
      </c>
      <c r="J411" s="351">
        <v>18.5</v>
      </c>
      <c r="K411" s="241">
        <f>18.5*F411</f>
        <v>148</v>
      </c>
      <c r="L411" s="237">
        <v>41109</v>
      </c>
      <c r="M411" s="1" t="s">
        <v>2412</v>
      </c>
      <c r="N411" s="235">
        <f t="shared" si="25"/>
        <v>232</v>
      </c>
      <c r="O411" s="235">
        <f t="shared" si="26"/>
        <v>0</v>
      </c>
      <c r="P411" s="238" t="s">
        <v>2652</v>
      </c>
      <c r="Q411" s="1" t="s">
        <v>2230</v>
      </c>
      <c r="R411" s="239" t="s">
        <v>2653</v>
      </c>
      <c r="S411" s="238" t="s">
        <v>2654</v>
      </c>
      <c r="T411" s="238" t="s">
        <v>2655</v>
      </c>
      <c r="V411" s="238" t="s">
        <v>2512</v>
      </c>
      <c r="Z411" s="238"/>
      <c r="AB411" s="1" t="s">
        <v>2094</v>
      </c>
    </row>
    <row r="412" spans="1:28" ht="11.25" customHeight="1">
      <c r="A412" s="233">
        <v>41109</v>
      </c>
      <c r="B412" s="1" t="s">
        <v>2651</v>
      </c>
      <c r="C412" s="1" t="s">
        <v>2095</v>
      </c>
      <c r="D412" s="1" t="s">
        <v>264</v>
      </c>
      <c r="E412" s="1">
        <v>501</v>
      </c>
      <c r="F412" s="5">
        <v>8</v>
      </c>
      <c r="G412" s="1" t="s">
        <v>230</v>
      </c>
      <c r="H412" s="234">
        <v>1.9</v>
      </c>
      <c r="I412" s="236">
        <f t="shared" si="24"/>
        <v>15.2</v>
      </c>
      <c r="J412" s="351">
        <v>17.5</v>
      </c>
      <c r="K412" s="241">
        <f>1.4*F412</f>
        <v>11.2</v>
      </c>
      <c r="L412" s="237">
        <v>41109</v>
      </c>
      <c r="M412" s="1" t="s">
        <v>2412</v>
      </c>
      <c r="N412" s="235">
        <f t="shared" si="25"/>
        <v>15.2</v>
      </c>
      <c r="O412" s="235">
        <f t="shared" si="26"/>
        <v>0</v>
      </c>
      <c r="P412" s="238" t="s">
        <v>2652</v>
      </c>
      <c r="Q412" s="1" t="s">
        <v>2230</v>
      </c>
      <c r="R412" s="239" t="s">
        <v>2653</v>
      </c>
      <c r="S412" s="238" t="s">
        <v>2654</v>
      </c>
      <c r="T412" s="238" t="s">
        <v>2655</v>
      </c>
      <c r="V412" s="238" t="s">
        <v>2512</v>
      </c>
      <c r="Z412" s="238"/>
      <c r="AB412" s="1" t="s">
        <v>2094</v>
      </c>
    </row>
    <row r="413" spans="1:28" ht="11.25" customHeight="1">
      <c r="A413" s="233">
        <v>41110</v>
      </c>
      <c r="B413" s="1" t="s">
        <v>2656</v>
      </c>
      <c r="C413" s="1" t="s">
        <v>2095</v>
      </c>
      <c r="D413" s="5" t="s">
        <v>2026</v>
      </c>
      <c r="E413" s="1" t="s">
        <v>2513</v>
      </c>
      <c r="F413" s="5">
        <v>200</v>
      </c>
      <c r="G413" s="1" t="s">
        <v>5002</v>
      </c>
      <c r="H413" s="234">
        <v>2.25</v>
      </c>
      <c r="I413" s="236">
        <f t="shared" si="24"/>
        <v>450</v>
      </c>
      <c r="J413" s="351">
        <v>1.55</v>
      </c>
      <c r="K413" s="241">
        <f>1.55*F413</f>
        <v>310</v>
      </c>
      <c r="L413" s="237">
        <v>41110</v>
      </c>
      <c r="M413" s="1" t="s">
        <v>2412</v>
      </c>
      <c r="N413" s="235">
        <f t="shared" si="25"/>
        <v>450</v>
      </c>
      <c r="O413" s="235">
        <f t="shared" si="26"/>
        <v>0</v>
      </c>
      <c r="P413" s="238" t="s">
        <v>2657</v>
      </c>
      <c r="Q413" s="1" t="s">
        <v>2230</v>
      </c>
      <c r="R413" s="239" t="s">
        <v>2658</v>
      </c>
      <c r="S413" s="238" t="s">
        <v>2659</v>
      </c>
      <c r="T413" s="238" t="s">
        <v>2660</v>
      </c>
      <c r="V413" s="238" t="s">
        <v>2512</v>
      </c>
      <c r="Z413" s="238"/>
      <c r="AB413" s="1" t="s">
        <v>2094</v>
      </c>
    </row>
    <row r="414" spans="1:28" ht="11.25" customHeight="1">
      <c r="A414" s="233">
        <v>41111</v>
      </c>
      <c r="B414" s="1" t="s">
        <v>2661</v>
      </c>
      <c r="C414" s="1" t="s">
        <v>2095</v>
      </c>
      <c r="D414" s="1" t="s">
        <v>241</v>
      </c>
      <c r="E414" s="1">
        <v>6200</v>
      </c>
      <c r="F414" s="5">
        <v>10</v>
      </c>
      <c r="G414" s="1" t="s">
        <v>230</v>
      </c>
      <c r="H414" s="234">
        <v>47.6</v>
      </c>
      <c r="I414" s="236">
        <f t="shared" si="24"/>
        <v>476</v>
      </c>
      <c r="J414" s="351" t="s">
        <v>6088</v>
      </c>
      <c r="K414" s="241">
        <f>45.8*7+42*3</f>
        <v>446.59999999999997</v>
      </c>
      <c r="L414" s="237">
        <v>41111</v>
      </c>
      <c r="M414" s="1" t="s">
        <v>2662</v>
      </c>
      <c r="N414" s="235">
        <f t="shared" si="25"/>
        <v>476</v>
      </c>
      <c r="O414" s="235">
        <f t="shared" si="26"/>
        <v>0</v>
      </c>
      <c r="P414" s="238" t="s">
        <v>2663</v>
      </c>
      <c r="Q414" s="1" t="s">
        <v>1263</v>
      </c>
      <c r="R414" s="239" t="s">
        <v>2664</v>
      </c>
      <c r="S414" s="238" t="s">
        <v>2665</v>
      </c>
      <c r="T414" s="238" t="s">
        <v>2666</v>
      </c>
      <c r="U414" s="238" t="s">
        <v>2667</v>
      </c>
      <c r="V414" s="238" t="s">
        <v>2512</v>
      </c>
      <c r="Z414" s="238"/>
      <c r="AB414" s="1" t="s">
        <v>2551</v>
      </c>
    </row>
    <row r="415" spans="1:28" ht="11.25" customHeight="1">
      <c r="A415" s="233">
        <v>41111</v>
      </c>
      <c r="B415" s="1" t="s">
        <v>2661</v>
      </c>
      <c r="C415" s="1" t="s">
        <v>2095</v>
      </c>
      <c r="D415" s="1" t="s">
        <v>355</v>
      </c>
      <c r="E415" s="1" t="s">
        <v>2516</v>
      </c>
      <c r="F415" s="5">
        <v>20</v>
      </c>
      <c r="G415" s="1" t="s">
        <v>230</v>
      </c>
      <c r="H415" s="234">
        <v>20.9</v>
      </c>
      <c r="I415" s="236">
        <f t="shared" si="24"/>
        <v>418</v>
      </c>
      <c r="J415" s="351">
        <v>17.5</v>
      </c>
      <c r="K415" s="241">
        <f>17.5*F415</f>
        <v>350</v>
      </c>
      <c r="L415" s="237">
        <v>41111</v>
      </c>
      <c r="M415" s="1" t="s">
        <v>2662</v>
      </c>
      <c r="N415" s="235">
        <f t="shared" si="25"/>
        <v>418</v>
      </c>
      <c r="O415" s="235">
        <f t="shared" si="26"/>
        <v>0</v>
      </c>
      <c r="P415" s="238" t="s">
        <v>2663</v>
      </c>
      <c r="Q415" s="1" t="s">
        <v>2586</v>
      </c>
      <c r="R415" s="239" t="s">
        <v>2664</v>
      </c>
      <c r="S415" s="238" t="s">
        <v>2665</v>
      </c>
      <c r="T415" s="238" t="s">
        <v>2666</v>
      </c>
      <c r="U415" s="238" t="s">
        <v>2667</v>
      </c>
      <c r="V415" s="238" t="s">
        <v>2512</v>
      </c>
      <c r="Z415" s="238"/>
      <c r="AB415" s="1" t="s">
        <v>2551</v>
      </c>
    </row>
    <row r="416" spans="1:28" ht="11.25" customHeight="1">
      <c r="A416" s="233">
        <v>41111</v>
      </c>
      <c r="B416" s="1" t="s">
        <v>2661</v>
      </c>
      <c r="C416" s="1" t="s">
        <v>2095</v>
      </c>
      <c r="D416" s="1" t="s">
        <v>233</v>
      </c>
      <c r="E416" s="1" t="s">
        <v>2123</v>
      </c>
      <c r="F416" s="5">
        <v>70</v>
      </c>
      <c r="G416" s="1" t="s">
        <v>232</v>
      </c>
      <c r="H416" s="234">
        <v>6.3</v>
      </c>
      <c r="I416" s="236">
        <f t="shared" si="24"/>
        <v>441</v>
      </c>
      <c r="J416" s="351">
        <v>5.0999999999999996</v>
      </c>
      <c r="K416" s="241">
        <f>5.1*F416</f>
        <v>357</v>
      </c>
      <c r="L416" s="237">
        <v>41111</v>
      </c>
      <c r="M416" s="1" t="s">
        <v>2662</v>
      </c>
      <c r="N416" s="235">
        <f t="shared" si="25"/>
        <v>441</v>
      </c>
      <c r="O416" s="235">
        <f t="shared" si="26"/>
        <v>0</v>
      </c>
      <c r="P416" s="238" t="s">
        <v>2663</v>
      </c>
      <c r="Q416" s="1" t="s">
        <v>2586</v>
      </c>
      <c r="R416" s="239" t="s">
        <v>2664</v>
      </c>
      <c r="S416" s="238" t="s">
        <v>2665</v>
      </c>
      <c r="T416" s="238" t="s">
        <v>2666</v>
      </c>
      <c r="U416" s="238" t="s">
        <v>2667</v>
      </c>
      <c r="V416" s="238" t="s">
        <v>2512</v>
      </c>
      <c r="Z416" s="238"/>
      <c r="AB416" s="1" t="s">
        <v>2551</v>
      </c>
    </row>
    <row r="417" spans="1:28" ht="11.25" customHeight="1">
      <c r="A417" s="233">
        <v>41111</v>
      </c>
      <c r="B417" s="1" t="s">
        <v>2661</v>
      </c>
      <c r="C417" s="1" t="s">
        <v>2095</v>
      </c>
      <c r="D417" s="1" t="s">
        <v>264</v>
      </c>
      <c r="E417" s="1">
        <v>501</v>
      </c>
      <c r="F417" s="5">
        <v>20</v>
      </c>
      <c r="G417" s="1" t="s">
        <v>230</v>
      </c>
      <c r="H417" s="234">
        <v>1.5</v>
      </c>
      <c r="I417" s="236">
        <f t="shared" si="24"/>
        <v>30</v>
      </c>
      <c r="J417" s="351">
        <v>1.4</v>
      </c>
      <c r="K417" s="241">
        <f>1.4*F417</f>
        <v>28</v>
      </c>
      <c r="L417" s="237">
        <v>41111</v>
      </c>
      <c r="M417" s="1" t="s">
        <v>2662</v>
      </c>
      <c r="N417" s="235">
        <f t="shared" si="25"/>
        <v>30</v>
      </c>
      <c r="O417" s="235">
        <f t="shared" si="26"/>
        <v>0</v>
      </c>
      <c r="P417" s="238" t="s">
        <v>2663</v>
      </c>
      <c r="Q417" s="1" t="s">
        <v>2586</v>
      </c>
      <c r="R417" s="239" t="s">
        <v>2664</v>
      </c>
      <c r="S417" s="238" t="s">
        <v>2665</v>
      </c>
      <c r="T417" s="238" t="s">
        <v>2666</v>
      </c>
      <c r="U417" s="238" t="s">
        <v>2667</v>
      </c>
      <c r="V417" s="238" t="s">
        <v>2512</v>
      </c>
      <c r="Z417" s="238"/>
      <c r="AB417" s="1" t="s">
        <v>2551</v>
      </c>
    </row>
    <row r="418" spans="1:28" ht="11.25" customHeight="1">
      <c r="A418" s="233">
        <v>41111</v>
      </c>
      <c r="B418" s="1" t="s">
        <v>2661</v>
      </c>
      <c r="C418" s="1" t="s">
        <v>2095</v>
      </c>
      <c r="D418" s="1" t="s">
        <v>1216</v>
      </c>
      <c r="E418" s="1">
        <v>3200</v>
      </c>
      <c r="F418" s="5">
        <v>10</v>
      </c>
      <c r="G418" s="1" t="s">
        <v>2101</v>
      </c>
      <c r="H418" s="234">
        <v>31</v>
      </c>
      <c r="I418" s="236">
        <f t="shared" si="24"/>
        <v>310</v>
      </c>
      <c r="J418" s="351">
        <v>28</v>
      </c>
      <c r="K418" s="241">
        <f>28*F418</f>
        <v>280</v>
      </c>
      <c r="L418" s="237">
        <v>41111</v>
      </c>
      <c r="M418" s="1" t="s">
        <v>2662</v>
      </c>
      <c r="N418" s="235">
        <f t="shared" si="25"/>
        <v>310</v>
      </c>
      <c r="O418" s="235">
        <f t="shared" si="26"/>
        <v>0</v>
      </c>
      <c r="P418" s="238" t="s">
        <v>2663</v>
      </c>
      <c r="Q418" s="1" t="s">
        <v>1263</v>
      </c>
      <c r="R418" s="239" t="s">
        <v>2664</v>
      </c>
      <c r="S418" s="238" t="s">
        <v>2665</v>
      </c>
      <c r="T418" s="238" t="s">
        <v>2666</v>
      </c>
      <c r="U418" s="238" t="s">
        <v>2667</v>
      </c>
      <c r="V418" s="238" t="s">
        <v>2512</v>
      </c>
      <c r="Z418" s="238"/>
      <c r="AB418" s="1" t="s">
        <v>2551</v>
      </c>
    </row>
    <row r="419" spans="1:28" ht="11.25" customHeight="1">
      <c r="A419" s="233">
        <v>41111</v>
      </c>
      <c r="B419" s="1" t="s">
        <v>2661</v>
      </c>
      <c r="C419" s="1" t="s">
        <v>2095</v>
      </c>
      <c r="D419" s="1" t="s">
        <v>264</v>
      </c>
      <c r="E419" s="1" t="s">
        <v>2134</v>
      </c>
      <c r="F419" s="5">
        <v>10</v>
      </c>
      <c r="G419" s="1" t="s">
        <v>2101</v>
      </c>
      <c r="H419" s="234">
        <v>2.1</v>
      </c>
      <c r="I419" s="236">
        <f t="shared" si="24"/>
        <v>21</v>
      </c>
      <c r="J419" s="351">
        <v>1.92</v>
      </c>
      <c r="K419" s="241">
        <f>1.92*F419</f>
        <v>19.2</v>
      </c>
      <c r="L419" s="237">
        <v>41111</v>
      </c>
      <c r="M419" s="1" t="s">
        <v>2662</v>
      </c>
      <c r="N419" s="235">
        <f t="shared" si="25"/>
        <v>21</v>
      </c>
      <c r="O419" s="235">
        <f t="shared" si="26"/>
        <v>0</v>
      </c>
      <c r="P419" s="238" t="s">
        <v>2663</v>
      </c>
      <c r="Q419" s="1" t="s">
        <v>2586</v>
      </c>
      <c r="R419" s="239" t="s">
        <v>2664</v>
      </c>
      <c r="S419" s="238" t="s">
        <v>2665</v>
      </c>
      <c r="T419" s="238" t="s">
        <v>2666</v>
      </c>
      <c r="U419" s="238" t="s">
        <v>2667</v>
      </c>
      <c r="V419" s="238" t="s">
        <v>2512</v>
      </c>
      <c r="Z419" s="238"/>
      <c r="AB419" s="1" t="s">
        <v>2551</v>
      </c>
    </row>
    <row r="420" spans="1:28" ht="11.25" customHeight="1">
      <c r="A420" s="233">
        <v>41111</v>
      </c>
      <c r="B420" s="1" t="s">
        <v>2661</v>
      </c>
      <c r="C420" s="1" t="s">
        <v>2095</v>
      </c>
      <c r="D420" s="1" t="s">
        <v>355</v>
      </c>
      <c r="E420" s="1" t="s">
        <v>2419</v>
      </c>
      <c r="F420" s="5">
        <v>10</v>
      </c>
      <c r="G420" s="1" t="s">
        <v>2101</v>
      </c>
      <c r="H420" s="234">
        <v>14.7</v>
      </c>
      <c r="I420" s="236">
        <f t="shared" si="24"/>
        <v>147</v>
      </c>
      <c r="J420" s="352">
        <v>13.33</v>
      </c>
      <c r="K420" s="241">
        <f>13.33*8+12.74*2</f>
        <v>132.12</v>
      </c>
      <c r="L420" s="237">
        <v>41111</v>
      </c>
      <c r="M420" s="1" t="s">
        <v>2662</v>
      </c>
      <c r="N420" s="235">
        <f t="shared" si="25"/>
        <v>147</v>
      </c>
      <c r="O420" s="235">
        <f t="shared" si="26"/>
        <v>0</v>
      </c>
      <c r="P420" s="238" t="s">
        <v>2663</v>
      </c>
      <c r="Q420" s="1" t="s">
        <v>2586</v>
      </c>
      <c r="R420" s="239" t="s">
        <v>2664</v>
      </c>
      <c r="S420" s="238" t="s">
        <v>2665</v>
      </c>
      <c r="T420" s="238" t="s">
        <v>2666</v>
      </c>
      <c r="U420" s="238" t="s">
        <v>2667</v>
      </c>
      <c r="V420" s="238" t="s">
        <v>2512</v>
      </c>
      <c r="Z420" s="238"/>
      <c r="AB420" s="1" t="s">
        <v>2551</v>
      </c>
    </row>
    <row r="421" spans="1:28" ht="11.25" customHeight="1">
      <c r="A421" s="233">
        <v>41111</v>
      </c>
      <c r="B421" s="1" t="s">
        <v>2661</v>
      </c>
      <c r="C421" s="1" t="s">
        <v>2095</v>
      </c>
      <c r="D421" s="1" t="s">
        <v>269</v>
      </c>
      <c r="E421" s="1" t="s">
        <v>2136</v>
      </c>
      <c r="F421" s="5">
        <v>210</v>
      </c>
      <c r="G421" s="1" t="s">
        <v>232</v>
      </c>
      <c r="H421" s="234">
        <v>1.6</v>
      </c>
      <c r="I421" s="236">
        <f t="shared" si="24"/>
        <v>336</v>
      </c>
      <c r="J421" s="352">
        <v>1.42</v>
      </c>
      <c r="K421" s="241">
        <f>1.42*200+1.43*10</f>
        <v>298.3</v>
      </c>
      <c r="L421" s="237">
        <v>41111</v>
      </c>
      <c r="M421" s="1" t="s">
        <v>2662</v>
      </c>
      <c r="N421" s="235">
        <f t="shared" si="25"/>
        <v>336</v>
      </c>
      <c r="O421" s="235">
        <f t="shared" si="26"/>
        <v>0</v>
      </c>
      <c r="P421" s="238" t="s">
        <v>2663</v>
      </c>
      <c r="Q421" s="1" t="s">
        <v>2586</v>
      </c>
      <c r="R421" s="239" t="s">
        <v>2664</v>
      </c>
      <c r="S421" s="238" t="s">
        <v>2665</v>
      </c>
      <c r="T421" s="238" t="s">
        <v>2666</v>
      </c>
      <c r="U421" s="238" t="s">
        <v>2667</v>
      </c>
      <c r="V421" s="238" t="s">
        <v>2512</v>
      </c>
      <c r="Z421" s="238"/>
      <c r="AB421" s="1" t="s">
        <v>2551</v>
      </c>
    </row>
    <row r="422" spans="1:28" ht="11.25" customHeight="1">
      <c r="A422" s="233">
        <v>41113</v>
      </c>
      <c r="B422" s="1" t="s">
        <v>2668</v>
      </c>
      <c r="C422" s="1" t="s">
        <v>2095</v>
      </c>
      <c r="D422" s="1" t="s">
        <v>307</v>
      </c>
      <c r="E422" s="1">
        <v>1270</v>
      </c>
      <c r="F422" s="5">
        <v>100</v>
      </c>
      <c r="G422" s="1" t="s">
        <v>240</v>
      </c>
      <c r="H422" s="234">
        <v>4.83</v>
      </c>
      <c r="I422" s="236">
        <v>483</v>
      </c>
      <c r="J422" s="351"/>
      <c r="K422" s="241">
        <v>431</v>
      </c>
      <c r="L422" s="237">
        <v>41113</v>
      </c>
      <c r="M422" s="236" t="s">
        <v>302</v>
      </c>
      <c r="N422" s="235">
        <f t="shared" si="25"/>
        <v>483</v>
      </c>
      <c r="O422" s="235">
        <f t="shared" si="26"/>
        <v>0</v>
      </c>
      <c r="P422" s="238" t="s">
        <v>2669</v>
      </c>
      <c r="Q422" s="1" t="s">
        <v>393</v>
      </c>
      <c r="R422" s="239" t="s">
        <v>2670</v>
      </c>
      <c r="S422" s="238" t="s">
        <v>2671</v>
      </c>
      <c r="V422" s="238" t="s">
        <v>2672</v>
      </c>
      <c r="W422" s="236">
        <v>784.3</v>
      </c>
      <c r="X422" s="233">
        <v>41113</v>
      </c>
      <c r="Y422" s="238" t="s">
        <v>2097</v>
      </c>
      <c r="Z422" s="238"/>
      <c r="AB422" s="1" t="s">
        <v>379</v>
      </c>
    </row>
    <row r="423" spans="1:28" ht="11.25" customHeight="1">
      <c r="A423" s="233">
        <v>41113</v>
      </c>
      <c r="B423" s="1" t="s">
        <v>2673</v>
      </c>
      <c r="C423" s="1" t="s">
        <v>2095</v>
      </c>
      <c r="D423" s="5" t="s">
        <v>2026</v>
      </c>
      <c r="E423" s="1" t="s">
        <v>2513</v>
      </c>
      <c r="F423" s="5">
        <v>500</v>
      </c>
      <c r="G423" s="1" t="s">
        <v>5002</v>
      </c>
      <c r="H423" s="234">
        <v>1.65</v>
      </c>
      <c r="I423" s="236">
        <f t="shared" ref="I423:I451" si="27">H423*F423</f>
        <v>825</v>
      </c>
      <c r="J423" s="351">
        <v>1.55</v>
      </c>
      <c r="K423" s="241">
        <f>1.55*F423</f>
        <v>775</v>
      </c>
      <c r="L423" s="237">
        <v>41113</v>
      </c>
      <c r="M423" s="1" t="s">
        <v>2092</v>
      </c>
      <c r="N423" s="235">
        <f t="shared" si="25"/>
        <v>825</v>
      </c>
      <c r="O423" s="235">
        <f t="shared" si="26"/>
        <v>0</v>
      </c>
      <c r="P423" s="238" t="s">
        <v>2674</v>
      </c>
      <c r="Q423" s="1" t="s">
        <v>393</v>
      </c>
      <c r="S423" s="238" t="s">
        <v>645</v>
      </c>
      <c r="T423" s="238" t="s">
        <v>2097</v>
      </c>
      <c r="U423" s="238" t="s">
        <v>2097</v>
      </c>
      <c r="V423" s="238" t="s">
        <v>2675</v>
      </c>
      <c r="W423" s="236">
        <v>11698.5</v>
      </c>
      <c r="X423" s="233">
        <v>41177</v>
      </c>
      <c r="Y423" s="238" t="s">
        <v>2097</v>
      </c>
      <c r="AB423" s="1" t="s">
        <v>2551</v>
      </c>
    </row>
    <row r="424" spans="1:28" ht="11.25" customHeight="1">
      <c r="A424" s="233">
        <v>41113</v>
      </c>
      <c r="B424" s="1" t="s">
        <v>2579</v>
      </c>
      <c r="C424" s="1" t="s">
        <v>2095</v>
      </c>
      <c r="D424" s="1" t="s">
        <v>1216</v>
      </c>
      <c r="E424" s="1">
        <v>3200</v>
      </c>
      <c r="F424" s="5">
        <v>50</v>
      </c>
      <c r="G424" s="1" t="s">
        <v>2101</v>
      </c>
      <c r="H424" s="234">
        <v>29</v>
      </c>
      <c r="I424" s="236">
        <f t="shared" si="27"/>
        <v>1450</v>
      </c>
      <c r="J424" s="351">
        <v>28.3</v>
      </c>
      <c r="K424" s="241">
        <f>28.3*F424</f>
        <v>1415</v>
      </c>
      <c r="L424" s="237">
        <v>41115</v>
      </c>
      <c r="M424" s="1" t="s">
        <v>2092</v>
      </c>
      <c r="N424" s="235">
        <f t="shared" si="25"/>
        <v>1450</v>
      </c>
      <c r="O424" s="235">
        <f t="shared" si="26"/>
        <v>0</v>
      </c>
      <c r="P424" s="238" t="s">
        <v>2097</v>
      </c>
      <c r="Q424" s="1" t="s">
        <v>1266</v>
      </c>
      <c r="R424" s="239" t="s">
        <v>2624</v>
      </c>
      <c r="S424" s="238" t="s">
        <v>2625</v>
      </c>
      <c r="T424" s="238" t="s">
        <v>2626</v>
      </c>
      <c r="U424" s="238" t="s">
        <v>2676</v>
      </c>
      <c r="V424" s="115" t="s">
        <v>2583</v>
      </c>
      <c r="W424" s="259">
        <v>10671.9</v>
      </c>
      <c r="X424" s="233">
        <v>41117</v>
      </c>
      <c r="Y424" s="255"/>
      <c r="AB424" s="1" t="s">
        <v>2551</v>
      </c>
    </row>
    <row r="425" spans="1:28" ht="11.25" customHeight="1">
      <c r="A425" s="233">
        <v>41113</v>
      </c>
      <c r="B425" s="1" t="s">
        <v>2579</v>
      </c>
      <c r="C425" s="1" t="s">
        <v>2095</v>
      </c>
      <c r="D425" s="1" t="s">
        <v>348</v>
      </c>
      <c r="E425" s="1">
        <v>3700</v>
      </c>
      <c r="F425" s="5">
        <v>50</v>
      </c>
      <c r="G425" s="1" t="s">
        <v>2101</v>
      </c>
      <c r="H425" s="234">
        <v>3.75</v>
      </c>
      <c r="I425" s="236">
        <f t="shared" si="27"/>
        <v>187.5</v>
      </c>
      <c r="J425" s="351">
        <v>3.6</v>
      </c>
      <c r="K425" s="241">
        <f>3.6*F425</f>
        <v>180</v>
      </c>
      <c r="L425" s="237">
        <v>41115</v>
      </c>
      <c r="M425" s="1" t="s">
        <v>2092</v>
      </c>
      <c r="N425" s="235">
        <f t="shared" si="25"/>
        <v>187.5</v>
      </c>
      <c r="O425" s="235">
        <f t="shared" si="26"/>
        <v>0</v>
      </c>
      <c r="P425" s="238" t="s">
        <v>2097</v>
      </c>
      <c r="Q425" s="1" t="s">
        <v>2623</v>
      </c>
      <c r="R425" s="239" t="s">
        <v>2624</v>
      </c>
      <c r="S425" s="238" t="s">
        <v>2625</v>
      </c>
      <c r="T425" s="238" t="s">
        <v>2626</v>
      </c>
      <c r="U425" s="238" t="s">
        <v>2676</v>
      </c>
      <c r="V425" s="115" t="s">
        <v>2583</v>
      </c>
      <c r="W425" s="259">
        <v>10671.9</v>
      </c>
      <c r="X425" s="233">
        <v>41117</v>
      </c>
      <c r="Y425" s="255"/>
      <c r="AB425" s="1" t="s">
        <v>2551</v>
      </c>
    </row>
    <row r="426" spans="1:28" ht="11.25" customHeight="1">
      <c r="A426" s="233">
        <v>41113</v>
      </c>
      <c r="B426" s="1" t="s">
        <v>2579</v>
      </c>
      <c r="C426" s="1" t="s">
        <v>2095</v>
      </c>
      <c r="D426" s="1" t="s">
        <v>309</v>
      </c>
      <c r="E426" s="1">
        <v>1110</v>
      </c>
      <c r="F426" s="5">
        <v>150</v>
      </c>
      <c r="G426" s="1" t="s">
        <v>2420</v>
      </c>
      <c r="H426" s="234">
        <v>0.8</v>
      </c>
      <c r="I426" s="236">
        <f t="shared" si="27"/>
        <v>120</v>
      </c>
      <c r="J426" s="351"/>
      <c r="K426" s="241">
        <f>0.77*F426</f>
        <v>115.5</v>
      </c>
      <c r="L426" s="237">
        <v>41115</v>
      </c>
      <c r="M426" s="1" t="s">
        <v>2092</v>
      </c>
      <c r="N426" s="235">
        <f t="shared" si="25"/>
        <v>120</v>
      </c>
      <c r="O426" s="235">
        <f t="shared" si="26"/>
        <v>0</v>
      </c>
      <c r="P426" s="238" t="s">
        <v>2097</v>
      </c>
      <c r="Q426" s="1" t="s">
        <v>2623</v>
      </c>
      <c r="R426" s="239" t="s">
        <v>2624</v>
      </c>
      <c r="S426" s="238" t="s">
        <v>2625</v>
      </c>
      <c r="T426" s="238" t="s">
        <v>2626</v>
      </c>
      <c r="U426" s="238" t="s">
        <v>2676</v>
      </c>
      <c r="V426" s="115" t="s">
        <v>2583</v>
      </c>
      <c r="W426" s="259">
        <v>10671.9</v>
      </c>
      <c r="X426" s="233">
        <v>41117</v>
      </c>
      <c r="Y426" s="255"/>
      <c r="AB426" s="1" t="s">
        <v>2551</v>
      </c>
    </row>
    <row r="427" spans="1:28" ht="11.25" customHeight="1">
      <c r="A427" s="233">
        <v>41113</v>
      </c>
      <c r="B427" s="1" t="s">
        <v>2677</v>
      </c>
      <c r="C427" s="1" t="s">
        <v>2095</v>
      </c>
      <c r="D427" s="1" t="s">
        <v>233</v>
      </c>
      <c r="E427" s="1" t="s">
        <v>2123</v>
      </c>
      <c r="F427" s="5">
        <v>100</v>
      </c>
      <c r="G427" s="1" t="s">
        <v>232</v>
      </c>
      <c r="H427" s="234">
        <v>5.5</v>
      </c>
      <c r="I427" s="236">
        <f t="shared" si="27"/>
        <v>550</v>
      </c>
      <c r="J427" s="351">
        <v>5.0999999999999996</v>
      </c>
      <c r="K427" s="241">
        <f>5.1*F427</f>
        <v>509.99999999999994</v>
      </c>
      <c r="L427" s="237">
        <v>41113</v>
      </c>
      <c r="M427" s="1" t="s">
        <v>2412</v>
      </c>
      <c r="N427" s="235">
        <f t="shared" si="25"/>
        <v>550</v>
      </c>
      <c r="O427" s="235">
        <f t="shared" si="26"/>
        <v>0</v>
      </c>
      <c r="P427" s="238" t="s">
        <v>2678</v>
      </c>
      <c r="Q427" s="1" t="s">
        <v>2679</v>
      </c>
      <c r="R427" s="239" t="s">
        <v>2137</v>
      </c>
      <c r="S427" s="238" t="s">
        <v>2680</v>
      </c>
      <c r="T427" s="238" t="s">
        <v>2681</v>
      </c>
      <c r="V427" s="238" t="s">
        <v>2512</v>
      </c>
      <c r="Y427" s="255"/>
      <c r="AB427" s="1" t="s">
        <v>2551</v>
      </c>
    </row>
    <row r="428" spans="1:28" ht="11.25" customHeight="1">
      <c r="A428" s="233">
        <v>41113</v>
      </c>
      <c r="B428" s="1" t="s">
        <v>2589</v>
      </c>
      <c r="C428" s="1" t="s">
        <v>2095</v>
      </c>
      <c r="D428" s="1" t="s">
        <v>2037</v>
      </c>
      <c r="E428" s="1">
        <v>8511</v>
      </c>
      <c r="F428" s="5">
        <v>90</v>
      </c>
      <c r="G428" s="1" t="s">
        <v>232</v>
      </c>
      <c r="H428" s="234">
        <v>8.67</v>
      </c>
      <c r="I428" s="236">
        <f t="shared" si="27"/>
        <v>780.3</v>
      </c>
      <c r="J428" s="351"/>
      <c r="K428" s="241">
        <v>749.5</v>
      </c>
      <c r="L428" s="237">
        <v>41169</v>
      </c>
      <c r="M428" s="1" t="s">
        <v>2349</v>
      </c>
      <c r="N428" s="235">
        <f t="shared" si="25"/>
        <v>780.3</v>
      </c>
      <c r="O428" s="235">
        <f t="shared" si="26"/>
        <v>0</v>
      </c>
      <c r="P428" s="238" t="s">
        <v>2682</v>
      </c>
      <c r="Q428" s="1" t="s">
        <v>2623</v>
      </c>
      <c r="R428" s="239" t="s">
        <v>2591</v>
      </c>
      <c r="S428" s="238" t="s">
        <v>2592</v>
      </c>
      <c r="T428" s="238" t="s">
        <v>775</v>
      </c>
      <c r="U428" s="238" t="s">
        <v>2683</v>
      </c>
      <c r="V428" s="238" t="s">
        <v>2512</v>
      </c>
      <c r="Y428" s="239"/>
      <c r="Z428" s="239"/>
      <c r="AA428" s="240" t="s">
        <v>2594</v>
      </c>
      <c r="AB428" s="1" t="s">
        <v>2551</v>
      </c>
    </row>
    <row r="429" spans="1:28" ht="11.25" customHeight="1">
      <c r="A429" s="233">
        <v>41114</v>
      </c>
      <c r="B429" s="1" t="s">
        <v>2552</v>
      </c>
      <c r="C429" s="1" t="s">
        <v>2095</v>
      </c>
      <c r="D429" s="1" t="s">
        <v>2035</v>
      </c>
      <c r="E429" s="1">
        <v>4690</v>
      </c>
      <c r="F429" s="5">
        <v>1</v>
      </c>
      <c r="G429" s="1" t="s">
        <v>2553</v>
      </c>
      <c r="H429" s="234">
        <v>228</v>
      </c>
      <c r="I429" s="236">
        <f t="shared" si="27"/>
        <v>228</v>
      </c>
      <c r="J429" s="351"/>
      <c r="K429" s="261">
        <f>212.43*F429</f>
        <v>212.43</v>
      </c>
      <c r="L429" s="237">
        <v>41113</v>
      </c>
      <c r="M429" s="1" t="s">
        <v>2412</v>
      </c>
      <c r="N429" s="235">
        <f t="shared" si="25"/>
        <v>228</v>
      </c>
      <c r="O429" s="235">
        <f t="shared" si="26"/>
        <v>0</v>
      </c>
      <c r="P429" s="238" t="s">
        <v>2684</v>
      </c>
      <c r="Q429" s="1" t="s">
        <v>2529</v>
      </c>
      <c r="R429" s="238" t="s">
        <v>2097</v>
      </c>
      <c r="S429" s="238" t="s">
        <v>2097</v>
      </c>
      <c r="T429" s="238" t="s">
        <v>2685</v>
      </c>
      <c r="V429" s="238" t="s">
        <v>2512</v>
      </c>
      <c r="Y429" s="255"/>
      <c r="Z429" s="1" t="s">
        <v>2573</v>
      </c>
      <c r="AB429" s="1" t="s">
        <v>2551</v>
      </c>
    </row>
    <row r="430" spans="1:28" ht="11.25" customHeight="1">
      <c r="A430" s="233">
        <v>41115</v>
      </c>
      <c r="B430" s="1" t="s">
        <v>2686</v>
      </c>
      <c r="C430" s="1" t="s">
        <v>2095</v>
      </c>
      <c r="D430" s="5" t="s">
        <v>2026</v>
      </c>
      <c r="E430" s="1" t="s">
        <v>2513</v>
      </c>
      <c r="F430" s="5">
        <v>100</v>
      </c>
      <c r="G430" s="1" t="s">
        <v>5002</v>
      </c>
      <c r="H430" s="234">
        <v>2.4300000000000002</v>
      </c>
      <c r="I430" s="236">
        <f t="shared" si="27"/>
        <v>243.00000000000003</v>
      </c>
      <c r="J430" s="351">
        <v>1.46</v>
      </c>
      <c r="K430" s="241">
        <f>1.55*F430</f>
        <v>155</v>
      </c>
      <c r="L430" s="237">
        <v>41115</v>
      </c>
      <c r="M430" s="1" t="s">
        <v>2412</v>
      </c>
      <c r="N430" s="235">
        <f t="shared" si="25"/>
        <v>243.00000000000003</v>
      </c>
      <c r="O430" s="235">
        <f t="shared" si="26"/>
        <v>0</v>
      </c>
      <c r="P430" s="238" t="s">
        <v>2687</v>
      </c>
      <c r="Q430" s="1" t="s">
        <v>2679</v>
      </c>
      <c r="R430" s="239" t="s">
        <v>2688</v>
      </c>
      <c r="S430" s="238" t="s">
        <v>2689</v>
      </c>
      <c r="T430" s="238" t="s">
        <v>2690</v>
      </c>
      <c r="V430" s="238" t="s">
        <v>2691</v>
      </c>
      <c r="W430" s="236">
        <v>1595.5</v>
      </c>
      <c r="X430" s="233">
        <v>41115</v>
      </c>
      <c r="Y430" s="255"/>
      <c r="AA430" s="240" t="s">
        <v>2692</v>
      </c>
      <c r="AB430" s="1" t="s">
        <v>2094</v>
      </c>
    </row>
    <row r="431" spans="1:28" ht="11.25" customHeight="1">
      <c r="A431" s="233">
        <v>41115</v>
      </c>
      <c r="B431" s="1" t="s">
        <v>2686</v>
      </c>
      <c r="C431" s="1" t="s">
        <v>2095</v>
      </c>
      <c r="D431" s="1" t="s">
        <v>1910</v>
      </c>
      <c r="E431" s="1" t="s">
        <v>2693</v>
      </c>
      <c r="F431" s="5">
        <v>50</v>
      </c>
      <c r="G431" s="1" t="s">
        <v>2420</v>
      </c>
      <c r="H431" s="234">
        <v>5.8</v>
      </c>
      <c r="I431" s="236">
        <f t="shared" si="27"/>
        <v>290</v>
      </c>
      <c r="J431" s="351"/>
      <c r="K431" s="261">
        <f>3.65*F431</f>
        <v>182.5</v>
      </c>
      <c r="L431" s="237">
        <v>41115</v>
      </c>
      <c r="M431" s="1" t="s">
        <v>2412</v>
      </c>
      <c r="N431" s="235">
        <f t="shared" si="25"/>
        <v>290</v>
      </c>
      <c r="O431" s="235">
        <f t="shared" si="26"/>
        <v>0</v>
      </c>
      <c r="P431" s="238" t="s">
        <v>2687</v>
      </c>
      <c r="Q431" s="1" t="s">
        <v>2679</v>
      </c>
      <c r="R431" s="239" t="s">
        <v>2688</v>
      </c>
      <c r="S431" s="238" t="s">
        <v>2689</v>
      </c>
      <c r="T431" s="238" t="s">
        <v>2690</v>
      </c>
      <c r="V431" s="238" t="s">
        <v>2691</v>
      </c>
      <c r="W431" s="236">
        <v>1595.5</v>
      </c>
      <c r="X431" s="233">
        <v>41115</v>
      </c>
      <c r="Y431" s="255"/>
      <c r="Z431" s="255" t="s">
        <v>2573</v>
      </c>
      <c r="AA431" s="240" t="s">
        <v>2692</v>
      </c>
      <c r="AB431" s="1" t="s">
        <v>2094</v>
      </c>
    </row>
    <row r="432" spans="1:28" ht="11.25" customHeight="1">
      <c r="A432" s="233">
        <v>41115</v>
      </c>
      <c r="B432" s="1" t="s">
        <v>2686</v>
      </c>
      <c r="C432" s="1" t="s">
        <v>2095</v>
      </c>
      <c r="D432" s="1" t="s">
        <v>233</v>
      </c>
      <c r="E432" s="1" t="s">
        <v>2639</v>
      </c>
      <c r="F432" s="5">
        <v>50</v>
      </c>
      <c r="G432" s="1" t="s">
        <v>232</v>
      </c>
      <c r="H432" s="234">
        <v>2.5299999999999998</v>
      </c>
      <c r="I432" s="236">
        <f t="shared" si="27"/>
        <v>126.49999999999999</v>
      </c>
      <c r="J432" s="352">
        <v>1.827</v>
      </c>
      <c r="K432" s="241">
        <f>1.827*F432</f>
        <v>91.35</v>
      </c>
      <c r="L432" s="237">
        <v>41115</v>
      </c>
      <c r="M432" s="1" t="s">
        <v>2412</v>
      </c>
      <c r="N432" s="235">
        <f t="shared" si="25"/>
        <v>126.49999999999999</v>
      </c>
      <c r="O432" s="235">
        <f t="shared" si="26"/>
        <v>0</v>
      </c>
      <c r="P432" s="238" t="s">
        <v>2687</v>
      </c>
      <c r="Q432" s="1" t="s">
        <v>2679</v>
      </c>
      <c r="R432" s="239" t="s">
        <v>2688</v>
      </c>
      <c r="S432" s="238" t="s">
        <v>2689</v>
      </c>
      <c r="T432" s="238" t="s">
        <v>2690</v>
      </c>
      <c r="V432" s="238" t="s">
        <v>2691</v>
      </c>
      <c r="W432" s="236">
        <v>1595.5</v>
      </c>
      <c r="X432" s="233">
        <v>41115</v>
      </c>
      <c r="Y432" s="255"/>
      <c r="AA432" s="240" t="s">
        <v>2692</v>
      </c>
      <c r="AB432" s="1" t="s">
        <v>2094</v>
      </c>
    </row>
    <row r="433" spans="1:28" ht="11.25" customHeight="1">
      <c r="A433" s="233">
        <v>41115</v>
      </c>
      <c r="B433" s="1" t="s">
        <v>2686</v>
      </c>
      <c r="C433" s="1" t="s">
        <v>2095</v>
      </c>
      <c r="D433" s="1" t="s">
        <v>1216</v>
      </c>
      <c r="E433" s="1">
        <v>3200</v>
      </c>
      <c r="F433" s="5">
        <v>20</v>
      </c>
      <c r="G433" s="1" t="s">
        <v>2101</v>
      </c>
      <c r="H433" s="234">
        <v>39.1</v>
      </c>
      <c r="I433" s="236">
        <f t="shared" si="27"/>
        <v>782</v>
      </c>
      <c r="J433" s="351">
        <v>28.3</v>
      </c>
      <c r="K433" s="241">
        <f>28.3*F433</f>
        <v>566</v>
      </c>
      <c r="L433" s="237">
        <v>41115</v>
      </c>
      <c r="M433" s="1" t="s">
        <v>2412</v>
      </c>
      <c r="N433" s="235">
        <f t="shared" si="25"/>
        <v>782</v>
      </c>
      <c r="O433" s="235">
        <f t="shared" si="26"/>
        <v>0</v>
      </c>
      <c r="P433" s="238" t="s">
        <v>2687</v>
      </c>
      <c r="Q433" s="1" t="s">
        <v>2679</v>
      </c>
      <c r="R433" s="239" t="s">
        <v>2688</v>
      </c>
      <c r="S433" s="238" t="s">
        <v>2689</v>
      </c>
      <c r="T433" s="238" t="s">
        <v>2690</v>
      </c>
      <c r="V433" s="238" t="s">
        <v>2691</v>
      </c>
      <c r="W433" s="236">
        <v>1595.5</v>
      </c>
      <c r="X433" s="233">
        <v>41115</v>
      </c>
      <c r="Y433" s="255"/>
      <c r="AA433" s="240" t="s">
        <v>2692</v>
      </c>
      <c r="AB433" s="1" t="s">
        <v>2094</v>
      </c>
    </row>
    <row r="434" spans="1:28" ht="11.25" customHeight="1">
      <c r="A434" s="233">
        <v>41115</v>
      </c>
      <c r="B434" s="1" t="s">
        <v>2686</v>
      </c>
      <c r="C434" s="1" t="s">
        <v>2095</v>
      </c>
      <c r="D434" s="1" t="s">
        <v>233</v>
      </c>
      <c r="E434" s="1" t="s">
        <v>2639</v>
      </c>
      <c r="F434" s="5">
        <v>20</v>
      </c>
      <c r="G434" s="1" t="s">
        <v>232</v>
      </c>
      <c r="H434" s="234">
        <v>2.6</v>
      </c>
      <c r="I434" s="236">
        <f t="shared" si="27"/>
        <v>52</v>
      </c>
      <c r="J434" s="352">
        <v>1.827</v>
      </c>
      <c r="K434" s="241">
        <f>1.827*F434</f>
        <v>36.54</v>
      </c>
      <c r="L434" s="237">
        <v>41115</v>
      </c>
      <c r="M434" s="1" t="s">
        <v>2412</v>
      </c>
      <c r="N434" s="235">
        <f t="shared" si="25"/>
        <v>52</v>
      </c>
      <c r="O434" s="235">
        <f t="shared" si="26"/>
        <v>0</v>
      </c>
      <c r="P434" s="238" t="s">
        <v>2687</v>
      </c>
      <c r="Q434" s="1" t="s">
        <v>2679</v>
      </c>
      <c r="R434" s="239" t="s">
        <v>2688</v>
      </c>
      <c r="S434" s="238" t="s">
        <v>2689</v>
      </c>
      <c r="T434" s="238" t="s">
        <v>2690</v>
      </c>
      <c r="V434" s="238" t="s">
        <v>2691</v>
      </c>
      <c r="W434" s="236">
        <v>1595.5</v>
      </c>
      <c r="X434" s="233">
        <v>41115</v>
      </c>
      <c r="Y434" s="255"/>
      <c r="AA434" s="240" t="s">
        <v>2692</v>
      </c>
      <c r="AB434" s="1" t="s">
        <v>2094</v>
      </c>
    </row>
    <row r="435" spans="1:28" ht="11.25" customHeight="1">
      <c r="A435" s="233">
        <v>41115</v>
      </c>
      <c r="B435" s="1" t="s">
        <v>2686</v>
      </c>
      <c r="C435" s="1" t="s">
        <v>2095</v>
      </c>
      <c r="D435" s="1" t="s">
        <v>348</v>
      </c>
      <c r="E435" s="1">
        <v>3700</v>
      </c>
      <c r="F435" s="5">
        <v>20</v>
      </c>
      <c r="G435" s="1" t="s">
        <v>2101</v>
      </c>
      <c r="H435" s="234">
        <v>5.0999999999999996</v>
      </c>
      <c r="I435" s="236">
        <f t="shared" si="27"/>
        <v>102</v>
      </c>
      <c r="J435" s="351">
        <v>3.64</v>
      </c>
      <c r="K435" s="241">
        <f>3.64*F435</f>
        <v>72.8</v>
      </c>
      <c r="L435" s="237">
        <v>41115</v>
      </c>
      <c r="M435" s="1" t="s">
        <v>2412</v>
      </c>
      <c r="N435" s="235">
        <f t="shared" si="25"/>
        <v>102</v>
      </c>
      <c r="O435" s="235">
        <f t="shared" si="26"/>
        <v>0</v>
      </c>
      <c r="P435" s="238" t="s">
        <v>2687</v>
      </c>
      <c r="Q435" s="1" t="s">
        <v>2679</v>
      </c>
      <c r="R435" s="239" t="s">
        <v>2688</v>
      </c>
      <c r="S435" s="238" t="s">
        <v>2689</v>
      </c>
      <c r="T435" s="238" t="s">
        <v>2690</v>
      </c>
      <c r="V435" s="238" t="s">
        <v>2691</v>
      </c>
      <c r="W435" s="236">
        <v>1595.5</v>
      </c>
      <c r="X435" s="233">
        <v>41115</v>
      </c>
      <c r="Y435" s="255"/>
      <c r="AA435" s="240" t="s">
        <v>2692</v>
      </c>
      <c r="AB435" s="1" t="s">
        <v>2094</v>
      </c>
    </row>
    <row r="436" spans="1:28" ht="11.25" customHeight="1">
      <c r="A436" s="233">
        <v>41115</v>
      </c>
      <c r="B436" s="1" t="s">
        <v>2579</v>
      </c>
      <c r="C436" s="1" t="s">
        <v>2095</v>
      </c>
      <c r="D436" s="1" t="s">
        <v>1880</v>
      </c>
      <c r="E436" s="1">
        <v>6006</v>
      </c>
      <c r="F436" s="5">
        <v>280</v>
      </c>
      <c r="G436" s="1" t="s">
        <v>2101</v>
      </c>
      <c r="H436" s="234">
        <v>50.3</v>
      </c>
      <c r="I436" s="236">
        <f t="shared" si="27"/>
        <v>14084</v>
      </c>
      <c r="J436" s="351"/>
      <c r="K436" s="241">
        <f>49.5*F436</f>
        <v>13860</v>
      </c>
      <c r="L436" s="237">
        <v>41115</v>
      </c>
      <c r="M436" s="1" t="s">
        <v>2092</v>
      </c>
      <c r="N436" s="235">
        <f t="shared" si="25"/>
        <v>14084</v>
      </c>
      <c r="O436" s="235">
        <f t="shared" si="26"/>
        <v>0</v>
      </c>
      <c r="P436" s="238" t="s">
        <v>2097</v>
      </c>
      <c r="Q436" s="1" t="s">
        <v>2694</v>
      </c>
      <c r="R436" s="239" t="s">
        <v>2624</v>
      </c>
      <c r="S436" s="238" t="s">
        <v>2625</v>
      </c>
      <c r="T436" s="238" t="s">
        <v>2626</v>
      </c>
      <c r="U436" s="238" t="s">
        <v>2695</v>
      </c>
      <c r="V436" s="115" t="s">
        <v>2696</v>
      </c>
      <c r="W436" s="259" t="s">
        <v>2697</v>
      </c>
      <c r="X436" s="233">
        <v>41117</v>
      </c>
      <c r="Y436" s="255"/>
      <c r="AB436" s="1" t="s">
        <v>2551</v>
      </c>
    </row>
    <row r="437" spans="1:28" ht="11.25" customHeight="1">
      <c r="A437" s="233">
        <v>41115</v>
      </c>
      <c r="B437" s="1" t="s">
        <v>2579</v>
      </c>
      <c r="C437" s="1" t="s">
        <v>2095</v>
      </c>
      <c r="D437" s="5" t="s">
        <v>2029</v>
      </c>
      <c r="E437" s="1">
        <v>7502</v>
      </c>
      <c r="F437" s="5">
        <v>20</v>
      </c>
      <c r="G437" s="1" t="s">
        <v>2101</v>
      </c>
      <c r="H437" s="234">
        <v>107.86</v>
      </c>
      <c r="I437" s="236">
        <f t="shared" si="27"/>
        <v>2157.1999999999998</v>
      </c>
      <c r="J437" s="351">
        <v>1.6</v>
      </c>
      <c r="K437" s="241">
        <f>106*F437</f>
        <v>2120</v>
      </c>
      <c r="L437" s="237">
        <v>41115</v>
      </c>
      <c r="M437" s="1" t="s">
        <v>2092</v>
      </c>
      <c r="N437" s="235">
        <f t="shared" si="25"/>
        <v>2157.1999999999998</v>
      </c>
      <c r="O437" s="235">
        <f t="shared" si="26"/>
        <v>0</v>
      </c>
      <c r="P437" s="238" t="s">
        <v>2097</v>
      </c>
      <c r="Q437" s="1" t="s">
        <v>1262</v>
      </c>
      <c r="R437" s="239" t="s">
        <v>2624</v>
      </c>
      <c r="S437" s="238" t="s">
        <v>2625</v>
      </c>
      <c r="T437" s="238" t="s">
        <v>2626</v>
      </c>
      <c r="U437" s="238" t="s">
        <v>2695</v>
      </c>
      <c r="V437" s="115" t="s">
        <v>840</v>
      </c>
      <c r="W437" s="260">
        <v>11145.68</v>
      </c>
      <c r="X437" s="233">
        <v>41117</v>
      </c>
      <c r="Y437" s="255"/>
      <c r="AB437" s="1" t="s">
        <v>2551</v>
      </c>
    </row>
    <row r="438" spans="1:28" ht="11.25" customHeight="1">
      <c r="A438" s="233">
        <v>41115</v>
      </c>
      <c r="B438" s="1" t="s">
        <v>2698</v>
      </c>
      <c r="C438" s="1" t="s">
        <v>2095</v>
      </c>
      <c r="D438" s="1" t="s">
        <v>1900</v>
      </c>
      <c r="E438" s="1">
        <v>1427</v>
      </c>
      <c r="F438" s="5">
        <v>1</v>
      </c>
      <c r="G438" s="1" t="s">
        <v>2420</v>
      </c>
      <c r="H438" s="234">
        <v>120</v>
      </c>
      <c r="I438" s="236">
        <f t="shared" si="27"/>
        <v>120</v>
      </c>
      <c r="J438" s="351"/>
      <c r="K438" s="261">
        <f>82.36*F438</f>
        <v>82.36</v>
      </c>
      <c r="L438" s="237">
        <v>41115</v>
      </c>
      <c r="M438" s="1" t="s">
        <v>2092</v>
      </c>
      <c r="N438" s="235">
        <f t="shared" si="25"/>
        <v>120</v>
      </c>
      <c r="O438" s="235">
        <f t="shared" si="26"/>
        <v>0</v>
      </c>
      <c r="P438" s="238" t="s">
        <v>2699</v>
      </c>
      <c r="Q438" s="1" t="s">
        <v>2586</v>
      </c>
      <c r="R438" s="239" t="s">
        <v>2700</v>
      </c>
      <c r="S438" s="238" t="s">
        <v>2701</v>
      </c>
      <c r="T438" s="238" t="s">
        <v>2702</v>
      </c>
      <c r="U438" s="238" t="s">
        <v>2703</v>
      </c>
      <c r="V438" s="238" t="s">
        <v>2704</v>
      </c>
      <c r="W438" s="236">
        <v>1370</v>
      </c>
      <c r="X438" s="233">
        <v>41141</v>
      </c>
      <c r="Y438" s="255">
        <v>23155078476</v>
      </c>
      <c r="Z438" s="1" t="s">
        <v>2573</v>
      </c>
      <c r="AB438" s="1" t="s">
        <v>2094</v>
      </c>
    </row>
    <row r="439" spans="1:28" ht="11.25" customHeight="1">
      <c r="A439" s="233">
        <v>41115</v>
      </c>
      <c r="B439" s="1" t="s">
        <v>2698</v>
      </c>
      <c r="C439" s="1" t="s">
        <v>2095</v>
      </c>
      <c r="D439" s="1" t="s">
        <v>306</v>
      </c>
      <c r="E439" s="1">
        <v>1425</v>
      </c>
      <c r="F439" s="5">
        <v>1</v>
      </c>
      <c r="G439" s="5" t="s">
        <v>2420</v>
      </c>
      <c r="H439" s="234">
        <v>70</v>
      </c>
      <c r="I439" s="236">
        <f t="shared" si="27"/>
        <v>70</v>
      </c>
      <c r="J439" s="351"/>
      <c r="K439" s="261">
        <f>49.68*F439</f>
        <v>49.68</v>
      </c>
      <c r="L439" s="237">
        <v>41115</v>
      </c>
      <c r="M439" s="1" t="s">
        <v>2092</v>
      </c>
      <c r="N439" s="235">
        <f t="shared" si="25"/>
        <v>70</v>
      </c>
      <c r="O439" s="235">
        <f t="shared" si="26"/>
        <v>0</v>
      </c>
      <c r="P439" s="238" t="s">
        <v>2699</v>
      </c>
      <c r="Q439" s="1" t="s">
        <v>2586</v>
      </c>
      <c r="R439" s="239" t="s">
        <v>2700</v>
      </c>
      <c r="S439" s="238" t="s">
        <v>2701</v>
      </c>
      <c r="T439" s="238" t="s">
        <v>2702</v>
      </c>
      <c r="U439" s="238" t="s">
        <v>2703</v>
      </c>
      <c r="V439" s="238" t="s">
        <v>2704</v>
      </c>
      <c r="W439" s="236">
        <v>1370</v>
      </c>
      <c r="X439" s="233">
        <v>41141</v>
      </c>
      <c r="Y439" s="255">
        <v>23155078476</v>
      </c>
      <c r="Z439" s="1" t="s">
        <v>2573</v>
      </c>
      <c r="AB439" s="1" t="s">
        <v>2094</v>
      </c>
    </row>
    <row r="440" spans="1:28" ht="11.25" customHeight="1">
      <c r="A440" s="233">
        <v>41115</v>
      </c>
      <c r="B440" s="1" t="s">
        <v>2705</v>
      </c>
      <c r="C440" s="1" t="s">
        <v>2095</v>
      </c>
      <c r="D440" s="5" t="s">
        <v>2026</v>
      </c>
      <c r="E440" s="1" t="s">
        <v>2513</v>
      </c>
      <c r="F440" s="5">
        <v>500</v>
      </c>
      <c r="G440" s="1" t="s">
        <v>5002</v>
      </c>
      <c r="H440" s="234">
        <v>2.1</v>
      </c>
      <c r="I440" s="236">
        <f t="shared" si="27"/>
        <v>1050</v>
      </c>
      <c r="J440" s="351">
        <v>1.55</v>
      </c>
      <c r="K440" s="241">
        <f>1.55*F440</f>
        <v>775</v>
      </c>
      <c r="L440" s="237">
        <v>41115</v>
      </c>
      <c r="M440" s="1" t="s">
        <v>2412</v>
      </c>
      <c r="N440" s="235">
        <f t="shared" si="25"/>
        <v>1050</v>
      </c>
      <c r="O440" s="235">
        <f t="shared" si="26"/>
        <v>0</v>
      </c>
      <c r="P440" s="238" t="s">
        <v>2706</v>
      </c>
      <c r="Q440" s="1" t="s">
        <v>2230</v>
      </c>
      <c r="R440" s="239" t="s">
        <v>2707</v>
      </c>
      <c r="S440" s="238" t="s">
        <v>2708</v>
      </c>
      <c r="T440" s="238" t="s">
        <v>2709</v>
      </c>
      <c r="V440" s="238" t="s">
        <v>2512</v>
      </c>
      <c r="Y440" s="255"/>
      <c r="Z440" s="1"/>
      <c r="AB440" s="1" t="s">
        <v>2094</v>
      </c>
    </row>
    <row r="441" spans="1:28" ht="11.25" customHeight="1">
      <c r="A441" s="233">
        <v>41115</v>
      </c>
      <c r="B441" s="1" t="s">
        <v>2705</v>
      </c>
      <c r="C441" s="1" t="s">
        <v>2095</v>
      </c>
      <c r="D441" s="1" t="s">
        <v>267</v>
      </c>
      <c r="E441" s="1">
        <v>12308</v>
      </c>
      <c r="F441" s="5">
        <v>5</v>
      </c>
      <c r="G441" s="1" t="s">
        <v>240</v>
      </c>
      <c r="H441" s="234">
        <v>25</v>
      </c>
      <c r="I441" s="236">
        <f t="shared" si="27"/>
        <v>125</v>
      </c>
      <c r="J441" s="351"/>
      <c r="K441" s="261">
        <f>19.43*F441</f>
        <v>97.15</v>
      </c>
      <c r="L441" s="237">
        <v>41115</v>
      </c>
      <c r="M441" s="1" t="s">
        <v>2412</v>
      </c>
      <c r="N441" s="235">
        <f t="shared" si="25"/>
        <v>125</v>
      </c>
      <c r="O441" s="235">
        <f t="shared" si="26"/>
        <v>0</v>
      </c>
      <c r="P441" s="238" t="s">
        <v>2706</v>
      </c>
      <c r="Q441" s="1" t="s">
        <v>2230</v>
      </c>
      <c r="R441" s="239" t="s">
        <v>2707</v>
      </c>
      <c r="S441" s="238" t="s">
        <v>2708</v>
      </c>
      <c r="T441" s="238" t="s">
        <v>2709</v>
      </c>
      <c r="V441" s="238" t="s">
        <v>2512</v>
      </c>
      <c r="Y441" s="255"/>
      <c r="Z441" s="1" t="s">
        <v>2573</v>
      </c>
      <c r="AB441" s="1" t="s">
        <v>2094</v>
      </c>
    </row>
    <row r="442" spans="1:28" ht="11.25" customHeight="1">
      <c r="A442" s="233">
        <v>41115</v>
      </c>
      <c r="B442" s="1" t="s">
        <v>2705</v>
      </c>
      <c r="C442" s="1" t="s">
        <v>2095</v>
      </c>
      <c r="D442" s="1" t="s">
        <v>241</v>
      </c>
      <c r="E442" s="1">
        <v>6200</v>
      </c>
      <c r="F442" s="5">
        <v>2</v>
      </c>
      <c r="G442" s="1" t="s">
        <v>230</v>
      </c>
      <c r="H442" s="234">
        <v>75</v>
      </c>
      <c r="I442" s="236">
        <f t="shared" si="27"/>
        <v>150</v>
      </c>
      <c r="J442" s="351">
        <v>45.8</v>
      </c>
      <c r="K442" s="241" t="e">
        <f>#REF!*F442</f>
        <v>#REF!</v>
      </c>
      <c r="L442" s="237">
        <v>41115</v>
      </c>
      <c r="M442" s="1" t="s">
        <v>2412</v>
      </c>
      <c r="N442" s="235">
        <f t="shared" si="25"/>
        <v>150</v>
      </c>
      <c r="O442" s="235">
        <f t="shared" si="26"/>
        <v>0</v>
      </c>
      <c r="P442" s="238" t="s">
        <v>2706</v>
      </c>
      <c r="Q442" s="1" t="s">
        <v>2230</v>
      </c>
      <c r="R442" s="239" t="s">
        <v>2707</v>
      </c>
      <c r="S442" s="238" t="s">
        <v>2708</v>
      </c>
      <c r="T442" s="238" t="s">
        <v>2709</v>
      </c>
      <c r="V442" s="238" t="s">
        <v>2512</v>
      </c>
      <c r="Y442" s="255"/>
      <c r="AB442" s="1" t="s">
        <v>2094</v>
      </c>
    </row>
    <row r="443" spans="1:28" ht="11.25" customHeight="1">
      <c r="A443" s="233">
        <v>41115</v>
      </c>
      <c r="B443" s="1" t="s">
        <v>2705</v>
      </c>
      <c r="C443" s="1" t="s">
        <v>2095</v>
      </c>
      <c r="D443" s="1" t="s">
        <v>355</v>
      </c>
      <c r="E443" s="1" t="s">
        <v>2516</v>
      </c>
      <c r="F443" s="5">
        <v>8</v>
      </c>
      <c r="G443" s="1" t="s">
        <v>230</v>
      </c>
      <c r="H443" s="234">
        <v>26</v>
      </c>
      <c r="I443" s="236">
        <f t="shared" si="27"/>
        <v>208</v>
      </c>
      <c r="J443" s="351">
        <v>18.5</v>
      </c>
      <c r="K443" s="241">
        <f>18.5*F443</f>
        <v>148</v>
      </c>
      <c r="L443" s="237">
        <v>41115</v>
      </c>
      <c r="M443" s="1" t="s">
        <v>2412</v>
      </c>
      <c r="N443" s="235">
        <f t="shared" si="25"/>
        <v>208</v>
      </c>
      <c r="O443" s="235">
        <f t="shared" si="26"/>
        <v>0</v>
      </c>
      <c r="P443" s="238" t="s">
        <v>2706</v>
      </c>
      <c r="Q443" s="1" t="s">
        <v>2230</v>
      </c>
      <c r="R443" s="239" t="s">
        <v>2707</v>
      </c>
      <c r="S443" s="238" t="s">
        <v>2708</v>
      </c>
      <c r="T443" s="238" t="s">
        <v>2709</v>
      </c>
      <c r="V443" s="238" t="s">
        <v>2512</v>
      </c>
      <c r="Y443" s="255"/>
      <c r="AB443" s="1" t="s">
        <v>2094</v>
      </c>
    </row>
    <row r="444" spans="1:28" ht="11.25" customHeight="1">
      <c r="A444" s="233">
        <v>41115</v>
      </c>
      <c r="B444" s="1" t="s">
        <v>2705</v>
      </c>
      <c r="C444" s="1" t="s">
        <v>2095</v>
      </c>
      <c r="D444" s="1" t="s">
        <v>233</v>
      </c>
      <c r="E444" s="1" t="s">
        <v>2123</v>
      </c>
      <c r="F444" s="5">
        <v>20</v>
      </c>
      <c r="G444" s="1" t="s">
        <v>232</v>
      </c>
      <c r="H444" s="234">
        <v>8</v>
      </c>
      <c r="I444" s="236">
        <f t="shared" si="27"/>
        <v>160</v>
      </c>
      <c r="J444" s="351">
        <v>5.0999999999999996</v>
      </c>
      <c r="K444" s="241">
        <f>5.1*F444</f>
        <v>102</v>
      </c>
      <c r="L444" s="237">
        <v>41115</v>
      </c>
      <c r="M444" s="1" t="s">
        <v>2412</v>
      </c>
      <c r="N444" s="235">
        <f t="shared" si="25"/>
        <v>160</v>
      </c>
      <c r="O444" s="235">
        <f t="shared" si="26"/>
        <v>0</v>
      </c>
      <c r="P444" s="238" t="s">
        <v>2706</v>
      </c>
      <c r="Q444" s="1" t="s">
        <v>2230</v>
      </c>
      <c r="R444" s="239" t="s">
        <v>2707</v>
      </c>
      <c r="S444" s="238" t="s">
        <v>2708</v>
      </c>
      <c r="T444" s="238" t="s">
        <v>2709</v>
      </c>
      <c r="V444" s="238" t="s">
        <v>2512</v>
      </c>
      <c r="Y444" s="255"/>
      <c r="AB444" s="1" t="s">
        <v>2094</v>
      </c>
    </row>
    <row r="445" spans="1:28" ht="11.25" customHeight="1">
      <c r="A445" s="233">
        <v>41115</v>
      </c>
      <c r="B445" s="1" t="s">
        <v>2705</v>
      </c>
      <c r="C445" s="1" t="s">
        <v>2095</v>
      </c>
      <c r="D445" s="1" t="s">
        <v>264</v>
      </c>
      <c r="E445" s="1">
        <v>501</v>
      </c>
      <c r="F445" s="5">
        <v>4</v>
      </c>
      <c r="G445" s="1" t="s">
        <v>230</v>
      </c>
      <c r="H445" s="234">
        <v>2.5</v>
      </c>
      <c r="I445" s="236">
        <f t="shared" si="27"/>
        <v>10</v>
      </c>
      <c r="J445" s="351">
        <v>1.4</v>
      </c>
      <c r="K445" s="241">
        <f>1.4*F445</f>
        <v>5.6</v>
      </c>
      <c r="L445" s="237">
        <v>41115</v>
      </c>
      <c r="M445" s="1" t="s">
        <v>2412</v>
      </c>
      <c r="N445" s="235">
        <f t="shared" si="25"/>
        <v>10</v>
      </c>
      <c r="O445" s="235">
        <f t="shared" si="26"/>
        <v>0</v>
      </c>
      <c r="P445" s="238" t="s">
        <v>2706</v>
      </c>
      <c r="Q445" s="1" t="s">
        <v>2230</v>
      </c>
      <c r="R445" s="239" t="s">
        <v>2707</v>
      </c>
      <c r="S445" s="238" t="s">
        <v>2708</v>
      </c>
      <c r="T445" s="238" t="s">
        <v>2709</v>
      </c>
      <c r="V445" s="238" t="s">
        <v>2512</v>
      </c>
      <c r="Y445" s="255"/>
      <c r="AB445" s="1" t="s">
        <v>2094</v>
      </c>
    </row>
    <row r="446" spans="1:28" ht="11.25" customHeight="1">
      <c r="A446" s="233">
        <v>41115</v>
      </c>
      <c r="B446" s="1" t="s">
        <v>2705</v>
      </c>
      <c r="C446" s="1" t="s">
        <v>2095</v>
      </c>
      <c r="D446" s="1" t="s">
        <v>309</v>
      </c>
      <c r="E446" s="1">
        <v>1110</v>
      </c>
      <c r="F446" s="5">
        <v>4</v>
      </c>
      <c r="G446" s="1" t="s">
        <v>240</v>
      </c>
      <c r="H446" s="234">
        <v>1.2</v>
      </c>
      <c r="I446" s="236">
        <v>0</v>
      </c>
      <c r="J446" s="351"/>
      <c r="K446" s="261">
        <f>0.77*F446</f>
        <v>3.08</v>
      </c>
      <c r="L446" s="237">
        <v>41115</v>
      </c>
      <c r="M446" s="1" t="s">
        <v>2412</v>
      </c>
      <c r="N446" s="235">
        <f t="shared" si="25"/>
        <v>0</v>
      </c>
      <c r="O446" s="235">
        <f t="shared" si="26"/>
        <v>0</v>
      </c>
      <c r="P446" s="238" t="s">
        <v>2706</v>
      </c>
      <c r="Q446" s="1" t="s">
        <v>2230</v>
      </c>
      <c r="R446" s="239" t="s">
        <v>2707</v>
      </c>
      <c r="S446" s="238" t="s">
        <v>2708</v>
      </c>
      <c r="T446" s="238" t="s">
        <v>2709</v>
      </c>
      <c r="V446" s="238" t="s">
        <v>2512</v>
      </c>
      <c r="Y446" s="255"/>
      <c r="Z446" s="1" t="s">
        <v>2573</v>
      </c>
      <c r="AB446" s="1" t="s">
        <v>2094</v>
      </c>
    </row>
    <row r="447" spans="1:28" ht="11.25" customHeight="1">
      <c r="A447" s="233">
        <v>41115</v>
      </c>
      <c r="B447" s="1" t="s">
        <v>822</v>
      </c>
      <c r="C447" s="1" t="s">
        <v>2095</v>
      </c>
      <c r="D447" s="1" t="s">
        <v>1720</v>
      </c>
      <c r="E447" s="1">
        <v>8210</v>
      </c>
      <c r="F447" s="5">
        <v>800</v>
      </c>
      <c r="G447" s="1" t="s">
        <v>2101</v>
      </c>
      <c r="H447" s="234">
        <v>4.12</v>
      </c>
      <c r="I447" s="236">
        <f t="shared" si="27"/>
        <v>3296</v>
      </c>
      <c r="J447" s="351"/>
      <c r="K447" s="241">
        <f>3.78*F447</f>
        <v>3024</v>
      </c>
      <c r="L447" s="237">
        <v>41115</v>
      </c>
      <c r="M447" s="1" t="s">
        <v>2092</v>
      </c>
      <c r="N447" s="235">
        <f t="shared" si="25"/>
        <v>3296</v>
      </c>
      <c r="O447" s="235">
        <f t="shared" si="26"/>
        <v>0</v>
      </c>
      <c r="P447" s="238" t="s">
        <v>2710</v>
      </c>
      <c r="Q447" s="1" t="s">
        <v>2711</v>
      </c>
      <c r="R447" s="239" t="s">
        <v>2712</v>
      </c>
      <c r="S447" s="238" t="s">
        <v>2713</v>
      </c>
      <c r="T447" s="238" t="s">
        <v>2581</v>
      </c>
      <c r="U447" s="238" t="s">
        <v>2714</v>
      </c>
      <c r="V447" s="238" t="s">
        <v>2715</v>
      </c>
      <c r="W447" s="236">
        <v>3404</v>
      </c>
      <c r="X447" s="233">
        <v>41116</v>
      </c>
      <c r="Y447" s="255"/>
      <c r="Z447" s="1"/>
      <c r="AB447" s="1" t="s">
        <v>2551</v>
      </c>
    </row>
    <row r="448" spans="1:28" ht="11.25" customHeight="1">
      <c r="A448" s="233">
        <v>41115</v>
      </c>
      <c r="B448" s="1" t="s">
        <v>2716</v>
      </c>
      <c r="C448" s="1" t="s">
        <v>2095</v>
      </c>
      <c r="D448" s="1" t="s">
        <v>2038</v>
      </c>
      <c r="E448" s="1" t="s">
        <v>2717</v>
      </c>
      <c r="F448" s="5">
        <v>25</v>
      </c>
      <c r="G448" s="1" t="s">
        <v>2514</v>
      </c>
      <c r="H448" s="234">
        <v>4.32</v>
      </c>
      <c r="I448" s="236">
        <f t="shared" si="27"/>
        <v>108</v>
      </c>
      <c r="J448" s="351"/>
      <c r="K448" s="261">
        <f>4.08*F448</f>
        <v>102</v>
      </c>
      <c r="L448" s="237">
        <v>41115</v>
      </c>
      <c r="M448" s="1" t="s">
        <v>2092</v>
      </c>
      <c r="N448" s="235">
        <f t="shared" si="25"/>
        <v>108</v>
      </c>
      <c r="O448" s="235">
        <f t="shared" si="26"/>
        <v>0</v>
      </c>
      <c r="P448" s="238" t="s">
        <v>2710</v>
      </c>
      <c r="Q448" s="1" t="s">
        <v>2586</v>
      </c>
      <c r="R448" s="239" t="s">
        <v>2718</v>
      </c>
      <c r="S448" s="238" t="s">
        <v>2719</v>
      </c>
      <c r="T448" s="238" t="s">
        <v>2720</v>
      </c>
      <c r="U448" s="238" t="s">
        <v>2721</v>
      </c>
      <c r="V448" s="238" t="s">
        <v>2715</v>
      </c>
      <c r="W448" s="236">
        <v>3404</v>
      </c>
      <c r="X448" s="233">
        <v>41116</v>
      </c>
      <c r="Y448" s="255"/>
      <c r="Z448" s="1" t="s">
        <v>2573</v>
      </c>
      <c r="AB448" s="1" t="s">
        <v>2551</v>
      </c>
    </row>
    <row r="449" spans="1:28" ht="11.25" customHeight="1">
      <c r="A449" s="233">
        <v>41115</v>
      </c>
      <c r="B449" s="1" t="s">
        <v>2186</v>
      </c>
      <c r="C449" s="1" t="s">
        <v>2095</v>
      </c>
      <c r="D449" s="1" t="s">
        <v>233</v>
      </c>
      <c r="E449" s="1" t="s">
        <v>2639</v>
      </c>
      <c r="F449" s="5">
        <v>1500</v>
      </c>
      <c r="G449" s="1" t="s">
        <v>232</v>
      </c>
      <c r="H449" s="234">
        <v>1.8</v>
      </c>
      <c r="I449" s="236">
        <f t="shared" si="27"/>
        <v>2700</v>
      </c>
      <c r="J449" s="352">
        <v>1.73</v>
      </c>
      <c r="K449" s="241">
        <f>1.73*F449</f>
        <v>2595</v>
      </c>
      <c r="L449" s="237">
        <v>41145</v>
      </c>
      <c r="M449" s="1" t="s">
        <v>2092</v>
      </c>
      <c r="N449" s="235">
        <f t="shared" si="25"/>
        <v>2700</v>
      </c>
      <c r="O449" s="235">
        <f t="shared" si="26"/>
        <v>0</v>
      </c>
      <c r="P449" s="238" t="s">
        <v>2097</v>
      </c>
      <c r="Q449" s="1" t="s">
        <v>2248</v>
      </c>
      <c r="R449" s="239" t="s">
        <v>2722</v>
      </c>
      <c r="S449" s="238" t="s">
        <v>2723</v>
      </c>
      <c r="T449" s="238" t="s">
        <v>2724</v>
      </c>
      <c r="U449" s="238" t="s">
        <v>2725</v>
      </c>
      <c r="V449" s="238" t="s">
        <v>2726</v>
      </c>
      <c r="W449" s="236">
        <v>8678.4</v>
      </c>
      <c r="X449" s="233">
        <v>41145</v>
      </c>
      <c r="Y449" s="238" t="s">
        <v>2646</v>
      </c>
      <c r="AA449" s="240" t="s">
        <v>2727</v>
      </c>
      <c r="AB449" s="1" t="s">
        <v>2551</v>
      </c>
    </row>
    <row r="450" spans="1:28" ht="11.25" customHeight="1">
      <c r="A450" s="233">
        <v>41116</v>
      </c>
      <c r="B450" s="1" t="s">
        <v>2728</v>
      </c>
      <c r="C450" s="1" t="s">
        <v>2095</v>
      </c>
      <c r="D450" s="1" t="s">
        <v>2025</v>
      </c>
      <c r="E450" s="1" t="s">
        <v>2100</v>
      </c>
      <c r="F450" s="5">
        <v>75</v>
      </c>
      <c r="G450" s="1" t="s">
        <v>2101</v>
      </c>
      <c r="H450" s="234">
        <v>1.6</v>
      </c>
      <c r="I450" s="236">
        <f t="shared" si="27"/>
        <v>120</v>
      </c>
      <c r="J450" s="351"/>
      <c r="K450" s="261">
        <f>1.12*F450</f>
        <v>84.000000000000014</v>
      </c>
      <c r="L450" s="237">
        <v>41116</v>
      </c>
      <c r="M450" s="1" t="s">
        <v>2412</v>
      </c>
      <c r="N450" s="235">
        <f t="shared" si="25"/>
        <v>120</v>
      </c>
      <c r="O450" s="235">
        <f t="shared" si="26"/>
        <v>0</v>
      </c>
      <c r="P450" s="238" t="s">
        <v>2729</v>
      </c>
      <c r="Q450" s="1" t="s">
        <v>2230</v>
      </c>
      <c r="R450" s="239" t="s">
        <v>2730</v>
      </c>
      <c r="S450" s="238" t="s">
        <v>2731</v>
      </c>
      <c r="T450" s="238" t="s">
        <v>2097</v>
      </c>
      <c r="V450" s="238" t="s">
        <v>2512</v>
      </c>
      <c r="Y450" s="255"/>
      <c r="Z450" s="1" t="s">
        <v>2573</v>
      </c>
      <c r="AB450" s="1" t="s">
        <v>2094</v>
      </c>
    </row>
    <row r="451" spans="1:28" ht="11.25" customHeight="1">
      <c r="A451" s="233">
        <v>41116</v>
      </c>
      <c r="B451" s="1" t="s">
        <v>2728</v>
      </c>
      <c r="C451" s="1" t="s">
        <v>2095</v>
      </c>
      <c r="D451" s="1" t="s">
        <v>1217</v>
      </c>
      <c r="E451" s="1" t="s">
        <v>2732</v>
      </c>
      <c r="F451" s="5">
        <v>25</v>
      </c>
      <c r="G451" s="1" t="s">
        <v>2101</v>
      </c>
      <c r="H451" s="234">
        <v>1.6</v>
      </c>
      <c r="I451" s="236">
        <f t="shared" si="27"/>
        <v>40</v>
      </c>
      <c r="J451" s="351"/>
      <c r="K451" s="261">
        <f>1.12*F451</f>
        <v>28.000000000000004</v>
      </c>
      <c r="L451" s="237">
        <v>41116</v>
      </c>
      <c r="M451" s="1" t="s">
        <v>2412</v>
      </c>
      <c r="N451" s="235">
        <f t="shared" ref="N451:N514" si="28">I451</f>
        <v>40</v>
      </c>
      <c r="O451" s="235">
        <f t="shared" ref="O451:O514" si="29">I451-N451</f>
        <v>0</v>
      </c>
      <c r="P451" s="238" t="s">
        <v>2729</v>
      </c>
      <c r="Q451" s="1" t="s">
        <v>2230</v>
      </c>
      <c r="R451" s="239" t="s">
        <v>2730</v>
      </c>
      <c r="S451" s="238" t="s">
        <v>2731</v>
      </c>
      <c r="T451" s="238" t="s">
        <v>2097</v>
      </c>
      <c r="V451" s="238" t="s">
        <v>2512</v>
      </c>
      <c r="Y451" s="255"/>
      <c r="Z451" s="1" t="s">
        <v>2573</v>
      </c>
      <c r="AB451" s="1" t="s">
        <v>2094</v>
      </c>
    </row>
    <row r="452" spans="1:28" ht="11.25" customHeight="1">
      <c r="A452" s="233">
        <v>41116</v>
      </c>
      <c r="B452" s="1" t="s">
        <v>2728</v>
      </c>
      <c r="C452" s="1" t="s">
        <v>2095</v>
      </c>
      <c r="D452" s="1" t="s">
        <v>355</v>
      </c>
      <c r="E452" s="1" t="s">
        <v>2516</v>
      </c>
      <c r="F452" s="5">
        <v>4</v>
      </c>
      <c r="G452" s="1" t="s">
        <v>230</v>
      </c>
      <c r="H452" s="234">
        <v>29.3</v>
      </c>
      <c r="I452" s="236">
        <f t="shared" ref="I452:I477" si="30">H452*F452</f>
        <v>117.2</v>
      </c>
      <c r="J452" s="351">
        <v>18.5</v>
      </c>
      <c r="K452" s="241">
        <f>18.5*F452</f>
        <v>74</v>
      </c>
      <c r="L452" s="237">
        <v>41116</v>
      </c>
      <c r="M452" s="1" t="s">
        <v>2412</v>
      </c>
      <c r="N452" s="235">
        <f t="shared" si="28"/>
        <v>117.2</v>
      </c>
      <c r="O452" s="235">
        <f t="shared" si="29"/>
        <v>0</v>
      </c>
      <c r="P452" s="238" t="s">
        <v>2729</v>
      </c>
      <c r="Q452" s="1" t="s">
        <v>2230</v>
      </c>
      <c r="R452" s="239" t="s">
        <v>2730</v>
      </c>
      <c r="S452" s="238" t="s">
        <v>2731</v>
      </c>
      <c r="T452" s="238" t="s">
        <v>2097</v>
      </c>
      <c r="V452" s="238" t="s">
        <v>2512</v>
      </c>
      <c r="Y452" s="255"/>
      <c r="AB452" s="1" t="s">
        <v>2094</v>
      </c>
    </row>
    <row r="453" spans="1:28" ht="11.25" customHeight="1">
      <c r="A453" s="233">
        <v>41116</v>
      </c>
      <c r="B453" s="1" t="s">
        <v>2733</v>
      </c>
      <c r="C453" s="1" t="s">
        <v>2095</v>
      </c>
      <c r="D453" s="1" t="s">
        <v>2039</v>
      </c>
      <c r="E453" s="1">
        <v>8514</v>
      </c>
      <c r="F453" s="5">
        <v>34</v>
      </c>
      <c r="G453" s="1" t="s">
        <v>232</v>
      </c>
      <c r="H453" s="234">
        <v>63</v>
      </c>
      <c r="I453" s="236">
        <f t="shared" si="30"/>
        <v>2142</v>
      </c>
      <c r="J453" s="351"/>
      <c r="K453" s="241">
        <f>61.6*F453</f>
        <v>2094.4</v>
      </c>
      <c r="L453" s="237">
        <v>41116</v>
      </c>
      <c r="M453" s="1" t="s">
        <v>2092</v>
      </c>
      <c r="N453" s="235">
        <f t="shared" si="28"/>
        <v>2142</v>
      </c>
      <c r="O453" s="235">
        <f t="shared" si="29"/>
        <v>0</v>
      </c>
      <c r="P453" s="238" t="s">
        <v>2734</v>
      </c>
      <c r="Q453" s="1" t="s">
        <v>2230</v>
      </c>
      <c r="R453" s="239" t="s">
        <v>2735</v>
      </c>
      <c r="S453" s="238" t="s">
        <v>2736</v>
      </c>
      <c r="T453" s="238" t="s">
        <v>803</v>
      </c>
      <c r="V453" s="238" t="s">
        <v>2737</v>
      </c>
      <c r="W453" s="236">
        <v>4884.3999999999996</v>
      </c>
      <c r="X453" s="233">
        <v>41156</v>
      </c>
      <c r="Y453" s="255"/>
      <c r="AB453" s="1" t="s">
        <v>2551</v>
      </c>
    </row>
    <row r="454" spans="1:28" ht="11.25" customHeight="1">
      <c r="A454" s="233">
        <v>41117</v>
      </c>
      <c r="B454" s="1" t="s">
        <v>2738</v>
      </c>
      <c r="C454" s="1" t="s">
        <v>2095</v>
      </c>
      <c r="D454" s="1" t="s">
        <v>241</v>
      </c>
      <c r="E454" s="1">
        <v>6200</v>
      </c>
      <c r="F454" s="5">
        <v>74</v>
      </c>
      <c r="G454" s="1" t="s">
        <v>230</v>
      </c>
      <c r="H454" s="234">
        <v>79.400000000000006</v>
      </c>
      <c r="I454" s="236">
        <f t="shared" si="30"/>
        <v>5875.6</v>
      </c>
      <c r="J454" s="351" t="s">
        <v>6089</v>
      </c>
      <c r="K454" s="241">
        <f>45.8*24+45*50</f>
        <v>3349.2</v>
      </c>
      <c r="L454" s="237">
        <v>41222</v>
      </c>
      <c r="M454" s="1" t="s">
        <v>2092</v>
      </c>
      <c r="N454" s="235">
        <f t="shared" si="28"/>
        <v>5875.6</v>
      </c>
      <c r="O454" s="235">
        <f t="shared" si="29"/>
        <v>0</v>
      </c>
      <c r="P454" s="238" t="s">
        <v>2739</v>
      </c>
      <c r="Q454" s="1" t="s">
        <v>2740</v>
      </c>
      <c r="R454" s="239" t="s">
        <v>2741</v>
      </c>
      <c r="S454" s="238" t="s">
        <v>868</v>
      </c>
      <c r="T454" s="238" t="s">
        <v>799</v>
      </c>
      <c r="U454" s="238" t="s">
        <v>2742</v>
      </c>
      <c r="V454" s="238" t="s">
        <v>2743</v>
      </c>
      <c r="W454" s="236">
        <v>6189.36</v>
      </c>
      <c r="X454" s="233">
        <v>41164</v>
      </c>
      <c r="Y454" s="238" t="s">
        <v>2744</v>
      </c>
      <c r="AA454" s="240" t="s">
        <v>593</v>
      </c>
      <c r="AB454" s="1" t="s">
        <v>2094</v>
      </c>
    </row>
    <row r="455" spans="1:28" ht="11.25" customHeight="1">
      <c r="A455" s="233">
        <v>41117</v>
      </c>
      <c r="B455" s="1" t="s">
        <v>2738</v>
      </c>
      <c r="C455" s="1" t="s">
        <v>2095</v>
      </c>
      <c r="D455" s="1" t="s">
        <v>355</v>
      </c>
      <c r="E455" s="1" t="s">
        <v>2516</v>
      </c>
      <c r="F455" s="5">
        <v>296</v>
      </c>
      <c r="G455" s="1" t="s">
        <v>230</v>
      </c>
      <c r="H455" s="234">
        <v>28.6</v>
      </c>
      <c r="I455" s="236">
        <f t="shared" si="30"/>
        <v>8465.6</v>
      </c>
      <c r="J455" s="353" t="s">
        <v>6090</v>
      </c>
      <c r="K455" s="244">
        <f>18.5*8+17.5*288</f>
        <v>5188</v>
      </c>
      <c r="L455" s="237">
        <v>41222</v>
      </c>
      <c r="M455" s="1" t="s">
        <v>2092</v>
      </c>
      <c r="N455" s="235">
        <f t="shared" si="28"/>
        <v>8465.6</v>
      </c>
      <c r="O455" s="235">
        <f t="shared" si="29"/>
        <v>0</v>
      </c>
      <c r="P455" s="238" t="s">
        <v>2739</v>
      </c>
      <c r="Q455" s="1" t="s">
        <v>2740</v>
      </c>
      <c r="R455" s="239" t="s">
        <v>2741</v>
      </c>
      <c r="S455" s="238" t="s">
        <v>868</v>
      </c>
      <c r="T455" s="238" t="s">
        <v>799</v>
      </c>
      <c r="U455" s="238" t="s">
        <v>2742</v>
      </c>
      <c r="V455" s="238" t="s">
        <v>2745</v>
      </c>
      <c r="W455" s="236">
        <v>10830.64</v>
      </c>
      <c r="X455" s="233">
        <v>41164</v>
      </c>
      <c r="Y455" s="238" t="s">
        <v>2744</v>
      </c>
      <c r="AA455" s="240" t="s">
        <v>593</v>
      </c>
      <c r="AB455" s="1" t="s">
        <v>2094</v>
      </c>
    </row>
    <row r="456" spans="1:28" ht="11.25" customHeight="1">
      <c r="A456" s="233">
        <v>41117</v>
      </c>
      <c r="B456" s="1" t="s">
        <v>2738</v>
      </c>
      <c r="C456" s="1" t="s">
        <v>2095</v>
      </c>
      <c r="D456" s="1" t="s">
        <v>1887</v>
      </c>
      <c r="E456" s="1" t="s">
        <v>2123</v>
      </c>
      <c r="F456" s="5">
        <v>296</v>
      </c>
      <c r="G456" s="1" t="s">
        <v>232</v>
      </c>
      <c r="H456" s="234">
        <v>7.99</v>
      </c>
      <c r="I456" s="236">
        <f t="shared" si="30"/>
        <v>2365.04</v>
      </c>
      <c r="J456" s="351">
        <v>5.05</v>
      </c>
      <c r="K456" s="241">
        <f>5.05*F456</f>
        <v>1494.8</v>
      </c>
      <c r="L456" s="237">
        <v>41222</v>
      </c>
      <c r="M456" s="1" t="s">
        <v>2092</v>
      </c>
      <c r="N456" s="235">
        <f t="shared" si="28"/>
        <v>2365.04</v>
      </c>
      <c r="O456" s="235">
        <f t="shared" si="29"/>
        <v>0</v>
      </c>
      <c r="P456" s="238" t="s">
        <v>2739</v>
      </c>
      <c r="Q456" s="1" t="s">
        <v>2740</v>
      </c>
      <c r="R456" s="239" t="s">
        <v>2741</v>
      </c>
      <c r="S456" s="238" t="s">
        <v>868</v>
      </c>
      <c r="T456" s="238" t="s">
        <v>799</v>
      </c>
      <c r="U456" s="238" t="s">
        <v>2742</v>
      </c>
      <c r="V456" s="238" t="s">
        <v>2745</v>
      </c>
      <c r="W456" s="236">
        <v>10830.64</v>
      </c>
      <c r="X456" s="233">
        <v>41164</v>
      </c>
      <c r="Y456" s="238" t="s">
        <v>2744</v>
      </c>
      <c r="AA456" s="240" t="s">
        <v>593</v>
      </c>
      <c r="AB456" s="1" t="s">
        <v>2094</v>
      </c>
    </row>
    <row r="457" spans="1:28" ht="11.25" customHeight="1">
      <c r="A457" s="233">
        <v>41117</v>
      </c>
      <c r="B457" s="1" t="s">
        <v>2738</v>
      </c>
      <c r="C457" s="1" t="s">
        <v>2095</v>
      </c>
      <c r="D457" s="1" t="s">
        <v>264</v>
      </c>
      <c r="E457" s="1">
        <v>501</v>
      </c>
      <c r="F457" s="5">
        <v>148</v>
      </c>
      <c r="G457" s="1" t="s">
        <v>230</v>
      </c>
      <c r="H457" s="234">
        <v>2.12</v>
      </c>
      <c r="I457" s="236">
        <f t="shared" si="30"/>
        <v>313.76</v>
      </c>
      <c r="J457" s="351">
        <v>1.4</v>
      </c>
      <c r="K457" s="261">
        <f>1.4*F457</f>
        <v>207.2</v>
      </c>
      <c r="L457" s="237">
        <v>41222</v>
      </c>
      <c r="M457" s="1" t="s">
        <v>2092</v>
      </c>
      <c r="N457" s="235">
        <f t="shared" si="28"/>
        <v>313.76</v>
      </c>
      <c r="O457" s="235">
        <f t="shared" si="29"/>
        <v>0</v>
      </c>
      <c r="P457" s="238" t="s">
        <v>2739</v>
      </c>
      <c r="Q457" s="1" t="s">
        <v>2740</v>
      </c>
      <c r="R457" s="239" t="s">
        <v>2741</v>
      </c>
      <c r="S457" s="238" t="s">
        <v>868</v>
      </c>
      <c r="T457" s="238" t="s">
        <v>799</v>
      </c>
      <c r="U457" s="238" t="s">
        <v>2742</v>
      </c>
      <c r="V457" s="238" t="s">
        <v>2743</v>
      </c>
      <c r="W457" s="236">
        <v>6189.36</v>
      </c>
      <c r="X457" s="233">
        <v>41164</v>
      </c>
      <c r="Y457" s="238" t="s">
        <v>2744</v>
      </c>
      <c r="Z457" s="255" t="s">
        <v>654</v>
      </c>
      <c r="AA457" s="240" t="s">
        <v>2746</v>
      </c>
      <c r="AB457" s="1" t="s">
        <v>2094</v>
      </c>
    </row>
    <row r="458" spans="1:28" ht="11.25" customHeight="1">
      <c r="A458" s="233">
        <v>41117</v>
      </c>
      <c r="B458" s="1" t="s">
        <v>2747</v>
      </c>
      <c r="C458" s="1" t="s">
        <v>2095</v>
      </c>
      <c r="D458" s="1" t="s">
        <v>1720</v>
      </c>
      <c r="E458" s="1">
        <v>8210</v>
      </c>
      <c r="F458" s="5">
        <v>160</v>
      </c>
      <c r="G458" s="1" t="s">
        <v>2101</v>
      </c>
      <c r="H458" s="234">
        <v>4.5</v>
      </c>
      <c r="I458" s="236">
        <f t="shared" si="30"/>
        <v>720</v>
      </c>
      <c r="J458" s="351"/>
      <c r="K458" s="241">
        <f>3.78*F458</f>
        <v>604.79999999999995</v>
      </c>
      <c r="L458" s="237">
        <v>41128</v>
      </c>
      <c r="M458" s="1" t="s">
        <v>2092</v>
      </c>
      <c r="N458" s="235">
        <f t="shared" si="28"/>
        <v>720</v>
      </c>
      <c r="O458" s="235">
        <f t="shared" si="29"/>
        <v>0</v>
      </c>
      <c r="P458" s="238" t="s">
        <v>2748</v>
      </c>
      <c r="Q458" s="1" t="s">
        <v>2529</v>
      </c>
      <c r="R458" s="239" t="s">
        <v>2749</v>
      </c>
      <c r="S458" s="1">
        <v>13795677210</v>
      </c>
      <c r="T458" s="1" t="s">
        <v>838</v>
      </c>
      <c r="V458" s="238" t="s">
        <v>2750</v>
      </c>
      <c r="W458" s="236">
        <v>1920</v>
      </c>
      <c r="X458" s="233">
        <v>41117</v>
      </c>
      <c r="Y458" s="255"/>
      <c r="AB458" s="1" t="s">
        <v>2094</v>
      </c>
    </row>
    <row r="459" spans="1:28" ht="11.25" customHeight="1">
      <c r="A459" s="233">
        <v>41117</v>
      </c>
      <c r="B459" s="1" t="s">
        <v>2747</v>
      </c>
      <c r="C459" s="1" t="s">
        <v>2095</v>
      </c>
      <c r="D459" s="1" t="s">
        <v>2038</v>
      </c>
      <c r="E459" s="1" t="s">
        <v>2717</v>
      </c>
      <c r="F459" s="5">
        <v>250</v>
      </c>
      <c r="G459" s="1" t="s">
        <v>232</v>
      </c>
      <c r="H459" s="234">
        <v>4.8</v>
      </c>
      <c r="I459" s="236">
        <f t="shared" si="30"/>
        <v>1200</v>
      </c>
      <c r="J459" s="351"/>
      <c r="K459" s="241">
        <f>4.08*F459</f>
        <v>1020</v>
      </c>
      <c r="L459" s="237">
        <v>41128</v>
      </c>
      <c r="M459" s="1" t="s">
        <v>2092</v>
      </c>
      <c r="N459" s="235">
        <f t="shared" si="28"/>
        <v>1200</v>
      </c>
      <c r="O459" s="235">
        <f t="shared" si="29"/>
        <v>0</v>
      </c>
      <c r="P459" s="238" t="s">
        <v>2748</v>
      </c>
      <c r="Q459" s="1" t="s">
        <v>2529</v>
      </c>
      <c r="R459" s="239" t="s">
        <v>2749</v>
      </c>
      <c r="S459" s="1">
        <v>13795677210</v>
      </c>
      <c r="T459" s="1" t="s">
        <v>838</v>
      </c>
      <c r="V459" s="238" t="s">
        <v>2750</v>
      </c>
      <c r="W459" s="236">
        <v>1920</v>
      </c>
      <c r="X459" s="233">
        <v>41117</v>
      </c>
      <c r="Y459" s="255"/>
      <c r="AB459" s="1" t="s">
        <v>2094</v>
      </c>
    </row>
    <row r="460" spans="1:28" ht="11.25" customHeight="1">
      <c r="A460" s="233">
        <v>41117</v>
      </c>
      <c r="B460" s="1" t="s">
        <v>2579</v>
      </c>
      <c r="C460" s="1" t="s">
        <v>2095</v>
      </c>
      <c r="D460" s="1" t="s">
        <v>1881</v>
      </c>
      <c r="E460" s="1">
        <v>10435</v>
      </c>
      <c r="F460" s="5">
        <v>60</v>
      </c>
      <c r="G460" s="1" t="s">
        <v>2420</v>
      </c>
      <c r="H460" s="234">
        <v>16.32</v>
      </c>
      <c r="I460" s="236">
        <f t="shared" si="30"/>
        <v>979.2</v>
      </c>
      <c r="J460" s="351"/>
      <c r="K460" s="241">
        <f>15.84*F460</f>
        <v>950.4</v>
      </c>
      <c r="L460" s="237">
        <v>41121</v>
      </c>
      <c r="M460" s="1" t="s">
        <v>2092</v>
      </c>
      <c r="N460" s="235">
        <f t="shared" si="28"/>
        <v>979.2</v>
      </c>
      <c r="O460" s="235">
        <f t="shared" si="29"/>
        <v>0</v>
      </c>
      <c r="P460" s="238" t="s">
        <v>2097</v>
      </c>
      <c r="Q460" s="1" t="s">
        <v>1875</v>
      </c>
      <c r="U460" s="238" t="s">
        <v>2751</v>
      </c>
      <c r="V460" s="238" t="s">
        <v>2752</v>
      </c>
      <c r="W460" s="236">
        <v>4568.6400000000003</v>
      </c>
      <c r="X460" s="233">
        <v>41117</v>
      </c>
      <c r="Y460" s="255"/>
      <c r="AB460" s="1" t="s">
        <v>2551</v>
      </c>
    </row>
    <row r="461" spans="1:28" ht="11.25" customHeight="1">
      <c r="A461" s="233">
        <v>41117</v>
      </c>
      <c r="B461" s="1" t="s">
        <v>2579</v>
      </c>
      <c r="C461" s="1" t="s">
        <v>2095</v>
      </c>
      <c r="D461" s="1" t="s">
        <v>2040</v>
      </c>
      <c r="E461" s="1">
        <v>10436</v>
      </c>
      <c r="F461" s="5">
        <v>64</v>
      </c>
      <c r="G461" s="1" t="s">
        <v>2420</v>
      </c>
      <c r="H461" s="234">
        <v>18.36</v>
      </c>
      <c r="I461" s="236">
        <f t="shared" si="30"/>
        <v>1175.04</v>
      </c>
      <c r="J461" s="351"/>
      <c r="K461" s="241">
        <f>17.82*F461</f>
        <v>1140.48</v>
      </c>
      <c r="L461" s="237">
        <v>41121</v>
      </c>
      <c r="M461" s="1" t="s">
        <v>2092</v>
      </c>
      <c r="N461" s="235">
        <f t="shared" si="28"/>
        <v>1175.04</v>
      </c>
      <c r="O461" s="235">
        <f t="shared" si="29"/>
        <v>0</v>
      </c>
      <c r="P461" s="238" t="s">
        <v>2097</v>
      </c>
      <c r="Q461" s="1" t="s">
        <v>1875</v>
      </c>
      <c r="U461" s="238" t="s">
        <v>2751</v>
      </c>
      <c r="V461" s="238" t="s">
        <v>2752</v>
      </c>
      <c r="W461" s="236">
        <v>4568.6400000000003</v>
      </c>
      <c r="X461" s="233">
        <v>41117</v>
      </c>
      <c r="Y461" s="255"/>
      <c r="AB461" s="1" t="s">
        <v>2551</v>
      </c>
    </row>
    <row r="462" spans="1:28" ht="11.25" customHeight="1">
      <c r="A462" s="233">
        <v>41120</v>
      </c>
      <c r="B462" s="1" t="s">
        <v>466</v>
      </c>
      <c r="C462" s="1" t="s">
        <v>2095</v>
      </c>
      <c r="D462" s="1" t="s">
        <v>233</v>
      </c>
      <c r="E462" s="1" t="s">
        <v>2639</v>
      </c>
      <c r="F462" s="5">
        <v>3000</v>
      </c>
      <c r="G462" s="1" t="s">
        <v>232</v>
      </c>
      <c r="H462" s="234">
        <v>1.81</v>
      </c>
      <c r="I462" s="236">
        <f t="shared" si="30"/>
        <v>5430</v>
      </c>
      <c r="J462" s="352">
        <v>1.7</v>
      </c>
      <c r="K462" s="241">
        <f>1.7*F462</f>
        <v>5100</v>
      </c>
      <c r="L462" s="237">
        <v>41145</v>
      </c>
      <c r="M462" s="1" t="s">
        <v>2092</v>
      </c>
      <c r="N462" s="235">
        <f t="shared" si="28"/>
        <v>5430</v>
      </c>
      <c r="O462" s="235">
        <f t="shared" si="29"/>
        <v>0</v>
      </c>
      <c r="P462" s="238" t="s">
        <v>2753</v>
      </c>
      <c r="Q462" s="1" t="s">
        <v>2754</v>
      </c>
      <c r="R462" s="239" t="s">
        <v>2642</v>
      </c>
      <c r="S462" s="238" t="s">
        <v>2643</v>
      </c>
      <c r="T462" s="238" t="s">
        <v>2724</v>
      </c>
      <c r="U462" s="238" t="s">
        <v>2755</v>
      </c>
      <c r="V462" s="238" t="s">
        <v>2756</v>
      </c>
      <c r="W462" s="236">
        <v>8352.08</v>
      </c>
      <c r="X462" s="233">
        <v>41145</v>
      </c>
      <c r="Y462" s="238" t="s">
        <v>2646</v>
      </c>
      <c r="AA462" s="240" t="s">
        <v>2757</v>
      </c>
      <c r="AB462" s="1" t="s">
        <v>2551</v>
      </c>
    </row>
    <row r="463" spans="1:28" ht="11.25" customHeight="1">
      <c r="A463" s="233">
        <v>41120</v>
      </c>
      <c r="B463" s="1" t="s">
        <v>2758</v>
      </c>
      <c r="C463" s="1" t="s">
        <v>2095</v>
      </c>
      <c r="D463" s="1" t="s">
        <v>241</v>
      </c>
      <c r="E463" s="1">
        <v>6200</v>
      </c>
      <c r="F463" s="5">
        <v>48</v>
      </c>
      <c r="G463" s="1" t="s">
        <v>230</v>
      </c>
      <c r="H463" s="234">
        <v>46</v>
      </c>
      <c r="I463" s="236">
        <f t="shared" si="30"/>
        <v>2208</v>
      </c>
      <c r="J463" s="351">
        <v>45</v>
      </c>
      <c r="K463" s="241" t="e">
        <f>#REF!*F463</f>
        <v>#REF!</v>
      </c>
      <c r="L463" s="237">
        <v>41120</v>
      </c>
      <c r="M463" s="1" t="s">
        <v>2092</v>
      </c>
      <c r="N463" s="235">
        <f t="shared" si="28"/>
        <v>2208</v>
      </c>
      <c r="O463" s="235">
        <f t="shared" si="29"/>
        <v>0</v>
      </c>
      <c r="P463" s="238" t="s">
        <v>2759</v>
      </c>
      <c r="Q463" s="1" t="s">
        <v>1257</v>
      </c>
      <c r="R463" s="239" t="s">
        <v>2760</v>
      </c>
      <c r="S463" s="238" t="s">
        <v>2761</v>
      </c>
      <c r="T463" s="238" t="s">
        <v>2762</v>
      </c>
      <c r="U463" s="238" t="s">
        <v>2763</v>
      </c>
      <c r="V463" s="1">
        <v>215913</v>
      </c>
      <c r="W463" s="236">
        <v>7408</v>
      </c>
      <c r="X463" s="233">
        <v>41131</v>
      </c>
      <c r="Y463" s="262">
        <v>568105803544</v>
      </c>
      <c r="AB463" s="1" t="s">
        <v>2551</v>
      </c>
    </row>
    <row r="464" spans="1:28" ht="11.25" customHeight="1">
      <c r="A464" s="233">
        <v>41120</v>
      </c>
      <c r="B464" s="1" t="s">
        <v>2758</v>
      </c>
      <c r="C464" s="1" t="s">
        <v>2095</v>
      </c>
      <c r="D464" s="1" t="s">
        <v>274</v>
      </c>
      <c r="E464" s="1" t="s">
        <v>2126</v>
      </c>
      <c r="F464" s="5">
        <v>600</v>
      </c>
      <c r="G464" s="1" t="s">
        <v>230</v>
      </c>
      <c r="H464" s="234">
        <v>31.5</v>
      </c>
      <c r="I464" s="236">
        <f t="shared" si="30"/>
        <v>18900</v>
      </c>
      <c r="J464" s="351">
        <v>30</v>
      </c>
      <c r="K464" s="241">
        <f>30*F464</f>
        <v>18000</v>
      </c>
      <c r="L464" s="237">
        <v>41120</v>
      </c>
      <c r="M464" s="1" t="s">
        <v>2092</v>
      </c>
      <c r="N464" s="235">
        <f t="shared" si="28"/>
        <v>18900</v>
      </c>
      <c r="O464" s="235">
        <f t="shared" si="29"/>
        <v>0</v>
      </c>
      <c r="P464" s="238" t="s">
        <v>2759</v>
      </c>
      <c r="Q464" s="1" t="s">
        <v>2248</v>
      </c>
      <c r="R464" s="239" t="s">
        <v>2760</v>
      </c>
      <c r="S464" s="238" t="s">
        <v>2761</v>
      </c>
      <c r="T464" s="238" t="s">
        <v>2762</v>
      </c>
      <c r="U464" s="238" t="s">
        <v>2763</v>
      </c>
      <c r="V464" s="1" t="s">
        <v>2764</v>
      </c>
      <c r="W464" s="236" t="s">
        <v>2765</v>
      </c>
      <c r="X464" s="233">
        <v>41131</v>
      </c>
      <c r="Y464" s="262">
        <v>568105803544</v>
      </c>
      <c r="AB464" s="1" t="s">
        <v>2551</v>
      </c>
    </row>
    <row r="465" spans="1:28" ht="11.25" customHeight="1">
      <c r="A465" s="233">
        <v>41120</v>
      </c>
      <c r="B465" s="1" t="s">
        <v>2758</v>
      </c>
      <c r="C465" s="1" t="s">
        <v>2095</v>
      </c>
      <c r="D465" s="1" t="s">
        <v>233</v>
      </c>
      <c r="E465" s="1" t="s">
        <v>2123</v>
      </c>
      <c r="F465" s="5">
        <v>1000</v>
      </c>
      <c r="G465" s="1" t="s">
        <v>232</v>
      </c>
      <c r="H465" s="234">
        <v>5.2</v>
      </c>
      <c r="I465" s="236">
        <f t="shared" si="30"/>
        <v>5200</v>
      </c>
      <c r="J465" s="351">
        <v>5.05</v>
      </c>
      <c r="K465" s="241">
        <f>5.05*F465</f>
        <v>5050</v>
      </c>
      <c r="L465" s="237">
        <v>41120</v>
      </c>
      <c r="M465" s="1" t="s">
        <v>2092</v>
      </c>
      <c r="N465" s="235">
        <f t="shared" si="28"/>
        <v>5200</v>
      </c>
      <c r="O465" s="235">
        <f t="shared" si="29"/>
        <v>0</v>
      </c>
      <c r="P465" s="238" t="s">
        <v>2759</v>
      </c>
      <c r="Q465" s="1" t="s">
        <v>2248</v>
      </c>
      <c r="R465" s="239" t="s">
        <v>2760</v>
      </c>
      <c r="S465" s="238" t="s">
        <v>2761</v>
      </c>
      <c r="T465" s="238" t="s">
        <v>2762</v>
      </c>
      <c r="U465" s="238" t="s">
        <v>2763</v>
      </c>
      <c r="V465" s="1">
        <v>215913</v>
      </c>
      <c r="W465" s="236">
        <v>7408</v>
      </c>
      <c r="X465" s="233">
        <v>41131</v>
      </c>
      <c r="Y465" s="262">
        <v>568105803544</v>
      </c>
      <c r="AB465" s="1" t="s">
        <v>2551</v>
      </c>
    </row>
    <row r="466" spans="1:28" ht="11.25" customHeight="1">
      <c r="A466" s="233">
        <v>41120</v>
      </c>
      <c r="B466" s="1" t="s">
        <v>532</v>
      </c>
      <c r="C466" s="1" t="s">
        <v>2095</v>
      </c>
      <c r="D466" s="5" t="s">
        <v>2026</v>
      </c>
      <c r="E466" s="1" t="s">
        <v>2513</v>
      </c>
      <c r="F466" s="5">
        <v>200</v>
      </c>
      <c r="G466" s="1" t="s">
        <v>5002</v>
      </c>
      <c r="H466" s="234">
        <v>2.6</v>
      </c>
      <c r="I466" s="236">
        <f t="shared" si="30"/>
        <v>520</v>
      </c>
      <c r="J466" s="351">
        <v>1.46</v>
      </c>
      <c r="K466" s="241">
        <f>1.55*F466</f>
        <v>310</v>
      </c>
      <c r="L466" s="237">
        <v>41120</v>
      </c>
      <c r="M466" s="1" t="s">
        <v>2349</v>
      </c>
      <c r="N466" s="235">
        <f t="shared" si="28"/>
        <v>520</v>
      </c>
      <c r="O466" s="235">
        <f t="shared" si="29"/>
        <v>0</v>
      </c>
      <c r="P466" s="238" t="s">
        <v>2766</v>
      </c>
      <c r="Q466" s="1" t="s">
        <v>2767</v>
      </c>
      <c r="R466" s="239" t="s">
        <v>534</v>
      </c>
      <c r="S466" s="238" t="s">
        <v>535</v>
      </c>
      <c r="T466" s="238" t="s">
        <v>2768</v>
      </c>
      <c r="U466" s="238" t="s">
        <v>2769</v>
      </c>
      <c r="V466" s="238" t="s">
        <v>255</v>
      </c>
      <c r="Y466" s="239"/>
      <c r="Z466" s="239"/>
      <c r="AB466" s="1" t="s">
        <v>384</v>
      </c>
    </row>
    <row r="467" spans="1:28" ht="11.25" customHeight="1">
      <c r="A467" s="233">
        <v>41120</v>
      </c>
      <c r="B467" s="1" t="s">
        <v>2770</v>
      </c>
      <c r="C467" s="1" t="s">
        <v>2086</v>
      </c>
      <c r="D467" s="1" t="s">
        <v>269</v>
      </c>
      <c r="E467" s="1" t="s">
        <v>2122</v>
      </c>
      <c r="F467" s="5">
        <v>10</v>
      </c>
      <c r="G467" s="1" t="s">
        <v>232</v>
      </c>
      <c r="H467" s="234">
        <v>2</v>
      </c>
      <c r="I467" s="236">
        <f t="shared" si="30"/>
        <v>20</v>
      </c>
      <c r="J467" s="352">
        <v>1.43</v>
      </c>
      <c r="K467" s="241">
        <f>1.43*F467</f>
        <v>14.299999999999999</v>
      </c>
      <c r="L467" s="237">
        <v>41120</v>
      </c>
      <c r="M467" s="1" t="s">
        <v>2116</v>
      </c>
      <c r="N467" s="235">
        <f t="shared" si="28"/>
        <v>20</v>
      </c>
      <c r="O467" s="235">
        <f t="shared" si="29"/>
        <v>0</v>
      </c>
      <c r="P467" s="238" t="s">
        <v>2771</v>
      </c>
      <c r="Q467" s="1" t="s">
        <v>2772</v>
      </c>
      <c r="R467" s="239" t="s">
        <v>534</v>
      </c>
      <c r="S467" s="238" t="s">
        <v>535</v>
      </c>
      <c r="T467" s="238" t="s">
        <v>2768</v>
      </c>
      <c r="U467" s="238" t="s">
        <v>2769</v>
      </c>
      <c r="V467" s="238" t="s">
        <v>255</v>
      </c>
      <c r="Y467" s="239"/>
      <c r="Z467" s="239"/>
      <c r="AB467" s="1" t="s">
        <v>384</v>
      </c>
    </row>
    <row r="468" spans="1:28" ht="11.25" customHeight="1">
      <c r="A468" s="233">
        <v>41120</v>
      </c>
      <c r="B468" s="1" t="s">
        <v>532</v>
      </c>
      <c r="C468" s="1" t="s">
        <v>2086</v>
      </c>
      <c r="D468" s="1" t="s">
        <v>355</v>
      </c>
      <c r="E468" s="1" t="s">
        <v>2118</v>
      </c>
      <c r="F468" s="5">
        <v>2</v>
      </c>
      <c r="G468" s="1" t="s">
        <v>2115</v>
      </c>
      <c r="H468" s="234">
        <v>18</v>
      </c>
      <c r="I468" s="236">
        <f t="shared" si="30"/>
        <v>36</v>
      </c>
      <c r="J468" s="352">
        <v>13.33</v>
      </c>
      <c r="K468" s="241">
        <f>13.33*F468</f>
        <v>26.66</v>
      </c>
      <c r="L468" s="237">
        <v>41120</v>
      </c>
      <c r="M468" s="1" t="s">
        <v>2116</v>
      </c>
      <c r="N468" s="235">
        <f t="shared" si="28"/>
        <v>36</v>
      </c>
      <c r="O468" s="235">
        <f t="shared" si="29"/>
        <v>0</v>
      </c>
      <c r="P468" s="238" t="s">
        <v>2771</v>
      </c>
      <c r="Q468" s="1" t="s">
        <v>2772</v>
      </c>
      <c r="R468" s="239" t="s">
        <v>534</v>
      </c>
      <c r="S468" s="238" t="s">
        <v>535</v>
      </c>
      <c r="T468" s="238" t="s">
        <v>2768</v>
      </c>
      <c r="U468" s="238" t="s">
        <v>2769</v>
      </c>
      <c r="V468" s="238" t="s">
        <v>255</v>
      </c>
      <c r="Y468" s="239"/>
      <c r="Z468" s="239"/>
      <c r="AB468" s="1" t="s">
        <v>384</v>
      </c>
    </row>
    <row r="469" spans="1:28" ht="11.25" customHeight="1">
      <c r="A469" s="233">
        <v>41120</v>
      </c>
      <c r="B469" s="1" t="s">
        <v>2773</v>
      </c>
      <c r="C469" s="1" t="s">
        <v>2086</v>
      </c>
      <c r="D469" s="1" t="s">
        <v>1216</v>
      </c>
      <c r="E469" s="1">
        <v>3200</v>
      </c>
      <c r="F469" s="5">
        <v>10</v>
      </c>
      <c r="G469" s="1" t="s">
        <v>2115</v>
      </c>
      <c r="H469" s="234">
        <v>43.58</v>
      </c>
      <c r="I469" s="236">
        <f t="shared" si="30"/>
        <v>435.79999999999995</v>
      </c>
      <c r="J469" s="351">
        <v>26</v>
      </c>
      <c r="K469" s="241">
        <f>26*F469</f>
        <v>260</v>
      </c>
      <c r="L469" s="237">
        <v>41127</v>
      </c>
      <c r="M469" s="1" t="s">
        <v>2116</v>
      </c>
      <c r="N469" s="235">
        <f t="shared" si="28"/>
        <v>435.79999999999995</v>
      </c>
      <c r="O469" s="235">
        <f t="shared" si="29"/>
        <v>0</v>
      </c>
      <c r="P469" s="238" t="s">
        <v>2774</v>
      </c>
      <c r="Q469" s="1" t="s">
        <v>1267</v>
      </c>
      <c r="R469" s="239" t="s">
        <v>2775</v>
      </c>
      <c r="S469" s="238" t="s">
        <v>2776</v>
      </c>
      <c r="T469" s="238" t="s">
        <v>2777</v>
      </c>
      <c r="U469" s="238" t="s">
        <v>2778</v>
      </c>
      <c r="V469" s="238" t="s">
        <v>255</v>
      </c>
      <c r="W469" s="236">
        <v>520</v>
      </c>
      <c r="Y469" s="255"/>
      <c r="AB469" s="1" t="s">
        <v>384</v>
      </c>
    </row>
    <row r="470" spans="1:28" ht="11.25" customHeight="1">
      <c r="A470" s="233">
        <v>41120</v>
      </c>
      <c r="B470" s="1" t="s">
        <v>2773</v>
      </c>
      <c r="C470" s="1" t="s">
        <v>2086</v>
      </c>
      <c r="D470" s="1" t="s">
        <v>233</v>
      </c>
      <c r="E470" s="1" t="s">
        <v>2129</v>
      </c>
      <c r="F470" s="5">
        <v>10</v>
      </c>
      <c r="G470" s="1" t="s">
        <v>232</v>
      </c>
      <c r="H470" s="234">
        <v>5.61</v>
      </c>
      <c r="I470" s="236">
        <f t="shared" si="30"/>
        <v>56.1</v>
      </c>
      <c r="J470" s="352">
        <v>1.827</v>
      </c>
      <c r="K470" s="241">
        <f>1.827*F470</f>
        <v>18.27</v>
      </c>
      <c r="L470" s="237">
        <v>41127</v>
      </c>
      <c r="M470" s="1" t="s">
        <v>2116</v>
      </c>
      <c r="N470" s="235">
        <f t="shared" si="28"/>
        <v>56.1</v>
      </c>
      <c r="O470" s="235">
        <f t="shared" si="29"/>
        <v>0</v>
      </c>
      <c r="P470" s="238" t="s">
        <v>2774</v>
      </c>
      <c r="Q470" s="1" t="s">
        <v>2779</v>
      </c>
      <c r="R470" s="239" t="s">
        <v>2775</v>
      </c>
      <c r="S470" s="238" t="s">
        <v>2776</v>
      </c>
      <c r="T470" s="238" t="s">
        <v>2777</v>
      </c>
      <c r="U470" s="238" t="s">
        <v>2778</v>
      </c>
      <c r="V470" s="238" t="s">
        <v>255</v>
      </c>
      <c r="W470" s="236">
        <v>520</v>
      </c>
      <c r="Y470" s="255"/>
      <c r="AB470" s="1" t="s">
        <v>384</v>
      </c>
    </row>
    <row r="471" spans="1:28" ht="11.25" customHeight="1">
      <c r="A471" s="233">
        <v>41120</v>
      </c>
      <c r="B471" s="1" t="s">
        <v>2773</v>
      </c>
      <c r="C471" s="1" t="s">
        <v>2086</v>
      </c>
      <c r="D471" s="1" t="s">
        <v>348</v>
      </c>
      <c r="E471" s="1">
        <v>3700</v>
      </c>
      <c r="F471" s="5">
        <v>10</v>
      </c>
      <c r="G471" s="1" t="s">
        <v>2115</v>
      </c>
      <c r="H471" s="234">
        <v>2.81</v>
      </c>
      <c r="I471" s="236">
        <f t="shared" si="30"/>
        <v>28.1</v>
      </c>
      <c r="J471" s="351">
        <v>3.7</v>
      </c>
      <c r="K471" s="241">
        <f>3.3*1+3.7*9</f>
        <v>36.6</v>
      </c>
      <c r="L471" s="237">
        <v>41127</v>
      </c>
      <c r="M471" s="1" t="s">
        <v>2116</v>
      </c>
      <c r="N471" s="235">
        <f t="shared" si="28"/>
        <v>28.1</v>
      </c>
      <c r="O471" s="235">
        <f t="shared" si="29"/>
        <v>0</v>
      </c>
      <c r="P471" s="238" t="s">
        <v>2774</v>
      </c>
      <c r="Q471" s="1" t="s">
        <v>2779</v>
      </c>
      <c r="R471" s="239" t="s">
        <v>2775</v>
      </c>
      <c r="S471" s="238" t="s">
        <v>2776</v>
      </c>
      <c r="T471" s="238" t="s">
        <v>2777</v>
      </c>
      <c r="U471" s="238" t="s">
        <v>2778</v>
      </c>
      <c r="V471" s="238" t="s">
        <v>255</v>
      </c>
      <c r="W471" s="236">
        <v>520</v>
      </c>
      <c r="Y471" s="255"/>
      <c r="AB471" s="1" t="s">
        <v>384</v>
      </c>
    </row>
    <row r="472" spans="1:28" ht="11.25" customHeight="1">
      <c r="A472" s="233">
        <v>41121</v>
      </c>
      <c r="B472" s="1" t="s">
        <v>2780</v>
      </c>
      <c r="C472" s="1" t="s">
        <v>2086</v>
      </c>
      <c r="D472" s="5" t="s">
        <v>2103</v>
      </c>
      <c r="E472" s="1" t="s">
        <v>2104</v>
      </c>
      <c r="F472" s="5">
        <v>1000</v>
      </c>
      <c r="G472" s="1" t="s">
        <v>5002</v>
      </c>
      <c r="H472" s="234">
        <v>2.6</v>
      </c>
      <c r="I472" s="236">
        <f t="shared" si="30"/>
        <v>2600</v>
      </c>
      <c r="J472" s="351">
        <v>1.46</v>
      </c>
      <c r="K472" s="241">
        <f>1.46*F472</f>
        <v>1460</v>
      </c>
      <c r="L472" s="237">
        <v>41121</v>
      </c>
      <c r="M472" s="1" t="s">
        <v>2088</v>
      </c>
      <c r="N472" s="235">
        <f t="shared" si="28"/>
        <v>2600</v>
      </c>
      <c r="O472" s="235">
        <f t="shared" si="29"/>
        <v>0</v>
      </c>
      <c r="P472" s="238" t="s">
        <v>2781</v>
      </c>
      <c r="Q472" s="1" t="s">
        <v>2782</v>
      </c>
      <c r="R472" s="239" t="s">
        <v>2783</v>
      </c>
      <c r="S472" s="238" t="s">
        <v>2784</v>
      </c>
      <c r="T472" s="238" t="s">
        <v>2785</v>
      </c>
      <c r="U472" s="238" t="s">
        <v>2786</v>
      </c>
      <c r="V472" s="238" t="s">
        <v>2787</v>
      </c>
      <c r="W472" s="236">
        <v>2600</v>
      </c>
      <c r="X472" s="233">
        <v>41128</v>
      </c>
      <c r="Y472" s="255"/>
      <c r="AB472" s="1" t="s">
        <v>384</v>
      </c>
    </row>
    <row r="473" spans="1:28" ht="11.25" customHeight="1">
      <c r="A473" s="233">
        <v>41121</v>
      </c>
      <c r="B473" s="1" t="s">
        <v>2788</v>
      </c>
      <c r="C473" s="1" t="s">
        <v>2086</v>
      </c>
      <c r="D473" s="1" t="s">
        <v>843</v>
      </c>
      <c r="E473" s="1">
        <v>10197</v>
      </c>
      <c r="F473" s="5">
        <v>1</v>
      </c>
      <c r="G473" s="1" t="s">
        <v>2169</v>
      </c>
      <c r="H473" s="234">
        <v>55</v>
      </c>
      <c r="I473" s="236">
        <f t="shared" si="30"/>
        <v>55</v>
      </c>
      <c r="J473" s="351"/>
      <c r="K473" s="241">
        <f>40.2*F473</f>
        <v>40.200000000000003</v>
      </c>
      <c r="L473" s="237">
        <v>41121</v>
      </c>
      <c r="M473" s="1" t="s">
        <v>2379</v>
      </c>
      <c r="N473" s="235">
        <f t="shared" si="28"/>
        <v>55</v>
      </c>
      <c r="O473" s="235">
        <f t="shared" si="29"/>
        <v>0</v>
      </c>
      <c r="P473" s="238" t="s">
        <v>2789</v>
      </c>
      <c r="Q473" s="1" t="s">
        <v>2228</v>
      </c>
      <c r="R473" s="239" t="s">
        <v>2790</v>
      </c>
      <c r="S473" s="238" t="s">
        <v>2791</v>
      </c>
      <c r="T473" s="238" t="s">
        <v>2792</v>
      </c>
      <c r="V473" s="238" t="s">
        <v>2176</v>
      </c>
      <c r="Y473" s="255"/>
      <c r="AB473" s="1" t="s">
        <v>384</v>
      </c>
    </row>
    <row r="474" spans="1:28" ht="11.25" customHeight="1">
      <c r="A474" s="233">
        <v>41121</v>
      </c>
      <c r="B474" s="1" t="s">
        <v>2788</v>
      </c>
      <c r="C474" s="1" t="s">
        <v>2086</v>
      </c>
      <c r="D474" s="1" t="s">
        <v>820</v>
      </c>
      <c r="E474" s="1">
        <v>8512</v>
      </c>
      <c r="F474" s="5">
        <v>1</v>
      </c>
      <c r="G474" s="1" t="s">
        <v>232</v>
      </c>
      <c r="H474" s="234">
        <v>60</v>
      </c>
      <c r="I474" s="236">
        <f t="shared" si="30"/>
        <v>60</v>
      </c>
      <c r="J474" s="351"/>
      <c r="K474" s="261">
        <f>46.66*F474</f>
        <v>46.66</v>
      </c>
      <c r="L474" s="237">
        <v>41121</v>
      </c>
      <c r="M474" s="1" t="s">
        <v>2379</v>
      </c>
      <c r="N474" s="235">
        <f t="shared" si="28"/>
        <v>60</v>
      </c>
      <c r="O474" s="235">
        <f t="shared" si="29"/>
        <v>0</v>
      </c>
      <c r="P474" s="238" t="s">
        <v>2789</v>
      </c>
      <c r="Q474" s="1" t="s">
        <v>2228</v>
      </c>
      <c r="R474" s="239" t="s">
        <v>2790</v>
      </c>
      <c r="S474" s="238" t="s">
        <v>2791</v>
      </c>
      <c r="T474" s="238" t="s">
        <v>2792</v>
      </c>
      <c r="V474" s="238" t="s">
        <v>2176</v>
      </c>
      <c r="Y474" s="255"/>
      <c r="Z474" s="255" t="s">
        <v>2330</v>
      </c>
      <c r="AB474" s="1" t="s">
        <v>384</v>
      </c>
    </row>
    <row r="475" spans="1:28" ht="11.25" customHeight="1">
      <c r="A475" s="233">
        <v>41121</v>
      </c>
      <c r="B475" s="1" t="s">
        <v>2788</v>
      </c>
      <c r="C475" s="1" t="s">
        <v>2086</v>
      </c>
      <c r="D475" s="5" t="s">
        <v>2103</v>
      </c>
      <c r="E475" s="1" t="s">
        <v>2104</v>
      </c>
      <c r="F475" s="5">
        <v>100</v>
      </c>
      <c r="G475" s="1" t="s">
        <v>5002</v>
      </c>
      <c r="H475" s="234">
        <v>2.2999999999999998</v>
      </c>
      <c r="I475" s="236">
        <f t="shared" si="30"/>
        <v>229.99999999999997</v>
      </c>
      <c r="J475" s="351" t="s">
        <v>6085</v>
      </c>
      <c r="K475" s="241">
        <f>1.46*90+1.55*10</f>
        <v>146.9</v>
      </c>
      <c r="L475" s="237">
        <v>41121</v>
      </c>
      <c r="M475" s="1" t="s">
        <v>2379</v>
      </c>
      <c r="N475" s="235">
        <f t="shared" si="28"/>
        <v>229.99999999999997</v>
      </c>
      <c r="O475" s="235">
        <f t="shared" si="29"/>
        <v>0</v>
      </c>
      <c r="P475" s="238" t="s">
        <v>2789</v>
      </c>
      <c r="Q475" s="1" t="s">
        <v>2228</v>
      </c>
      <c r="R475" s="239" t="s">
        <v>2790</v>
      </c>
      <c r="S475" s="238" t="s">
        <v>2791</v>
      </c>
      <c r="T475" s="238" t="s">
        <v>2792</v>
      </c>
      <c r="V475" s="238" t="s">
        <v>2176</v>
      </c>
      <c r="Y475" s="255"/>
      <c r="AB475" s="1" t="s">
        <v>384</v>
      </c>
    </row>
    <row r="476" spans="1:28" ht="11.25" customHeight="1">
      <c r="A476" s="233">
        <v>41121</v>
      </c>
      <c r="B476" s="1" t="s">
        <v>844</v>
      </c>
      <c r="C476" s="1" t="s">
        <v>2086</v>
      </c>
      <c r="D476" s="1" t="s">
        <v>845</v>
      </c>
      <c r="E476" s="1">
        <v>16618</v>
      </c>
      <c r="F476" s="5">
        <v>200</v>
      </c>
      <c r="G476" s="1" t="s">
        <v>2169</v>
      </c>
      <c r="H476" s="234">
        <v>38.5</v>
      </c>
      <c r="I476" s="236">
        <f t="shared" si="30"/>
        <v>7700</v>
      </c>
      <c r="J476" s="351"/>
      <c r="K476" s="241">
        <f>35.75*F476</f>
        <v>7150</v>
      </c>
      <c r="L476" s="237">
        <v>41121</v>
      </c>
      <c r="M476" s="1" t="s">
        <v>2088</v>
      </c>
      <c r="N476" s="235">
        <f t="shared" si="28"/>
        <v>7700</v>
      </c>
      <c r="O476" s="235">
        <f t="shared" si="29"/>
        <v>0</v>
      </c>
      <c r="P476" s="238" t="s">
        <v>2793</v>
      </c>
      <c r="Q476" s="1" t="s">
        <v>2794</v>
      </c>
      <c r="R476" s="239" t="s">
        <v>2795</v>
      </c>
      <c r="S476" s="238" t="s">
        <v>2796</v>
      </c>
      <c r="T476" s="238" t="s">
        <v>2797</v>
      </c>
      <c r="U476" s="238" t="s">
        <v>2798</v>
      </c>
      <c r="V476" s="238" t="s">
        <v>2799</v>
      </c>
      <c r="W476" s="236">
        <v>11660</v>
      </c>
      <c r="X476" s="233">
        <v>41129</v>
      </c>
      <c r="Y476" s="255"/>
      <c r="AB476" s="1" t="s">
        <v>2212</v>
      </c>
    </row>
    <row r="477" spans="1:28" ht="11.25" customHeight="1">
      <c r="A477" s="233">
        <v>41121</v>
      </c>
      <c r="B477" s="1" t="s">
        <v>844</v>
      </c>
      <c r="C477" s="1" t="s">
        <v>2086</v>
      </c>
      <c r="D477" s="1" t="s">
        <v>233</v>
      </c>
      <c r="E477" s="1" t="s">
        <v>2091</v>
      </c>
      <c r="F477" s="5">
        <v>600</v>
      </c>
      <c r="G477" s="1" t="s">
        <v>232</v>
      </c>
      <c r="H477" s="234">
        <v>5.28</v>
      </c>
      <c r="I477" s="236">
        <f t="shared" si="30"/>
        <v>3168</v>
      </c>
      <c r="J477" s="351">
        <v>5.05</v>
      </c>
      <c r="K477" s="241">
        <f>5.05*F477</f>
        <v>3030</v>
      </c>
      <c r="L477" s="237">
        <v>41121</v>
      </c>
      <c r="M477" s="1" t="s">
        <v>2088</v>
      </c>
      <c r="N477" s="235">
        <f t="shared" si="28"/>
        <v>3168</v>
      </c>
      <c r="O477" s="235">
        <f t="shared" si="29"/>
        <v>0</v>
      </c>
      <c r="P477" s="238" t="s">
        <v>2793</v>
      </c>
      <c r="Q477" s="1" t="s">
        <v>2794</v>
      </c>
      <c r="R477" s="239" t="s">
        <v>2795</v>
      </c>
      <c r="S477" s="238" t="s">
        <v>2796</v>
      </c>
      <c r="T477" s="238" t="s">
        <v>2797</v>
      </c>
      <c r="U477" s="238" t="s">
        <v>2798</v>
      </c>
      <c r="V477" s="238" t="s">
        <v>2799</v>
      </c>
      <c r="W477" s="236">
        <v>11660</v>
      </c>
      <c r="X477" s="233">
        <v>41129</v>
      </c>
      <c r="Y477" s="255"/>
      <c r="AB477" s="1" t="s">
        <v>2212</v>
      </c>
    </row>
    <row r="478" spans="1:28" ht="11.25" customHeight="1">
      <c r="A478" s="233">
        <v>41121</v>
      </c>
      <c r="B478" s="1" t="s">
        <v>844</v>
      </c>
      <c r="C478" s="1" t="s">
        <v>2086</v>
      </c>
      <c r="D478" s="1" t="s">
        <v>274</v>
      </c>
      <c r="E478" s="1" t="s">
        <v>2322</v>
      </c>
      <c r="F478" s="5">
        <v>400</v>
      </c>
      <c r="G478" s="1" t="s">
        <v>2115</v>
      </c>
      <c r="H478" s="234">
        <v>32.03</v>
      </c>
      <c r="I478" s="236">
        <f t="shared" ref="I478:I508" si="31">H478*F478</f>
        <v>12812</v>
      </c>
      <c r="J478" s="351" t="s">
        <v>6091</v>
      </c>
      <c r="K478" s="241">
        <f>29.5*200+30*200</f>
        <v>11900</v>
      </c>
      <c r="L478" s="237">
        <v>41121</v>
      </c>
      <c r="M478" s="1" t="s">
        <v>2088</v>
      </c>
      <c r="N478" s="235">
        <f t="shared" si="28"/>
        <v>12812</v>
      </c>
      <c r="O478" s="235">
        <f t="shared" si="29"/>
        <v>0</v>
      </c>
      <c r="P478" s="238" t="s">
        <v>2793</v>
      </c>
      <c r="Q478" s="1" t="s">
        <v>2794</v>
      </c>
      <c r="R478" s="239" t="s">
        <v>2795</v>
      </c>
      <c r="S478" s="238" t="s">
        <v>2796</v>
      </c>
      <c r="T478" s="238" t="s">
        <v>2797</v>
      </c>
      <c r="U478" s="238" t="s">
        <v>2798</v>
      </c>
      <c r="V478" s="238" t="s">
        <v>2800</v>
      </c>
      <c r="W478" s="236" t="s">
        <v>2801</v>
      </c>
      <c r="X478" s="233">
        <v>41129</v>
      </c>
      <c r="Y478" s="255"/>
      <c r="AB478" s="1" t="s">
        <v>2212</v>
      </c>
    </row>
    <row r="479" spans="1:28" ht="11.25" customHeight="1">
      <c r="A479" s="233">
        <v>41121</v>
      </c>
      <c r="B479" s="1" t="s">
        <v>844</v>
      </c>
      <c r="C479" s="1" t="s">
        <v>2086</v>
      </c>
      <c r="D479" s="1" t="s">
        <v>847</v>
      </c>
      <c r="E479" s="1" t="s">
        <v>2802</v>
      </c>
      <c r="F479" s="5">
        <v>150</v>
      </c>
      <c r="G479" s="1" t="s">
        <v>2115</v>
      </c>
      <c r="H479" s="234">
        <v>33.03</v>
      </c>
      <c r="I479" s="236">
        <f t="shared" si="31"/>
        <v>4954.5</v>
      </c>
      <c r="J479" s="351"/>
      <c r="K479" s="241">
        <f>29.5*F479</f>
        <v>4425</v>
      </c>
      <c r="L479" s="237">
        <v>41121</v>
      </c>
      <c r="M479" s="1" t="s">
        <v>2088</v>
      </c>
      <c r="N479" s="235">
        <f t="shared" si="28"/>
        <v>4954.5</v>
      </c>
      <c r="O479" s="235">
        <f t="shared" si="29"/>
        <v>0</v>
      </c>
      <c r="P479" s="238" t="s">
        <v>2793</v>
      </c>
      <c r="Q479" s="1" t="s">
        <v>2794</v>
      </c>
      <c r="R479" s="239" t="s">
        <v>2795</v>
      </c>
      <c r="S479" s="238" t="s">
        <v>2796</v>
      </c>
      <c r="T479" s="238" t="s">
        <v>2797</v>
      </c>
      <c r="U479" s="238" t="s">
        <v>2798</v>
      </c>
      <c r="V479" s="238" t="s">
        <v>2803</v>
      </c>
      <c r="W479" s="236">
        <v>11568.55</v>
      </c>
      <c r="X479" s="233">
        <v>41129</v>
      </c>
      <c r="Y479" s="255"/>
      <c r="AB479" s="1" t="s">
        <v>2212</v>
      </c>
    </row>
    <row r="480" spans="1:28" ht="11.25" customHeight="1">
      <c r="A480" s="233">
        <v>41121</v>
      </c>
      <c r="B480" s="1" t="s">
        <v>844</v>
      </c>
      <c r="C480" s="1" t="s">
        <v>2086</v>
      </c>
      <c r="D480" s="5" t="s">
        <v>2229</v>
      </c>
      <c r="E480" s="1">
        <v>7502</v>
      </c>
      <c r="F480" s="5">
        <v>200</v>
      </c>
      <c r="G480" s="1" t="s">
        <v>2115</v>
      </c>
      <c r="H480" s="234">
        <v>126.52</v>
      </c>
      <c r="I480" s="236">
        <f t="shared" si="31"/>
        <v>25304</v>
      </c>
      <c r="J480" s="351">
        <v>105</v>
      </c>
      <c r="K480" s="241">
        <f>105*F480</f>
        <v>21000</v>
      </c>
      <c r="L480" s="237">
        <v>41121</v>
      </c>
      <c r="M480" s="1" t="s">
        <v>2088</v>
      </c>
      <c r="N480" s="235">
        <f t="shared" si="28"/>
        <v>25304</v>
      </c>
      <c r="O480" s="235">
        <f t="shared" si="29"/>
        <v>0</v>
      </c>
      <c r="P480" s="238" t="s">
        <v>2793</v>
      </c>
      <c r="Q480" s="1" t="s">
        <v>2794</v>
      </c>
      <c r="R480" s="239" t="s">
        <v>2795</v>
      </c>
      <c r="S480" s="238" t="s">
        <v>2796</v>
      </c>
      <c r="T480" s="238" t="s">
        <v>2797</v>
      </c>
      <c r="U480" s="238" t="s">
        <v>2798</v>
      </c>
      <c r="V480" s="238" t="s">
        <v>2804</v>
      </c>
      <c r="W480" s="236" t="s">
        <v>2805</v>
      </c>
      <c r="X480" s="233">
        <v>41129</v>
      </c>
      <c r="Y480" s="255"/>
      <c r="AB480" s="1" t="s">
        <v>2212</v>
      </c>
    </row>
    <row r="481" spans="1:28" ht="11.25" customHeight="1">
      <c r="A481" s="233">
        <v>41121</v>
      </c>
      <c r="B481" s="1" t="s">
        <v>844</v>
      </c>
      <c r="C481" s="1" t="s">
        <v>2086</v>
      </c>
      <c r="D481" s="1" t="s">
        <v>241</v>
      </c>
      <c r="E481" s="1">
        <v>6200</v>
      </c>
      <c r="F481" s="5">
        <v>72</v>
      </c>
      <c r="G481" s="1" t="s">
        <v>230</v>
      </c>
      <c r="H481" s="234">
        <v>46</v>
      </c>
      <c r="I481" s="236">
        <f t="shared" si="31"/>
        <v>3312</v>
      </c>
      <c r="J481" s="351">
        <v>45</v>
      </c>
      <c r="K481" s="241" t="e">
        <f>#REF!*F481</f>
        <v>#REF!</v>
      </c>
      <c r="L481" s="237">
        <v>41121</v>
      </c>
      <c r="M481" s="1" t="s">
        <v>2088</v>
      </c>
      <c r="N481" s="235">
        <f t="shared" si="28"/>
        <v>3312</v>
      </c>
      <c r="O481" s="235">
        <f t="shared" si="29"/>
        <v>0</v>
      </c>
      <c r="P481" s="238" t="s">
        <v>2793</v>
      </c>
      <c r="Q481" s="1" t="s">
        <v>2794</v>
      </c>
      <c r="R481" s="239" t="s">
        <v>2795</v>
      </c>
      <c r="S481" s="238" t="s">
        <v>2796</v>
      </c>
      <c r="T481" s="238" t="s">
        <v>2797</v>
      </c>
      <c r="U481" s="238" t="s">
        <v>2798</v>
      </c>
      <c r="V481" s="238" t="s">
        <v>2803</v>
      </c>
      <c r="W481" s="236">
        <v>11568.55</v>
      </c>
      <c r="X481" s="233">
        <v>41129</v>
      </c>
      <c r="Y481" s="255"/>
      <c r="AB481" s="1" t="s">
        <v>2212</v>
      </c>
    </row>
    <row r="482" spans="1:28" ht="11.25" customHeight="1">
      <c r="A482" s="233">
        <v>41121</v>
      </c>
      <c r="B482" s="1" t="s">
        <v>844</v>
      </c>
      <c r="C482" s="1" t="s">
        <v>2086</v>
      </c>
      <c r="D482" s="1" t="s">
        <v>241</v>
      </c>
      <c r="E482" s="1">
        <v>6200</v>
      </c>
      <c r="F482" s="5">
        <v>3</v>
      </c>
      <c r="G482" s="1" t="s">
        <v>2115</v>
      </c>
      <c r="H482" s="234">
        <v>46</v>
      </c>
      <c r="I482" s="236">
        <f>H482*F482</f>
        <v>138</v>
      </c>
      <c r="J482" s="351">
        <v>45</v>
      </c>
      <c r="K482" s="241" t="e">
        <f>#REF!*F482</f>
        <v>#REF!</v>
      </c>
      <c r="L482" s="237">
        <v>41121</v>
      </c>
      <c r="M482" s="1" t="s">
        <v>2088</v>
      </c>
      <c r="N482" s="235">
        <f t="shared" si="28"/>
        <v>138</v>
      </c>
      <c r="O482" s="235">
        <f t="shared" si="29"/>
        <v>0</v>
      </c>
      <c r="P482" s="238" t="s">
        <v>2793</v>
      </c>
      <c r="Q482" s="1" t="s">
        <v>2794</v>
      </c>
      <c r="R482" s="239" t="s">
        <v>2795</v>
      </c>
      <c r="S482" s="238" t="s">
        <v>2796</v>
      </c>
      <c r="T482" s="238" t="s">
        <v>2797</v>
      </c>
      <c r="U482" s="238" t="s">
        <v>2798</v>
      </c>
      <c r="V482" s="238" t="s">
        <v>2803</v>
      </c>
      <c r="W482" s="236">
        <v>11568.55</v>
      </c>
      <c r="X482" s="233">
        <v>41129</v>
      </c>
      <c r="Y482" s="255"/>
      <c r="AB482" s="1" t="s">
        <v>2212</v>
      </c>
    </row>
    <row r="483" spans="1:28" ht="11.25" customHeight="1">
      <c r="A483" s="233">
        <v>41121</v>
      </c>
      <c r="B483" s="1" t="s">
        <v>844</v>
      </c>
      <c r="C483" s="1" t="s">
        <v>2086</v>
      </c>
      <c r="D483" s="1" t="s">
        <v>264</v>
      </c>
      <c r="E483" s="1">
        <v>501</v>
      </c>
      <c r="F483" s="5">
        <v>550</v>
      </c>
      <c r="G483" s="1" t="s">
        <v>230</v>
      </c>
      <c r="H483" s="234">
        <v>1.44</v>
      </c>
      <c r="I483" s="236">
        <f t="shared" si="31"/>
        <v>792</v>
      </c>
      <c r="J483" s="351">
        <v>1.39</v>
      </c>
      <c r="K483" s="241">
        <f>1.39*F483</f>
        <v>764.5</v>
      </c>
      <c r="L483" s="237">
        <v>41121</v>
      </c>
      <c r="M483" s="1" t="s">
        <v>2092</v>
      </c>
      <c r="N483" s="235">
        <f t="shared" si="28"/>
        <v>792</v>
      </c>
      <c r="O483" s="235">
        <f t="shared" si="29"/>
        <v>0</v>
      </c>
      <c r="P483" s="238" t="s">
        <v>2806</v>
      </c>
      <c r="Q483" s="1" t="s">
        <v>2807</v>
      </c>
      <c r="R483" s="239" t="s">
        <v>2808</v>
      </c>
      <c r="S483" s="238" t="s">
        <v>2809</v>
      </c>
      <c r="T483" s="238" t="s">
        <v>2810</v>
      </c>
      <c r="U483" s="238" t="s">
        <v>2811</v>
      </c>
      <c r="V483" s="238" t="s">
        <v>2812</v>
      </c>
      <c r="W483" s="236">
        <v>11660</v>
      </c>
      <c r="X483" s="233">
        <v>41129</v>
      </c>
      <c r="Y483" s="255"/>
      <c r="AB483" s="1" t="s">
        <v>2551</v>
      </c>
    </row>
    <row r="484" spans="1:28" ht="11.25" customHeight="1">
      <c r="A484" s="233">
        <v>41121</v>
      </c>
      <c r="B484" s="1" t="s">
        <v>2589</v>
      </c>
      <c r="C484" s="1" t="s">
        <v>2095</v>
      </c>
      <c r="D484" s="5" t="s">
        <v>2026</v>
      </c>
      <c r="E484" s="1" t="s">
        <v>2513</v>
      </c>
      <c r="F484" s="5">
        <v>500</v>
      </c>
      <c r="G484" s="1" t="s">
        <v>5002</v>
      </c>
      <c r="H484" s="234">
        <v>1.59</v>
      </c>
      <c r="I484" s="236">
        <f t="shared" si="31"/>
        <v>795</v>
      </c>
      <c r="J484" s="351">
        <v>1.46</v>
      </c>
      <c r="K484" s="241">
        <f>1.46*F484</f>
        <v>730</v>
      </c>
      <c r="L484" s="237">
        <v>41169</v>
      </c>
      <c r="M484" s="1" t="s">
        <v>2349</v>
      </c>
      <c r="N484" s="235">
        <f t="shared" si="28"/>
        <v>795</v>
      </c>
      <c r="O484" s="235">
        <f t="shared" si="29"/>
        <v>0</v>
      </c>
      <c r="P484" s="238" t="s">
        <v>2813</v>
      </c>
      <c r="Q484" s="1" t="s">
        <v>2230</v>
      </c>
      <c r="R484" s="239" t="s">
        <v>2591</v>
      </c>
      <c r="S484" s="238" t="s">
        <v>2592</v>
      </c>
      <c r="T484" s="238" t="s">
        <v>775</v>
      </c>
      <c r="U484" s="238" t="s">
        <v>2683</v>
      </c>
      <c r="V484" s="238" t="s">
        <v>2512</v>
      </c>
      <c r="Y484" s="255"/>
      <c r="AA484" s="240" t="s">
        <v>2594</v>
      </c>
      <c r="AB484" s="1" t="s">
        <v>2551</v>
      </c>
    </row>
    <row r="485" spans="1:28" ht="11.25" customHeight="1">
      <c r="A485" s="233">
        <v>41121</v>
      </c>
      <c r="B485" s="1" t="s">
        <v>2589</v>
      </c>
      <c r="C485" s="1" t="s">
        <v>2095</v>
      </c>
      <c r="D485" s="1" t="s">
        <v>828</v>
      </c>
      <c r="E485" s="1" t="s">
        <v>2814</v>
      </c>
      <c r="F485" s="5">
        <v>160</v>
      </c>
      <c r="G485" s="1" t="s">
        <v>2514</v>
      </c>
      <c r="H485" s="234">
        <v>5.6</v>
      </c>
      <c r="I485" s="236">
        <f t="shared" si="31"/>
        <v>896</v>
      </c>
      <c r="J485" s="351"/>
      <c r="K485" s="241">
        <f>5.2*F485</f>
        <v>832</v>
      </c>
      <c r="L485" s="237">
        <v>41169</v>
      </c>
      <c r="M485" s="1" t="s">
        <v>2349</v>
      </c>
      <c r="N485" s="235">
        <f t="shared" si="28"/>
        <v>896</v>
      </c>
      <c r="O485" s="235">
        <f t="shared" si="29"/>
        <v>0</v>
      </c>
      <c r="P485" s="238" t="s">
        <v>2813</v>
      </c>
      <c r="Q485" s="1" t="s">
        <v>2230</v>
      </c>
      <c r="R485" s="239" t="s">
        <v>2591</v>
      </c>
      <c r="S485" s="238" t="s">
        <v>2592</v>
      </c>
      <c r="T485" s="238" t="s">
        <v>775</v>
      </c>
      <c r="U485" s="238" t="s">
        <v>2683</v>
      </c>
      <c r="V485" s="238" t="s">
        <v>2512</v>
      </c>
      <c r="Y485" s="255"/>
      <c r="AA485" s="240" t="s">
        <v>2594</v>
      </c>
      <c r="AB485" s="1" t="s">
        <v>2551</v>
      </c>
    </row>
    <row r="486" spans="1:28" ht="11.25" customHeight="1">
      <c r="A486" s="233">
        <v>41121</v>
      </c>
      <c r="B486" s="1" t="s">
        <v>2815</v>
      </c>
      <c r="C486" s="1" t="s">
        <v>2095</v>
      </c>
      <c r="D486" s="1" t="s">
        <v>2024</v>
      </c>
      <c r="E486" s="1">
        <v>10434</v>
      </c>
      <c r="F486" s="5">
        <v>2</v>
      </c>
      <c r="G486" s="1" t="s">
        <v>2420</v>
      </c>
      <c r="H486" s="234">
        <v>24</v>
      </c>
      <c r="I486" s="236">
        <f t="shared" si="31"/>
        <v>48</v>
      </c>
      <c r="J486" s="351"/>
      <c r="K486" s="254">
        <f>14.88*F486</f>
        <v>29.76</v>
      </c>
      <c r="L486" s="237">
        <v>41121</v>
      </c>
      <c r="M486" s="1" t="s">
        <v>2816</v>
      </c>
      <c r="N486" s="235">
        <f t="shared" si="28"/>
        <v>48</v>
      </c>
      <c r="O486" s="235">
        <f t="shared" si="29"/>
        <v>0</v>
      </c>
      <c r="P486" s="238" t="s">
        <v>2817</v>
      </c>
      <c r="Q486" s="1" t="s">
        <v>2586</v>
      </c>
      <c r="R486" s="239" t="s">
        <v>2818</v>
      </c>
      <c r="S486" s="238" t="s">
        <v>2819</v>
      </c>
      <c r="T486" s="238" t="s">
        <v>2820</v>
      </c>
      <c r="U486" s="238" t="s">
        <v>2821</v>
      </c>
      <c r="V486" s="238" t="s">
        <v>2512</v>
      </c>
      <c r="Z486" s="255" t="s">
        <v>2573</v>
      </c>
      <c r="AB486" s="1" t="s">
        <v>384</v>
      </c>
    </row>
    <row r="487" spans="1:28" ht="11.25" customHeight="1">
      <c r="A487" s="233">
        <v>41121</v>
      </c>
      <c r="B487" s="1" t="s">
        <v>2815</v>
      </c>
      <c r="C487" s="1" t="s">
        <v>2095</v>
      </c>
      <c r="D487" s="1" t="s">
        <v>267</v>
      </c>
      <c r="E487" s="1">
        <v>12308</v>
      </c>
      <c r="F487" s="5">
        <v>2</v>
      </c>
      <c r="G487" s="1" t="s">
        <v>2420</v>
      </c>
      <c r="H487" s="234">
        <v>29</v>
      </c>
      <c r="I487" s="236">
        <f t="shared" si="31"/>
        <v>58</v>
      </c>
      <c r="J487" s="351"/>
      <c r="K487" s="261">
        <f>19.43*F487</f>
        <v>38.86</v>
      </c>
      <c r="L487" s="237">
        <v>41121</v>
      </c>
      <c r="M487" s="1" t="s">
        <v>2816</v>
      </c>
      <c r="N487" s="235">
        <f t="shared" si="28"/>
        <v>58</v>
      </c>
      <c r="O487" s="235">
        <f t="shared" si="29"/>
        <v>0</v>
      </c>
      <c r="P487" s="238" t="s">
        <v>2817</v>
      </c>
      <c r="Q487" s="1" t="s">
        <v>2586</v>
      </c>
      <c r="R487" s="239" t="s">
        <v>2818</v>
      </c>
      <c r="S487" s="238" t="s">
        <v>2819</v>
      </c>
      <c r="T487" s="238" t="s">
        <v>2820</v>
      </c>
      <c r="U487" s="238" t="s">
        <v>2821</v>
      </c>
      <c r="V487" s="238" t="s">
        <v>2512</v>
      </c>
      <c r="Z487" s="255" t="s">
        <v>2573</v>
      </c>
      <c r="AB487" s="1" t="s">
        <v>384</v>
      </c>
    </row>
    <row r="488" spans="1:28" ht="11.25" customHeight="1">
      <c r="A488" s="233">
        <v>41121</v>
      </c>
      <c r="B488" s="1" t="s">
        <v>2815</v>
      </c>
      <c r="C488" s="1" t="s">
        <v>2095</v>
      </c>
      <c r="D488" s="1" t="s">
        <v>2028</v>
      </c>
      <c r="E488" s="1" t="s">
        <v>2822</v>
      </c>
      <c r="F488" s="5">
        <v>2</v>
      </c>
      <c r="G488" s="1" t="s">
        <v>2420</v>
      </c>
      <c r="H488" s="234">
        <v>23</v>
      </c>
      <c r="I488" s="236">
        <f t="shared" si="31"/>
        <v>46</v>
      </c>
      <c r="J488" s="351"/>
      <c r="K488" s="261">
        <f>15.41*F488</f>
        <v>30.82</v>
      </c>
      <c r="L488" s="237">
        <v>41121</v>
      </c>
      <c r="M488" s="1" t="s">
        <v>2816</v>
      </c>
      <c r="N488" s="235">
        <f t="shared" si="28"/>
        <v>46</v>
      </c>
      <c r="O488" s="235">
        <f t="shared" si="29"/>
        <v>0</v>
      </c>
      <c r="P488" s="238" t="s">
        <v>2817</v>
      </c>
      <c r="Q488" s="1" t="s">
        <v>2586</v>
      </c>
      <c r="R488" s="239" t="s">
        <v>2818</v>
      </c>
      <c r="S488" s="238" t="s">
        <v>2819</v>
      </c>
      <c r="T488" s="238" t="s">
        <v>2820</v>
      </c>
      <c r="U488" s="238" t="s">
        <v>2821</v>
      </c>
      <c r="V488" s="238" t="s">
        <v>2512</v>
      </c>
      <c r="Z488" s="255" t="s">
        <v>2573</v>
      </c>
      <c r="AB488" s="1" t="s">
        <v>384</v>
      </c>
    </row>
    <row r="489" spans="1:28" ht="11.25" customHeight="1">
      <c r="A489" s="233">
        <v>41121</v>
      </c>
      <c r="B489" s="1" t="s">
        <v>2747</v>
      </c>
      <c r="C489" s="1" t="s">
        <v>2095</v>
      </c>
      <c r="D489" s="5" t="s">
        <v>2026</v>
      </c>
      <c r="E489" s="1" t="s">
        <v>2513</v>
      </c>
      <c r="F489" s="5">
        <v>1000</v>
      </c>
      <c r="G489" s="1" t="s">
        <v>5002</v>
      </c>
      <c r="H489" s="234">
        <v>1.9</v>
      </c>
      <c r="I489" s="236">
        <f t="shared" si="31"/>
        <v>1900</v>
      </c>
      <c r="J489" s="351">
        <v>1.46</v>
      </c>
      <c r="K489" s="241">
        <f>1.46*F489</f>
        <v>1460</v>
      </c>
      <c r="L489" s="237">
        <v>41155</v>
      </c>
      <c r="M489" s="1" t="s">
        <v>2092</v>
      </c>
      <c r="N489" s="235">
        <f t="shared" si="28"/>
        <v>1900</v>
      </c>
      <c r="O489" s="235">
        <f t="shared" si="29"/>
        <v>0</v>
      </c>
      <c r="P489" s="238" t="s">
        <v>2823</v>
      </c>
      <c r="Q489" s="1" t="s">
        <v>2529</v>
      </c>
      <c r="R489" s="239" t="s">
        <v>2749</v>
      </c>
      <c r="S489" s="1">
        <v>13795677210</v>
      </c>
      <c r="T489" s="1" t="s">
        <v>838</v>
      </c>
      <c r="V489" s="238" t="s">
        <v>2824</v>
      </c>
      <c r="W489" s="236">
        <v>1900</v>
      </c>
      <c r="X489" s="233">
        <v>41128</v>
      </c>
      <c r="Y489" s="255"/>
      <c r="AB489" s="1" t="s">
        <v>384</v>
      </c>
    </row>
    <row r="490" spans="1:28" ht="11.25" customHeight="1">
      <c r="A490" s="233">
        <v>41123</v>
      </c>
      <c r="B490" s="1" t="s">
        <v>2825</v>
      </c>
      <c r="C490" s="1" t="s">
        <v>2095</v>
      </c>
      <c r="D490" s="1" t="s">
        <v>1720</v>
      </c>
      <c r="E490" s="1">
        <v>8210</v>
      </c>
      <c r="F490" s="5">
        <v>100</v>
      </c>
      <c r="G490" s="1" t="s">
        <v>2101</v>
      </c>
      <c r="H490" s="234">
        <v>6</v>
      </c>
      <c r="I490" s="236">
        <f t="shared" si="31"/>
        <v>600</v>
      </c>
      <c r="J490" s="351"/>
      <c r="K490" s="241">
        <f>3.78*F490</f>
        <v>378</v>
      </c>
      <c r="L490" s="237">
        <v>41123</v>
      </c>
      <c r="M490" s="1" t="s">
        <v>2412</v>
      </c>
      <c r="N490" s="235">
        <f t="shared" si="28"/>
        <v>600</v>
      </c>
      <c r="O490" s="235">
        <f t="shared" si="29"/>
        <v>0</v>
      </c>
      <c r="P490" s="238" t="s">
        <v>2826</v>
      </c>
      <c r="Q490" s="1" t="s">
        <v>2230</v>
      </c>
      <c r="R490" s="239" t="s">
        <v>2827</v>
      </c>
      <c r="S490" s="238" t="s">
        <v>2828</v>
      </c>
      <c r="T490" s="238" t="s">
        <v>2829</v>
      </c>
      <c r="V490" s="238" t="s">
        <v>2830</v>
      </c>
      <c r="W490" s="236">
        <v>850</v>
      </c>
      <c r="X490" s="233">
        <v>41123</v>
      </c>
      <c r="Y490" s="255"/>
      <c r="AB490" s="1" t="s">
        <v>384</v>
      </c>
    </row>
    <row r="491" spans="1:28" ht="11.25" customHeight="1">
      <c r="A491" s="233">
        <v>41123</v>
      </c>
      <c r="B491" s="1" t="s">
        <v>2825</v>
      </c>
      <c r="C491" s="1" t="s">
        <v>2095</v>
      </c>
      <c r="D491" s="1" t="s">
        <v>683</v>
      </c>
      <c r="E491" s="1" t="s">
        <v>2831</v>
      </c>
      <c r="F491" s="5">
        <v>50</v>
      </c>
      <c r="G491" s="1" t="s">
        <v>2420</v>
      </c>
      <c r="H491" s="234">
        <v>5</v>
      </c>
      <c r="I491" s="236">
        <f t="shared" si="31"/>
        <v>250</v>
      </c>
      <c r="J491" s="351"/>
      <c r="K491" s="261">
        <f>3.31*F491</f>
        <v>165.5</v>
      </c>
      <c r="L491" s="237">
        <v>41123</v>
      </c>
      <c r="M491" s="1" t="s">
        <v>2412</v>
      </c>
      <c r="N491" s="235">
        <f t="shared" si="28"/>
        <v>250</v>
      </c>
      <c r="O491" s="235">
        <f t="shared" si="29"/>
        <v>0</v>
      </c>
      <c r="P491" s="238" t="s">
        <v>2826</v>
      </c>
      <c r="Q491" s="1" t="s">
        <v>2230</v>
      </c>
      <c r="R491" s="239" t="s">
        <v>2827</v>
      </c>
      <c r="S491" s="238" t="s">
        <v>2828</v>
      </c>
      <c r="T491" s="238" t="s">
        <v>2829</v>
      </c>
      <c r="V491" s="238" t="s">
        <v>2830</v>
      </c>
      <c r="W491" s="236">
        <v>850</v>
      </c>
      <c r="X491" s="233">
        <v>41123</v>
      </c>
      <c r="Y491" s="255"/>
      <c r="Z491" s="255" t="s">
        <v>2573</v>
      </c>
      <c r="AB491" s="1" t="s">
        <v>384</v>
      </c>
    </row>
    <row r="492" spans="1:28" ht="11.25" customHeight="1">
      <c r="A492" s="233">
        <v>41123</v>
      </c>
      <c r="B492" s="1" t="s">
        <v>2579</v>
      </c>
      <c r="C492" s="1" t="s">
        <v>2095</v>
      </c>
      <c r="D492" s="1" t="s">
        <v>1216</v>
      </c>
      <c r="E492" s="1">
        <v>3200</v>
      </c>
      <c r="F492" s="5">
        <v>25</v>
      </c>
      <c r="G492" s="1" t="s">
        <v>2101</v>
      </c>
      <c r="H492" s="234">
        <v>27</v>
      </c>
      <c r="I492" s="236">
        <f t="shared" si="31"/>
        <v>675</v>
      </c>
      <c r="J492" s="351">
        <v>26</v>
      </c>
      <c r="K492" s="241">
        <f>26*F492</f>
        <v>650</v>
      </c>
      <c r="L492" s="237">
        <v>41136</v>
      </c>
      <c r="M492" s="1" t="s">
        <v>2092</v>
      </c>
      <c r="N492" s="235">
        <f t="shared" si="28"/>
        <v>675</v>
      </c>
      <c r="O492" s="235">
        <f t="shared" si="29"/>
        <v>0</v>
      </c>
      <c r="P492" s="238" t="s">
        <v>2097</v>
      </c>
      <c r="Q492" s="1" t="s">
        <v>1262</v>
      </c>
      <c r="R492" s="239" t="s">
        <v>2624</v>
      </c>
      <c r="S492" s="238" t="s">
        <v>2625</v>
      </c>
      <c r="T492" s="238" t="s">
        <v>2626</v>
      </c>
      <c r="U492" s="238" t="s">
        <v>2832</v>
      </c>
      <c r="V492" s="238" t="s">
        <v>2833</v>
      </c>
      <c r="W492" s="236">
        <v>4132.3</v>
      </c>
      <c r="X492" s="233">
        <v>41148</v>
      </c>
      <c r="Y492" s="255"/>
      <c r="AB492" s="1" t="s">
        <v>2551</v>
      </c>
    </row>
    <row r="493" spans="1:28" ht="11.25" customHeight="1">
      <c r="A493" s="233">
        <v>41123</v>
      </c>
      <c r="B493" s="1" t="s">
        <v>2579</v>
      </c>
      <c r="C493" s="1" t="s">
        <v>2095</v>
      </c>
      <c r="D493" s="1" t="s">
        <v>348</v>
      </c>
      <c r="E493" s="1">
        <v>3700</v>
      </c>
      <c r="F493" s="5">
        <v>25</v>
      </c>
      <c r="G493" s="1" t="s">
        <v>2101</v>
      </c>
      <c r="H493" s="234">
        <v>3.42</v>
      </c>
      <c r="I493" s="236">
        <f t="shared" si="31"/>
        <v>85.5</v>
      </c>
      <c r="J493" s="351">
        <v>3.3</v>
      </c>
      <c r="K493" s="241">
        <f>3.3*F493</f>
        <v>82.5</v>
      </c>
      <c r="L493" s="237">
        <v>41136</v>
      </c>
      <c r="M493" s="1" t="s">
        <v>2092</v>
      </c>
      <c r="N493" s="235">
        <f t="shared" si="28"/>
        <v>85.5</v>
      </c>
      <c r="O493" s="235">
        <f t="shared" si="29"/>
        <v>0</v>
      </c>
      <c r="P493" s="238" t="s">
        <v>2097</v>
      </c>
      <c r="Q493" s="1" t="s">
        <v>2694</v>
      </c>
      <c r="R493" s="239" t="s">
        <v>2624</v>
      </c>
      <c r="S493" s="238" t="s">
        <v>2625</v>
      </c>
      <c r="T493" s="238" t="s">
        <v>2626</v>
      </c>
      <c r="U493" s="238" t="s">
        <v>2832</v>
      </c>
      <c r="V493" s="238" t="s">
        <v>2833</v>
      </c>
      <c r="W493" s="236">
        <v>4132.3</v>
      </c>
      <c r="X493" s="233">
        <v>41148</v>
      </c>
      <c r="Y493" s="255"/>
      <c r="AB493" s="1" t="s">
        <v>2551</v>
      </c>
    </row>
    <row r="494" spans="1:28" ht="11.25" customHeight="1">
      <c r="A494" s="233">
        <v>41123</v>
      </c>
      <c r="B494" s="1" t="s">
        <v>2579</v>
      </c>
      <c r="C494" s="1" t="s">
        <v>2095</v>
      </c>
      <c r="D494" s="1" t="s">
        <v>309</v>
      </c>
      <c r="E494" s="1">
        <v>1110</v>
      </c>
      <c r="F494" s="5">
        <v>100</v>
      </c>
      <c r="G494" s="1" t="s">
        <v>2420</v>
      </c>
      <c r="H494" s="234">
        <v>0.8</v>
      </c>
      <c r="I494" s="236">
        <f t="shared" si="31"/>
        <v>80</v>
      </c>
      <c r="J494" s="351"/>
      <c r="K494" s="241">
        <f>0.77*F494</f>
        <v>77</v>
      </c>
      <c r="L494" s="237">
        <v>41136</v>
      </c>
      <c r="M494" s="1" t="s">
        <v>2092</v>
      </c>
      <c r="N494" s="235">
        <f t="shared" si="28"/>
        <v>80</v>
      </c>
      <c r="O494" s="235">
        <f t="shared" si="29"/>
        <v>0</v>
      </c>
      <c r="P494" s="238" t="s">
        <v>2097</v>
      </c>
      <c r="Q494" s="1" t="s">
        <v>2694</v>
      </c>
      <c r="R494" s="239" t="s">
        <v>2624</v>
      </c>
      <c r="S494" s="238" t="s">
        <v>2625</v>
      </c>
      <c r="T494" s="238" t="s">
        <v>2626</v>
      </c>
      <c r="U494" s="238" t="s">
        <v>2832</v>
      </c>
      <c r="V494" s="238" t="s">
        <v>2834</v>
      </c>
      <c r="W494" s="236">
        <v>11620</v>
      </c>
      <c r="X494" s="233">
        <v>41148</v>
      </c>
      <c r="Y494" s="255"/>
      <c r="AB494" s="1" t="s">
        <v>2551</v>
      </c>
    </row>
    <row r="495" spans="1:28" ht="11.25" customHeight="1">
      <c r="A495" s="233">
        <v>41123</v>
      </c>
      <c r="B495" s="1" t="s">
        <v>2579</v>
      </c>
      <c r="C495" s="1" t="s">
        <v>2095</v>
      </c>
      <c r="D495" s="1" t="s">
        <v>1219</v>
      </c>
      <c r="E495" s="1" t="s">
        <v>2533</v>
      </c>
      <c r="F495" s="5">
        <v>10</v>
      </c>
      <c r="G495" s="1" t="s">
        <v>2420</v>
      </c>
      <c r="H495" s="234">
        <v>13.2</v>
      </c>
      <c r="I495" s="236">
        <f t="shared" si="31"/>
        <v>132</v>
      </c>
      <c r="J495" s="351">
        <v>13</v>
      </c>
      <c r="K495" s="263">
        <f>13*F495</f>
        <v>130</v>
      </c>
      <c r="L495" s="237">
        <v>41136</v>
      </c>
      <c r="M495" s="1" t="s">
        <v>2092</v>
      </c>
      <c r="N495" s="235">
        <f t="shared" si="28"/>
        <v>132</v>
      </c>
      <c r="O495" s="235">
        <f t="shared" si="29"/>
        <v>0</v>
      </c>
      <c r="P495" s="238" t="s">
        <v>2097</v>
      </c>
      <c r="Q495" s="1" t="s">
        <v>2694</v>
      </c>
      <c r="R495" s="239" t="s">
        <v>2624</v>
      </c>
      <c r="S495" s="238" t="s">
        <v>2625</v>
      </c>
      <c r="T495" s="238" t="s">
        <v>2626</v>
      </c>
      <c r="U495" s="238" t="s">
        <v>2832</v>
      </c>
      <c r="V495" s="238" t="s">
        <v>2834</v>
      </c>
      <c r="W495" s="236">
        <v>11620</v>
      </c>
      <c r="X495" s="233">
        <v>41148</v>
      </c>
      <c r="Y495" s="255"/>
      <c r="Z495" s="255" t="s">
        <v>2573</v>
      </c>
      <c r="AB495" s="1" t="s">
        <v>2551</v>
      </c>
    </row>
    <row r="496" spans="1:28" ht="11.25" customHeight="1">
      <c r="A496" s="233">
        <v>41124</v>
      </c>
      <c r="B496" s="1" t="s">
        <v>2589</v>
      </c>
      <c r="C496" s="1" t="s">
        <v>2095</v>
      </c>
      <c r="D496" s="1" t="s">
        <v>307</v>
      </c>
      <c r="E496" s="1">
        <v>1270</v>
      </c>
      <c r="F496" s="5">
        <v>100</v>
      </c>
      <c r="G496" s="1" t="s">
        <v>2420</v>
      </c>
      <c r="H496" s="234">
        <v>4.3</v>
      </c>
      <c r="I496" s="236">
        <f t="shared" si="31"/>
        <v>430</v>
      </c>
      <c r="J496" s="351"/>
      <c r="K496" s="241">
        <f>4.14*F496</f>
        <v>413.99999999999994</v>
      </c>
      <c r="L496" s="237">
        <v>41169</v>
      </c>
      <c r="M496" s="1" t="s">
        <v>2349</v>
      </c>
      <c r="N496" s="235">
        <f t="shared" si="28"/>
        <v>430</v>
      </c>
      <c r="O496" s="235">
        <f t="shared" si="29"/>
        <v>0</v>
      </c>
      <c r="P496" s="238" t="s">
        <v>2835</v>
      </c>
      <c r="Q496" s="1" t="s">
        <v>1875</v>
      </c>
      <c r="R496" s="239" t="s">
        <v>2591</v>
      </c>
      <c r="S496" s="238" t="s">
        <v>2592</v>
      </c>
      <c r="T496" s="238" t="s">
        <v>775</v>
      </c>
      <c r="U496" s="238" t="s">
        <v>2683</v>
      </c>
      <c r="V496" s="238" t="s">
        <v>2512</v>
      </c>
      <c r="Y496" s="255"/>
      <c r="AA496" s="240" t="s">
        <v>2594</v>
      </c>
      <c r="AB496" s="1" t="s">
        <v>2551</v>
      </c>
    </row>
    <row r="497" spans="1:28" ht="11.25" customHeight="1">
      <c r="A497" s="233">
        <v>41124</v>
      </c>
      <c r="B497" s="1" t="s">
        <v>2836</v>
      </c>
      <c r="C497" s="1" t="s">
        <v>2095</v>
      </c>
      <c r="D497" s="1" t="s">
        <v>2024</v>
      </c>
      <c r="E497" s="1">
        <v>10434</v>
      </c>
      <c r="F497" s="5">
        <v>100</v>
      </c>
      <c r="G497" s="1" t="s">
        <v>2420</v>
      </c>
      <c r="H497" s="234">
        <v>16.079999999999998</v>
      </c>
      <c r="I497" s="236">
        <f t="shared" si="31"/>
        <v>1607.9999999999998</v>
      </c>
      <c r="J497" s="351"/>
      <c r="K497" s="241">
        <f>14.88*F497</f>
        <v>1488</v>
      </c>
      <c r="L497" s="237">
        <v>41124</v>
      </c>
      <c r="M497" s="1" t="s">
        <v>2092</v>
      </c>
      <c r="N497" s="235">
        <f t="shared" si="28"/>
        <v>1607.9999999999998</v>
      </c>
      <c r="O497" s="235">
        <f t="shared" si="29"/>
        <v>0</v>
      </c>
      <c r="P497" s="238" t="s">
        <v>2837</v>
      </c>
      <c r="Q497" s="1" t="s">
        <v>2694</v>
      </c>
      <c r="R497" s="239" t="s">
        <v>2838</v>
      </c>
      <c r="S497" s="238" t="s">
        <v>2625</v>
      </c>
      <c r="T497" s="238" t="s">
        <v>2839</v>
      </c>
      <c r="U497" s="238" t="s">
        <v>2840</v>
      </c>
      <c r="V497" s="238" t="s">
        <v>2841</v>
      </c>
      <c r="W497" s="236">
        <v>2983</v>
      </c>
      <c r="X497" s="233">
        <v>41205</v>
      </c>
      <c r="Y497" s="255">
        <v>718084812496</v>
      </c>
      <c r="AB497" s="1" t="s">
        <v>2551</v>
      </c>
    </row>
    <row r="498" spans="1:28" ht="11.25" customHeight="1">
      <c r="A498" s="233">
        <v>41124</v>
      </c>
      <c r="B498" s="1" t="s">
        <v>2552</v>
      </c>
      <c r="C498" s="1" t="s">
        <v>2095</v>
      </c>
      <c r="D498" s="1" t="s">
        <v>2036</v>
      </c>
      <c r="E498" s="1" t="s">
        <v>2590</v>
      </c>
      <c r="F498" s="5">
        <v>1000</v>
      </c>
      <c r="G498" s="1" t="s">
        <v>5774</v>
      </c>
      <c r="H498" s="234">
        <v>1.75</v>
      </c>
      <c r="I498" s="236">
        <f t="shared" si="31"/>
        <v>1750</v>
      </c>
      <c r="J498" s="351"/>
      <c r="K498" s="241">
        <f>1.5*F498</f>
        <v>1500</v>
      </c>
      <c r="L498" s="237">
        <v>41124</v>
      </c>
      <c r="M498" s="1" t="s">
        <v>2349</v>
      </c>
      <c r="N498" s="235">
        <f t="shared" si="28"/>
        <v>1750</v>
      </c>
      <c r="O498" s="235">
        <f t="shared" si="29"/>
        <v>0</v>
      </c>
      <c r="P498" s="238" t="s">
        <v>2842</v>
      </c>
      <c r="Q498" s="1" t="s">
        <v>2230</v>
      </c>
      <c r="R498" s="239" t="s">
        <v>2843</v>
      </c>
      <c r="S498" s="238" t="s">
        <v>2556</v>
      </c>
      <c r="T498" s="238" t="s">
        <v>2557</v>
      </c>
      <c r="V498" s="238" t="s">
        <v>2512</v>
      </c>
      <c r="Y498" s="255"/>
      <c r="AB498" s="1" t="s">
        <v>2551</v>
      </c>
    </row>
    <row r="499" spans="1:28" ht="11.25" customHeight="1">
      <c r="A499" s="233">
        <v>41127</v>
      </c>
      <c r="B499" s="1" t="s">
        <v>2844</v>
      </c>
      <c r="C499" s="1" t="s">
        <v>2845</v>
      </c>
      <c r="D499" s="1" t="s">
        <v>1222</v>
      </c>
      <c r="E499" s="1" t="s">
        <v>2846</v>
      </c>
      <c r="F499" s="5">
        <v>32</v>
      </c>
      <c r="G499" s="1" t="s">
        <v>2847</v>
      </c>
      <c r="H499" s="234">
        <v>118</v>
      </c>
      <c r="I499" s="236">
        <f t="shared" si="31"/>
        <v>3776</v>
      </c>
      <c r="J499" s="351"/>
      <c r="K499" s="241">
        <f>108*F499</f>
        <v>3456</v>
      </c>
      <c r="L499" s="237">
        <v>41124</v>
      </c>
      <c r="M499" s="1" t="s">
        <v>2092</v>
      </c>
      <c r="N499" s="235">
        <f t="shared" si="28"/>
        <v>3776</v>
      </c>
      <c r="O499" s="235">
        <f t="shared" si="29"/>
        <v>0</v>
      </c>
      <c r="P499" s="238" t="s">
        <v>2848</v>
      </c>
      <c r="Q499" s="1" t="s">
        <v>2230</v>
      </c>
      <c r="R499" s="239" t="s">
        <v>4</v>
      </c>
      <c r="S499" s="238" t="s">
        <v>5</v>
      </c>
      <c r="T499" s="238" t="s">
        <v>3</v>
      </c>
      <c r="V499" s="238" t="s">
        <v>2849</v>
      </c>
      <c r="W499" s="236">
        <v>3776</v>
      </c>
      <c r="X499" s="233">
        <v>41128</v>
      </c>
      <c r="Y499" s="255"/>
      <c r="AB499" s="1" t="s">
        <v>2850</v>
      </c>
    </row>
    <row r="500" spans="1:28" ht="11.25" customHeight="1">
      <c r="A500" s="233">
        <v>41129</v>
      </c>
      <c r="B500" s="1" t="s">
        <v>844</v>
      </c>
      <c r="C500" s="1" t="s">
        <v>2851</v>
      </c>
      <c r="D500" s="1" t="s">
        <v>9</v>
      </c>
      <c r="E500" s="1">
        <v>2096</v>
      </c>
      <c r="F500" s="5">
        <v>150</v>
      </c>
      <c r="G500" s="1" t="s">
        <v>2852</v>
      </c>
      <c r="H500" s="234">
        <v>13.62</v>
      </c>
      <c r="I500" s="236">
        <f t="shared" si="31"/>
        <v>2042.9999999999998</v>
      </c>
      <c r="J500" s="351"/>
      <c r="K500" s="241">
        <f>12.65*F500</f>
        <v>1897.5</v>
      </c>
      <c r="L500" s="237">
        <v>41128</v>
      </c>
      <c r="M500" s="1" t="s">
        <v>2853</v>
      </c>
      <c r="N500" s="235">
        <f t="shared" si="28"/>
        <v>2042.9999999999998</v>
      </c>
      <c r="O500" s="235">
        <f t="shared" si="29"/>
        <v>0</v>
      </c>
      <c r="P500" s="238" t="s">
        <v>2854</v>
      </c>
      <c r="Q500" s="1" t="s">
        <v>2855</v>
      </c>
      <c r="R500" s="239" t="s">
        <v>2856</v>
      </c>
      <c r="S500" s="238" t="s">
        <v>2857</v>
      </c>
      <c r="T500" s="238" t="s">
        <v>2858</v>
      </c>
      <c r="U500" s="238" t="s">
        <v>2859</v>
      </c>
      <c r="V500" s="238" t="s">
        <v>2860</v>
      </c>
      <c r="W500" s="236">
        <v>11568.55</v>
      </c>
      <c r="X500" s="233">
        <v>41129</v>
      </c>
      <c r="Y500" s="255"/>
      <c r="AB500" s="1" t="s">
        <v>2850</v>
      </c>
    </row>
    <row r="501" spans="1:28" ht="11.25" customHeight="1">
      <c r="A501" s="233">
        <v>41129</v>
      </c>
      <c r="B501" s="1" t="s">
        <v>2861</v>
      </c>
      <c r="C501" s="1" t="s">
        <v>2851</v>
      </c>
      <c r="D501" s="1" t="s">
        <v>1216</v>
      </c>
      <c r="E501" s="1">
        <v>3200</v>
      </c>
      <c r="F501" s="5">
        <v>4</v>
      </c>
      <c r="G501" s="1" t="s">
        <v>2862</v>
      </c>
      <c r="H501" s="234">
        <v>43</v>
      </c>
      <c r="I501" s="236">
        <f t="shared" si="31"/>
        <v>172</v>
      </c>
      <c r="J501" s="351">
        <v>26</v>
      </c>
      <c r="K501" s="241">
        <f>26*F501</f>
        <v>104</v>
      </c>
      <c r="L501" s="237">
        <v>41127</v>
      </c>
      <c r="M501" s="1" t="s">
        <v>2863</v>
      </c>
      <c r="N501" s="235">
        <f t="shared" si="28"/>
        <v>172</v>
      </c>
      <c r="O501" s="235">
        <f t="shared" si="29"/>
        <v>0</v>
      </c>
      <c r="P501" s="238" t="s">
        <v>2864</v>
      </c>
      <c r="Q501" s="1" t="s">
        <v>1266</v>
      </c>
      <c r="R501" s="239" t="s">
        <v>534</v>
      </c>
      <c r="S501" s="238" t="s">
        <v>535</v>
      </c>
      <c r="T501" s="238" t="s">
        <v>2768</v>
      </c>
      <c r="U501" s="238" t="s">
        <v>2865</v>
      </c>
      <c r="V501" s="238" t="s">
        <v>2866</v>
      </c>
      <c r="Y501" s="255"/>
      <c r="AB501" s="1" t="s">
        <v>384</v>
      </c>
    </row>
    <row r="502" spans="1:28" ht="11.25" customHeight="1">
      <c r="A502" s="233">
        <v>41129</v>
      </c>
      <c r="B502" s="1" t="s">
        <v>2867</v>
      </c>
      <c r="C502" s="1" t="s">
        <v>2868</v>
      </c>
      <c r="D502" s="1" t="s">
        <v>264</v>
      </c>
      <c r="E502" s="1" t="s">
        <v>2134</v>
      </c>
      <c r="F502" s="5">
        <v>4</v>
      </c>
      <c r="G502" s="1" t="s">
        <v>2101</v>
      </c>
      <c r="H502" s="234">
        <v>2</v>
      </c>
      <c r="I502" s="236">
        <f t="shared" si="31"/>
        <v>8</v>
      </c>
      <c r="J502" s="351">
        <v>1.92</v>
      </c>
      <c r="K502" s="241">
        <f>1.92*F502</f>
        <v>7.68</v>
      </c>
      <c r="L502" s="237">
        <v>41127</v>
      </c>
      <c r="M502" s="1" t="s">
        <v>2349</v>
      </c>
      <c r="N502" s="235">
        <f t="shared" si="28"/>
        <v>8</v>
      </c>
      <c r="O502" s="235">
        <f t="shared" si="29"/>
        <v>0</v>
      </c>
      <c r="P502" s="238" t="s">
        <v>2869</v>
      </c>
      <c r="Q502" s="1" t="s">
        <v>2623</v>
      </c>
      <c r="R502" s="239" t="s">
        <v>534</v>
      </c>
      <c r="S502" s="238" t="s">
        <v>535</v>
      </c>
      <c r="T502" s="238" t="s">
        <v>2768</v>
      </c>
      <c r="U502" s="238" t="s">
        <v>2865</v>
      </c>
      <c r="V502" s="238" t="s">
        <v>2866</v>
      </c>
      <c r="Y502" s="255"/>
      <c r="AB502" s="1" t="s">
        <v>384</v>
      </c>
    </row>
    <row r="503" spans="1:28" ht="11.25" customHeight="1">
      <c r="A503" s="233">
        <v>41129</v>
      </c>
      <c r="B503" s="1" t="s">
        <v>2867</v>
      </c>
      <c r="C503" s="1" t="s">
        <v>2868</v>
      </c>
      <c r="D503" s="1" t="s">
        <v>355</v>
      </c>
      <c r="E503" s="1" t="s">
        <v>2870</v>
      </c>
      <c r="F503" s="5">
        <v>2</v>
      </c>
      <c r="G503" s="1" t="s">
        <v>2871</v>
      </c>
      <c r="H503" s="234">
        <v>18</v>
      </c>
      <c r="I503" s="236">
        <f t="shared" si="31"/>
        <v>36</v>
      </c>
      <c r="J503" s="352">
        <v>12.74</v>
      </c>
      <c r="K503" s="241">
        <f>12.74+13.33</f>
        <v>26.07</v>
      </c>
      <c r="L503" s="237">
        <v>41127</v>
      </c>
      <c r="M503" s="1" t="s">
        <v>2872</v>
      </c>
      <c r="N503" s="235">
        <f t="shared" si="28"/>
        <v>36</v>
      </c>
      <c r="O503" s="235">
        <f t="shared" si="29"/>
        <v>0</v>
      </c>
      <c r="P503" s="238" t="s">
        <v>2873</v>
      </c>
      <c r="Q503" s="1" t="s">
        <v>2874</v>
      </c>
      <c r="R503" s="239" t="s">
        <v>534</v>
      </c>
      <c r="S503" s="238" t="s">
        <v>535</v>
      </c>
      <c r="T503" s="238" t="s">
        <v>2768</v>
      </c>
      <c r="U503" s="238" t="s">
        <v>2865</v>
      </c>
      <c r="V503" s="238" t="s">
        <v>2866</v>
      </c>
      <c r="Y503" s="255"/>
      <c r="AB503" s="1" t="s">
        <v>384</v>
      </c>
    </row>
    <row r="504" spans="1:28" ht="11.25" customHeight="1">
      <c r="A504" s="233">
        <v>41129</v>
      </c>
      <c r="B504" s="1" t="s">
        <v>2875</v>
      </c>
      <c r="C504" s="1" t="s">
        <v>2868</v>
      </c>
      <c r="D504" s="5" t="s">
        <v>2876</v>
      </c>
      <c r="E504" s="1" t="s">
        <v>2877</v>
      </c>
      <c r="F504" s="5">
        <v>300</v>
      </c>
      <c r="G504" s="1" t="s">
        <v>5002</v>
      </c>
      <c r="H504" s="234">
        <v>2.1</v>
      </c>
      <c r="I504" s="236">
        <f t="shared" si="31"/>
        <v>630</v>
      </c>
      <c r="J504" s="351">
        <v>1.55</v>
      </c>
      <c r="K504" s="241">
        <f>1.55*F504</f>
        <v>465</v>
      </c>
      <c r="L504" s="237">
        <v>41149</v>
      </c>
      <c r="M504" s="1" t="s">
        <v>2878</v>
      </c>
      <c r="N504" s="235">
        <f t="shared" si="28"/>
        <v>630</v>
      </c>
      <c r="O504" s="235">
        <f t="shared" si="29"/>
        <v>0</v>
      </c>
      <c r="P504" s="238" t="s">
        <v>2879</v>
      </c>
      <c r="Q504" s="1" t="s">
        <v>2874</v>
      </c>
      <c r="R504" s="239" t="s">
        <v>2880</v>
      </c>
      <c r="S504" s="238" t="s">
        <v>2881</v>
      </c>
      <c r="T504" s="238" t="s">
        <v>12</v>
      </c>
      <c r="U504" s="238" t="s">
        <v>2882</v>
      </c>
      <c r="V504" s="238" t="s">
        <v>2883</v>
      </c>
      <c r="W504" s="236">
        <v>630</v>
      </c>
      <c r="X504" s="233">
        <v>41130</v>
      </c>
      <c r="Y504" s="255">
        <v>568105803536</v>
      </c>
      <c r="AB504" s="1" t="s">
        <v>384</v>
      </c>
    </row>
    <row r="505" spans="1:28" ht="11.25" customHeight="1">
      <c r="A505" s="233">
        <v>41129</v>
      </c>
      <c r="B505" s="1" t="s">
        <v>2884</v>
      </c>
      <c r="C505" s="1" t="s">
        <v>2868</v>
      </c>
      <c r="D505" s="1" t="s">
        <v>1223</v>
      </c>
      <c r="E505" s="1">
        <v>8822</v>
      </c>
      <c r="F505" s="5">
        <v>90</v>
      </c>
      <c r="G505" s="1" t="s">
        <v>232</v>
      </c>
      <c r="H505" s="234">
        <v>13.75</v>
      </c>
      <c r="I505" s="236">
        <f t="shared" si="31"/>
        <v>1237.5</v>
      </c>
      <c r="J505" s="351"/>
      <c r="K505" s="241">
        <f>13.38*F505</f>
        <v>1204.2</v>
      </c>
      <c r="L505" s="237">
        <v>41129</v>
      </c>
      <c r="M505" s="1" t="s">
        <v>2872</v>
      </c>
      <c r="N505" s="235">
        <f t="shared" si="28"/>
        <v>1237.5</v>
      </c>
      <c r="O505" s="235">
        <f t="shared" si="29"/>
        <v>0</v>
      </c>
      <c r="P505" s="238" t="s">
        <v>2885</v>
      </c>
      <c r="Q505" s="1" t="s">
        <v>2886</v>
      </c>
      <c r="R505" s="239" t="s">
        <v>2887</v>
      </c>
      <c r="S505" s="238" t="s">
        <v>2888</v>
      </c>
      <c r="T505" s="238" t="s">
        <v>2889</v>
      </c>
      <c r="U505" s="238" t="s">
        <v>2890</v>
      </c>
      <c r="V505" s="238" t="s">
        <v>2891</v>
      </c>
      <c r="W505" s="236">
        <v>2983</v>
      </c>
      <c r="X505" s="233">
        <v>41205</v>
      </c>
      <c r="Y505" s="255">
        <v>718084812496</v>
      </c>
      <c r="AB505" s="1" t="s">
        <v>2892</v>
      </c>
    </row>
    <row r="506" spans="1:28" ht="11.25" customHeight="1">
      <c r="A506" s="233">
        <v>41129</v>
      </c>
      <c r="B506" s="1" t="s">
        <v>2884</v>
      </c>
      <c r="C506" s="1" t="s">
        <v>2868</v>
      </c>
      <c r="D506" s="1" t="s">
        <v>1223</v>
      </c>
      <c r="E506" s="1">
        <v>8822</v>
      </c>
      <c r="F506" s="5">
        <v>10</v>
      </c>
      <c r="G506" s="1" t="s">
        <v>232</v>
      </c>
      <c r="H506" s="234">
        <v>13.75</v>
      </c>
      <c r="I506" s="236">
        <f t="shared" si="31"/>
        <v>137.5</v>
      </c>
      <c r="J506" s="351"/>
      <c r="K506" s="241">
        <v>0</v>
      </c>
      <c r="L506" s="237">
        <v>41129</v>
      </c>
      <c r="M506" s="1" t="s">
        <v>2872</v>
      </c>
      <c r="N506" s="235">
        <f t="shared" si="28"/>
        <v>137.5</v>
      </c>
      <c r="O506" s="235">
        <f t="shared" si="29"/>
        <v>0</v>
      </c>
      <c r="P506" s="238" t="s">
        <v>2885</v>
      </c>
      <c r="Q506" s="1" t="s">
        <v>2886</v>
      </c>
      <c r="R506" s="239" t="s">
        <v>2887</v>
      </c>
      <c r="S506" s="238" t="s">
        <v>2888</v>
      </c>
      <c r="T506" s="238" t="s">
        <v>2889</v>
      </c>
      <c r="U506" s="238" t="s">
        <v>2890</v>
      </c>
      <c r="V506" s="238" t="s">
        <v>2891</v>
      </c>
      <c r="W506" s="236">
        <v>2983</v>
      </c>
      <c r="X506" s="233">
        <v>41205</v>
      </c>
      <c r="Y506" s="255">
        <v>718084812496</v>
      </c>
      <c r="AB506" s="1" t="s">
        <v>2892</v>
      </c>
    </row>
    <row r="507" spans="1:28" ht="11.25" customHeight="1">
      <c r="A507" s="233">
        <v>41131</v>
      </c>
      <c r="B507" s="1" t="s">
        <v>2893</v>
      </c>
      <c r="C507" s="1" t="s">
        <v>2868</v>
      </c>
      <c r="D507" s="1" t="s">
        <v>233</v>
      </c>
      <c r="E507" s="1" t="s">
        <v>2894</v>
      </c>
      <c r="F507" s="5">
        <v>25</v>
      </c>
      <c r="G507" s="1" t="s">
        <v>232</v>
      </c>
      <c r="H507" s="234">
        <v>2.8</v>
      </c>
      <c r="I507" s="236">
        <f t="shared" si="31"/>
        <v>70</v>
      </c>
      <c r="J507" s="352">
        <v>1.7</v>
      </c>
      <c r="K507" s="241">
        <f>1.7*F507</f>
        <v>42.5</v>
      </c>
      <c r="L507" s="237">
        <v>41131</v>
      </c>
      <c r="M507" s="1" t="s">
        <v>2895</v>
      </c>
      <c r="N507" s="235">
        <f t="shared" si="28"/>
        <v>70</v>
      </c>
      <c r="O507" s="235">
        <f t="shared" si="29"/>
        <v>0</v>
      </c>
      <c r="P507" s="238" t="s">
        <v>2896</v>
      </c>
      <c r="Q507" s="1" t="s">
        <v>2897</v>
      </c>
      <c r="R507" s="239" t="s">
        <v>2898</v>
      </c>
      <c r="S507" s="238" t="s">
        <v>2899</v>
      </c>
      <c r="T507" s="238" t="s">
        <v>2900</v>
      </c>
      <c r="V507" s="238" t="s">
        <v>2866</v>
      </c>
      <c r="Y507" s="255"/>
      <c r="AB507" s="1" t="s">
        <v>384</v>
      </c>
    </row>
    <row r="508" spans="1:28" ht="11.25" customHeight="1">
      <c r="A508" s="233">
        <v>41131</v>
      </c>
      <c r="B508" s="1" t="s">
        <v>2893</v>
      </c>
      <c r="C508" s="1" t="s">
        <v>2868</v>
      </c>
      <c r="D508" s="1" t="s">
        <v>2901</v>
      </c>
      <c r="E508" s="1" t="s">
        <v>2902</v>
      </c>
      <c r="F508" s="5">
        <v>5</v>
      </c>
      <c r="G508" s="1" t="s">
        <v>2903</v>
      </c>
      <c r="H508" s="234">
        <v>45</v>
      </c>
      <c r="I508" s="236">
        <f t="shared" si="31"/>
        <v>225</v>
      </c>
      <c r="J508" s="351"/>
      <c r="K508" s="241">
        <v>0</v>
      </c>
      <c r="L508" s="237">
        <v>41131</v>
      </c>
      <c r="M508" s="1" t="s">
        <v>2895</v>
      </c>
      <c r="N508" s="235">
        <f t="shared" si="28"/>
        <v>225</v>
      </c>
      <c r="O508" s="235">
        <f t="shared" si="29"/>
        <v>0</v>
      </c>
      <c r="P508" s="238" t="s">
        <v>2896</v>
      </c>
      <c r="Q508" s="1" t="s">
        <v>2897</v>
      </c>
      <c r="R508" s="239" t="s">
        <v>2898</v>
      </c>
      <c r="S508" s="238" t="s">
        <v>2899</v>
      </c>
      <c r="T508" s="238" t="s">
        <v>2900</v>
      </c>
      <c r="V508" s="238" t="s">
        <v>2866</v>
      </c>
      <c r="Y508" s="255"/>
      <c r="AB508" s="1" t="s">
        <v>384</v>
      </c>
    </row>
    <row r="509" spans="1:28" ht="11.25" customHeight="1">
      <c r="A509" s="233">
        <v>41134</v>
      </c>
      <c r="B509" s="1" t="s">
        <v>2904</v>
      </c>
      <c r="C509" s="1" t="s">
        <v>2868</v>
      </c>
      <c r="D509" s="1" t="s">
        <v>2905</v>
      </c>
      <c r="E509" s="1">
        <v>4941</v>
      </c>
      <c r="F509" s="5" t="s">
        <v>5069</v>
      </c>
      <c r="G509" s="1" t="s">
        <v>2906</v>
      </c>
      <c r="H509" s="234">
        <v>400</v>
      </c>
      <c r="I509" s="236">
        <f>H509*4*0.8</f>
        <v>1280</v>
      </c>
      <c r="J509" s="351"/>
      <c r="K509" s="241">
        <f>359*4*0.8</f>
        <v>1148.8</v>
      </c>
      <c r="L509" s="237">
        <v>41145</v>
      </c>
      <c r="M509" s="1" t="s">
        <v>2878</v>
      </c>
      <c r="N509" s="235">
        <f t="shared" si="28"/>
        <v>1280</v>
      </c>
      <c r="O509" s="235">
        <f t="shared" si="29"/>
        <v>0</v>
      </c>
      <c r="P509" s="238" t="s">
        <v>4918</v>
      </c>
      <c r="Q509" s="1" t="s">
        <v>2907</v>
      </c>
      <c r="R509" s="239" t="s">
        <v>2908</v>
      </c>
      <c r="S509" s="238" t="s">
        <v>2909</v>
      </c>
      <c r="T509" s="238" t="s">
        <v>801</v>
      </c>
      <c r="U509" s="238" t="s">
        <v>2910</v>
      </c>
      <c r="V509" s="238" t="s">
        <v>2911</v>
      </c>
      <c r="W509" s="236">
        <v>11631.8</v>
      </c>
      <c r="X509" s="233">
        <v>41145</v>
      </c>
      <c r="Y509" s="238" t="s">
        <v>2912</v>
      </c>
      <c r="AB509" s="1" t="s">
        <v>2892</v>
      </c>
    </row>
    <row r="510" spans="1:28" ht="11.25" customHeight="1">
      <c r="A510" s="233">
        <v>41134</v>
      </c>
      <c r="B510" s="264" t="s">
        <v>2913</v>
      </c>
      <c r="C510" s="1" t="s">
        <v>2868</v>
      </c>
      <c r="D510" s="1" t="s">
        <v>1219</v>
      </c>
      <c r="E510" s="1" t="s">
        <v>2914</v>
      </c>
      <c r="F510" s="5">
        <v>50</v>
      </c>
      <c r="G510" s="1" t="s">
        <v>2915</v>
      </c>
      <c r="H510" s="234">
        <v>21</v>
      </c>
      <c r="I510" s="236">
        <f>H510*F510</f>
        <v>1050</v>
      </c>
      <c r="J510" s="351">
        <v>13</v>
      </c>
      <c r="K510" s="250">
        <f>13*F510</f>
        <v>650</v>
      </c>
      <c r="L510" s="237">
        <v>41134</v>
      </c>
      <c r="M510" s="1" t="s">
        <v>2878</v>
      </c>
      <c r="N510" s="235">
        <f t="shared" si="28"/>
        <v>1050</v>
      </c>
      <c r="O510" s="235">
        <f t="shared" si="29"/>
        <v>0</v>
      </c>
      <c r="P510" s="238" t="s">
        <v>2916</v>
      </c>
      <c r="Q510" s="1" t="s">
        <v>2907</v>
      </c>
      <c r="R510" s="239" t="s">
        <v>463</v>
      </c>
      <c r="S510" s="238" t="s">
        <v>2179</v>
      </c>
      <c r="T510" s="238" t="s">
        <v>2180</v>
      </c>
      <c r="U510" s="238" t="s">
        <v>2917</v>
      </c>
      <c r="V510" s="238" t="s">
        <v>2918</v>
      </c>
      <c r="W510" s="236">
        <v>2100</v>
      </c>
      <c r="X510" s="233">
        <v>41166</v>
      </c>
      <c r="Y510" s="255">
        <v>23159123281</v>
      </c>
      <c r="AB510" s="1" t="s">
        <v>2183</v>
      </c>
    </row>
    <row r="511" spans="1:28" ht="11.25" customHeight="1">
      <c r="A511" s="233">
        <v>41134</v>
      </c>
      <c r="B511" s="1" t="s">
        <v>2919</v>
      </c>
      <c r="C511" s="1" t="s">
        <v>2184</v>
      </c>
      <c r="D511" s="1" t="s">
        <v>269</v>
      </c>
      <c r="E511" s="1" t="s">
        <v>2920</v>
      </c>
      <c r="F511" s="5">
        <v>200</v>
      </c>
      <c r="G511" s="1" t="s">
        <v>2921</v>
      </c>
      <c r="H511" s="234">
        <v>1.45</v>
      </c>
      <c r="I511" s="236">
        <f>H511*F511</f>
        <v>290</v>
      </c>
      <c r="J511" s="352">
        <v>1.34</v>
      </c>
      <c r="K511" s="241">
        <f>1.34*F511</f>
        <v>268</v>
      </c>
      <c r="L511" s="237">
        <v>41169</v>
      </c>
      <c r="M511" s="1" t="s">
        <v>2922</v>
      </c>
      <c r="N511" s="235">
        <f t="shared" si="28"/>
        <v>290</v>
      </c>
      <c r="O511" s="235">
        <f t="shared" si="29"/>
        <v>0</v>
      </c>
      <c r="P511" s="238" t="s">
        <v>2923</v>
      </c>
      <c r="Q511" s="1" t="s">
        <v>2924</v>
      </c>
      <c r="R511" s="239" t="s">
        <v>2925</v>
      </c>
      <c r="S511" s="238" t="s">
        <v>2926</v>
      </c>
      <c r="T511" s="238" t="s">
        <v>775</v>
      </c>
      <c r="U511" s="238" t="s">
        <v>2927</v>
      </c>
      <c r="V511" s="238" t="s">
        <v>2928</v>
      </c>
      <c r="Y511" s="255"/>
      <c r="AA511" s="240" t="s">
        <v>2929</v>
      </c>
      <c r="AB511" s="1" t="s">
        <v>2183</v>
      </c>
    </row>
    <row r="512" spans="1:28" ht="12" customHeight="1">
      <c r="A512" s="233">
        <v>41134</v>
      </c>
      <c r="B512" s="1" t="s">
        <v>2930</v>
      </c>
      <c r="C512" s="1" t="s">
        <v>2184</v>
      </c>
      <c r="D512" s="1" t="s">
        <v>241</v>
      </c>
      <c r="E512" s="1">
        <v>6200</v>
      </c>
      <c r="F512" s="5">
        <v>120</v>
      </c>
      <c r="G512" s="1" t="s">
        <v>230</v>
      </c>
      <c r="H512" s="234">
        <v>46</v>
      </c>
      <c r="I512" s="236">
        <f>F512*H512</f>
        <v>5520</v>
      </c>
      <c r="J512" s="351">
        <v>45</v>
      </c>
      <c r="K512" s="241" t="e">
        <f>#REF!*F512</f>
        <v>#REF!</v>
      </c>
      <c r="L512" s="237">
        <v>41134</v>
      </c>
      <c r="M512" s="1" t="s">
        <v>2931</v>
      </c>
      <c r="N512" s="235">
        <f t="shared" si="28"/>
        <v>5520</v>
      </c>
      <c r="O512" s="235">
        <f t="shared" si="29"/>
        <v>0</v>
      </c>
      <c r="P512" s="238" t="s">
        <v>2932</v>
      </c>
      <c r="Q512" s="1" t="s">
        <v>1257</v>
      </c>
      <c r="R512" s="239" t="s">
        <v>2933</v>
      </c>
      <c r="S512" s="238" t="s">
        <v>2934</v>
      </c>
      <c r="T512" s="238" t="s">
        <v>2935</v>
      </c>
      <c r="U512" s="238" t="s">
        <v>2936</v>
      </c>
      <c r="V512" s="238" t="s">
        <v>2937</v>
      </c>
      <c r="W512" s="236">
        <v>9425.2000000000007</v>
      </c>
      <c r="X512" s="233">
        <v>41163</v>
      </c>
      <c r="Y512" s="238" t="s">
        <v>2938</v>
      </c>
      <c r="AB512" s="1" t="s">
        <v>2183</v>
      </c>
    </row>
    <row r="513" spans="1:28" ht="12" customHeight="1">
      <c r="A513" s="233">
        <v>41134</v>
      </c>
      <c r="B513" s="1" t="s">
        <v>2930</v>
      </c>
      <c r="C513" s="1" t="s">
        <v>2184</v>
      </c>
      <c r="D513" s="1" t="s">
        <v>274</v>
      </c>
      <c r="E513" s="1" t="s">
        <v>2939</v>
      </c>
      <c r="F513" s="5">
        <v>300</v>
      </c>
      <c r="G513" s="1" t="s">
        <v>230</v>
      </c>
      <c r="H513" s="234">
        <v>31.5</v>
      </c>
      <c r="I513" s="236">
        <f t="shared" ref="I513:I527" si="32">H513*F513</f>
        <v>9450</v>
      </c>
      <c r="J513" s="351">
        <v>29.5</v>
      </c>
      <c r="K513" s="241">
        <f>29.5*F513</f>
        <v>8850</v>
      </c>
      <c r="L513" s="237">
        <v>41134</v>
      </c>
      <c r="M513" s="1" t="s">
        <v>2931</v>
      </c>
      <c r="N513" s="235">
        <f t="shared" si="28"/>
        <v>9450</v>
      </c>
      <c r="O513" s="235">
        <f t="shared" si="29"/>
        <v>0</v>
      </c>
      <c r="P513" s="238" t="s">
        <v>2932</v>
      </c>
      <c r="Q513" s="1" t="s">
        <v>2940</v>
      </c>
      <c r="R513" s="239" t="s">
        <v>2933</v>
      </c>
      <c r="S513" s="238" t="s">
        <v>2934</v>
      </c>
      <c r="T513" s="238" t="s">
        <v>2935</v>
      </c>
      <c r="U513" s="238" t="s">
        <v>2941</v>
      </c>
      <c r="V513" s="238" t="s">
        <v>2942</v>
      </c>
      <c r="W513" s="236">
        <v>10710</v>
      </c>
      <c r="X513" s="233">
        <v>41163</v>
      </c>
      <c r="Y513" s="238" t="s">
        <v>2938</v>
      </c>
      <c r="AB513" s="1" t="s">
        <v>2183</v>
      </c>
    </row>
    <row r="514" spans="1:28" ht="11.25" customHeight="1">
      <c r="A514" s="233">
        <v>41134</v>
      </c>
      <c r="B514" s="1" t="s">
        <v>2930</v>
      </c>
      <c r="C514" s="1" t="s">
        <v>2184</v>
      </c>
      <c r="D514" s="1" t="s">
        <v>233</v>
      </c>
      <c r="E514" s="1" t="s">
        <v>2943</v>
      </c>
      <c r="F514" s="5">
        <v>2000</v>
      </c>
      <c r="G514" s="1" t="s">
        <v>232</v>
      </c>
      <c r="H514" s="234">
        <v>5.2</v>
      </c>
      <c r="I514" s="236">
        <f t="shared" si="32"/>
        <v>10400</v>
      </c>
      <c r="J514" s="351">
        <v>4.78</v>
      </c>
      <c r="K514" s="241">
        <f>4.78*F514</f>
        <v>9560</v>
      </c>
      <c r="L514" s="237">
        <v>41134</v>
      </c>
      <c r="M514" s="1" t="s">
        <v>2931</v>
      </c>
      <c r="N514" s="235">
        <f t="shared" si="28"/>
        <v>10400</v>
      </c>
      <c r="O514" s="235">
        <f t="shared" si="29"/>
        <v>0</v>
      </c>
      <c r="P514" s="238" t="s">
        <v>2932</v>
      </c>
      <c r="Q514" s="1" t="s">
        <v>2940</v>
      </c>
      <c r="R514" s="239" t="s">
        <v>2933</v>
      </c>
      <c r="S514" s="238" t="s">
        <v>2934</v>
      </c>
      <c r="T514" s="238" t="s">
        <v>2935</v>
      </c>
      <c r="U514" s="238" t="s">
        <v>2944</v>
      </c>
      <c r="V514" s="238" t="s">
        <v>2945</v>
      </c>
      <c r="W514" s="236">
        <v>10400</v>
      </c>
      <c r="X514" s="233">
        <v>41163</v>
      </c>
      <c r="Y514" s="238" t="s">
        <v>2938</v>
      </c>
      <c r="AB514" s="1" t="s">
        <v>2183</v>
      </c>
    </row>
    <row r="515" spans="1:28" ht="11.25" customHeight="1">
      <c r="A515" s="233">
        <v>41134</v>
      </c>
      <c r="B515" s="1" t="s">
        <v>2946</v>
      </c>
      <c r="C515" s="1" t="s">
        <v>2184</v>
      </c>
      <c r="D515" s="1" t="s">
        <v>28</v>
      </c>
      <c r="E515" s="1">
        <v>6800</v>
      </c>
      <c r="F515" s="5">
        <v>2</v>
      </c>
      <c r="G515" s="1" t="s">
        <v>2947</v>
      </c>
      <c r="H515" s="234">
        <v>460</v>
      </c>
      <c r="I515" s="236">
        <f t="shared" si="32"/>
        <v>920</v>
      </c>
      <c r="J515" s="351"/>
      <c r="K515" s="241">
        <f>425*F515</f>
        <v>850</v>
      </c>
      <c r="L515" s="237">
        <v>41145</v>
      </c>
      <c r="M515" s="1" t="s">
        <v>2931</v>
      </c>
      <c r="N515" s="235">
        <f t="shared" ref="N515:N578" si="33">I515</f>
        <v>920</v>
      </c>
      <c r="O515" s="235">
        <f t="shared" ref="O515:O578" si="34">I515-N515</f>
        <v>0</v>
      </c>
      <c r="P515" s="238" t="s">
        <v>4918</v>
      </c>
      <c r="Q515" s="1" t="s">
        <v>1265</v>
      </c>
      <c r="R515" s="239" t="s">
        <v>2948</v>
      </c>
      <c r="S515" s="238" t="s">
        <v>2949</v>
      </c>
      <c r="T515" s="238" t="s">
        <v>801</v>
      </c>
      <c r="U515" s="238" t="s">
        <v>2950</v>
      </c>
      <c r="V515" s="238" t="s">
        <v>2951</v>
      </c>
      <c r="W515" s="236">
        <v>8352.08</v>
      </c>
      <c r="X515" s="233">
        <v>41145</v>
      </c>
      <c r="Y515" s="238" t="s">
        <v>2952</v>
      </c>
      <c r="AB515" s="1" t="s">
        <v>2183</v>
      </c>
    </row>
    <row r="516" spans="1:28" ht="11.25" customHeight="1">
      <c r="A516" s="233">
        <v>41134</v>
      </c>
      <c r="B516" s="1" t="s">
        <v>2946</v>
      </c>
      <c r="C516" s="1" t="s">
        <v>2184</v>
      </c>
      <c r="D516" s="1" t="s">
        <v>274</v>
      </c>
      <c r="E516" s="1" t="s">
        <v>2939</v>
      </c>
      <c r="F516" s="5">
        <v>4</v>
      </c>
      <c r="G516" s="1" t="s">
        <v>2947</v>
      </c>
      <c r="H516" s="234">
        <v>32</v>
      </c>
      <c r="I516" s="236">
        <f t="shared" si="32"/>
        <v>128</v>
      </c>
      <c r="J516" s="351">
        <v>32</v>
      </c>
      <c r="K516" s="241">
        <f>32*F516</f>
        <v>128</v>
      </c>
      <c r="L516" s="237">
        <v>41145</v>
      </c>
      <c r="M516" s="1" t="s">
        <v>2931</v>
      </c>
      <c r="N516" s="235">
        <f t="shared" si="33"/>
        <v>128</v>
      </c>
      <c r="O516" s="235">
        <f t="shared" si="34"/>
        <v>0</v>
      </c>
      <c r="P516" s="238" t="s">
        <v>4918</v>
      </c>
      <c r="Q516" s="1" t="s">
        <v>2953</v>
      </c>
      <c r="R516" s="239" t="s">
        <v>2948</v>
      </c>
      <c r="S516" s="238" t="s">
        <v>2949</v>
      </c>
      <c r="T516" s="238" t="s">
        <v>801</v>
      </c>
      <c r="U516" s="238" t="s">
        <v>2950</v>
      </c>
      <c r="V516" s="238" t="s">
        <v>2954</v>
      </c>
      <c r="W516" s="236">
        <v>11631.8</v>
      </c>
      <c r="X516" s="233">
        <v>41145</v>
      </c>
      <c r="Y516" s="238" t="s">
        <v>2952</v>
      </c>
      <c r="AB516" s="1" t="s">
        <v>2183</v>
      </c>
    </row>
    <row r="517" spans="1:28" ht="11.25" customHeight="1">
      <c r="A517" s="233">
        <v>41134</v>
      </c>
      <c r="B517" s="1" t="s">
        <v>2946</v>
      </c>
      <c r="C517" s="1" t="s">
        <v>2184</v>
      </c>
      <c r="D517" s="1" t="s">
        <v>233</v>
      </c>
      <c r="E517" s="1" t="s">
        <v>2943</v>
      </c>
      <c r="F517" s="5">
        <v>4</v>
      </c>
      <c r="G517" s="1" t="s">
        <v>232</v>
      </c>
      <c r="H517" s="234">
        <v>5.52</v>
      </c>
      <c r="I517" s="236">
        <f t="shared" si="32"/>
        <v>22.08</v>
      </c>
      <c r="J517" s="351">
        <v>5.05</v>
      </c>
      <c r="K517" s="241">
        <f>5.05*F517</f>
        <v>20.2</v>
      </c>
      <c r="L517" s="237">
        <v>41145</v>
      </c>
      <c r="M517" s="1" t="s">
        <v>2931</v>
      </c>
      <c r="N517" s="235">
        <f t="shared" si="33"/>
        <v>22.08</v>
      </c>
      <c r="O517" s="235">
        <f t="shared" si="34"/>
        <v>0</v>
      </c>
      <c r="P517" s="238" t="s">
        <v>4918</v>
      </c>
      <c r="Q517" s="1" t="s">
        <v>2953</v>
      </c>
      <c r="R517" s="239" t="s">
        <v>2948</v>
      </c>
      <c r="S517" s="238" t="s">
        <v>2949</v>
      </c>
      <c r="T517" s="238" t="s">
        <v>801</v>
      </c>
      <c r="U517" s="238" t="s">
        <v>2950</v>
      </c>
      <c r="V517" s="238" t="s">
        <v>2951</v>
      </c>
      <c r="W517" s="236">
        <v>8352.08</v>
      </c>
      <c r="X517" s="233">
        <v>41145</v>
      </c>
      <c r="Y517" s="238" t="s">
        <v>2952</v>
      </c>
      <c r="AB517" s="1" t="s">
        <v>2183</v>
      </c>
    </row>
    <row r="518" spans="1:28" ht="11.25" customHeight="1">
      <c r="A518" s="233">
        <v>41134</v>
      </c>
      <c r="B518" s="1" t="s">
        <v>2946</v>
      </c>
      <c r="C518" s="1" t="s">
        <v>2184</v>
      </c>
      <c r="D518" s="1" t="s">
        <v>264</v>
      </c>
      <c r="E518" s="1">
        <v>501</v>
      </c>
      <c r="F518" s="5">
        <v>4</v>
      </c>
      <c r="G518" s="1" t="s">
        <v>2101</v>
      </c>
      <c r="H518" s="234">
        <v>1.45</v>
      </c>
      <c r="I518" s="236">
        <f t="shared" si="32"/>
        <v>5.8</v>
      </c>
      <c r="J518" s="351">
        <v>1.4</v>
      </c>
      <c r="K518" s="241">
        <f>1.4*F518</f>
        <v>5.6</v>
      </c>
      <c r="L518" s="237">
        <v>41145</v>
      </c>
      <c r="M518" s="1" t="s">
        <v>2092</v>
      </c>
      <c r="N518" s="235">
        <f t="shared" si="33"/>
        <v>5.8</v>
      </c>
      <c r="O518" s="235">
        <f t="shared" si="34"/>
        <v>0</v>
      </c>
      <c r="P518" s="238" t="s">
        <v>4918</v>
      </c>
      <c r="Q518" s="1" t="s">
        <v>2641</v>
      </c>
      <c r="R518" s="239" t="s">
        <v>2642</v>
      </c>
      <c r="S518" s="238" t="s">
        <v>2643</v>
      </c>
      <c r="T518" s="238" t="s">
        <v>801</v>
      </c>
      <c r="U518" s="238" t="s">
        <v>2955</v>
      </c>
      <c r="V518" s="238" t="s">
        <v>2647</v>
      </c>
      <c r="W518" s="236">
        <v>11631.8</v>
      </c>
      <c r="X518" s="233">
        <v>41145</v>
      </c>
      <c r="Y518" s="238" t="s">
        <v>2646</v>
      </c>
      <c r="AB518" s="1" t="s">
        <v>2551</v>
      </c>
    </row>
    <row r="519" spans="1:28" ht="11.25" customHeight="1">
      <c r="A519" s="233">
        <v>41134</v>
      </c>
      <c r="B519" s="1" t="s">
        <v>2186</v>
      </c>
      <c r="C519" s="1" t="s">
        <v>2095</v>
      </c>
      <c r="D519" s="1" t="s">
        <v>307</v>
      </c>
      <c r="E519" s="1">
        <v>1270</v>
      </c>
      <c r="F519" s="5">
        <v>10</v>
      </c>
      <c r="G519" s="1" t="s">
        <v>240</v>
      </c>
      <c r="H519" s="234">
        <v>4.4400000000000004</v>
      </c>
      <c r="I519" s="236">
        <f t="shared" si="32"/>
        <v>44.400000000000006</v>
      </c>
      <c r="J519" s="351"/>
      <c r="K519" s="241">
        <f>4.1*F519</f>
        <v>41</v>
      </c>
      <c r="L519" s="237">
        <v>41145</v>
      </c>
      <c r="M519" s="1" t="s">
        <v>2092</v>
      </c>
      <c r="N519" s="235">
        <f t="shared" si="33"/>
        <v>44.400000000000006</v>
      </c>
      <c r="O519" s="235">
        <f t="shared" si="34"/>
        <v>0</v>
      </c>
      <c r="P519" s="238" t="s">
        <v>4918</v>
      </c>
      <c r="Q519" s="1" t="s">
        <v>2641</v>
      </c>
      <c r="R519" s="239" t="s">
        <v>2642</v>
      </c>
      <c r="S519" s="238" t="s">
        <v>2643</v>
      </c>
      <c r="T519" s="238" t="s">
        <v>801</v>
      </c>
      <c r="U519" s="238" t="s">
        <v>2955</v>
      </c>
      <c r="V519" s="238" t="s">
        <v>2647</v>
      </c>
      <c r="W519" s="236">
        <v>11631.8</v>
      </c>
      <c r="X519" s="233">
        <v>41145</v>
      </c>
      <c r="Y519" s="238" t="s">
        <v>2646</v>
      </c>
      <c r="AB519" s="1" t="s">
        <v>2551</v>
      </c>
    </row>
    <row r="520" spans="1:28" ht="11.25" customHeight="1">
      <c r="A520" s="233">
        <v>41134</v>
      </c>
      <c r="B520" s="1" t="s">
        <v>2186</v>
      </c>
      <c r="C520" s="1" t="s">
        <v>2095</v>
      </c>
      <c r="D520" s="1" t="s">
        <v>1219</v>
      </c>
      <c r="E520" s="1" t="s">
        <v>2533</v>
      </c>
      <c r="F520" s="5">
        <v>10</v>
      </c>
      <c r="G520" s="1" t="s">
        <v>2420</v>
      </c>
      <c r="H520" s="234">
        <v>13.4</v>
      </c>
      <c r="I520" s="236">
        <f t="shared" si="32"/>
        <v>134</v>
      </c>
      <c r="J520" s="351">
        <v>13</v>
      </c>
      <c r="K520" s="250">
        <f>13*F520</f>
        <v>130</v>
      </c>
      <c r="L520" s="237">
        <v>41145</v>
      </c>
      <c r="M520" s="1" t="s">
        <v>2092</v>
      </c>
      <c r="N520" s="235">
        <f t="shared" si="33"/>
        <v>134</v>
      </c>
      <c r="O520" s="235">
        <f t="shared" si="34"/>
        <v>0</v>
      </c>
      <c r="P520" s="238" t="s">
        <v>4918</v>
      </c>
      <c r="Q520" s="1" t="s">
        <v>2641</v>
      </c>
      <c r="R520" s="239" t="s">
        <v>2642</v>
      </c>
      <c r="S520" s="238" t="s">
        <v>2643</v>
      </c>
      <c r="T520" s="238" t="s">
        <v>801</v>
      </c>
      <c r="U520" s="238" t="s">
        <v>2955</v>
      </c>
      <c r="V520" s="238" t="s">
        <v>2647</v>
      </c>
      <c r="W520" s="236">
        <v>11631.8</v>
      </c>
      <c r="X520" s="233">
        <v>41145</v>
      </c>
      <c r="Y520" s="238" t="s">
        <v>2646</v>
      </c>
      <c r="AB520" s="1" t="s">
        <v>2551</v>
      </c>
    </row>
    <row r="521" spans="1:28" ht="11.25" customHeight="1">
      <c r="A521" s="233">
        <v>41134</v>
      </c>
      <c r="B521" s="1" t="s">
        <v>2698</v>
      </c>
      <c r="C521" s="1" t="s">
        <v>2095</v>
      </c>
      <c r="D521" s="5" t="s">
        <v>2026</v>
      </c>
      <c r="E521" s="1" t="s">
        <v>2513</v>
      </c>
      <c r="F521" s="5">
        <v>50</v>
      </c>
      <c r="G521" s="1" t="s">
        <v>5002</v>
      </c>
      <c r="H521" s="234">
        <v>2</v>
      </c>
      <c r="I521" s="236">
        <f t="shared" si="32"/>
        <v>100</v>
      </c>
      <c r="J521" s="351">
        <v>1.46</v>
      </c>
      <c r="K521" s="241">
        <f>1.46*F521</f>
        <v>73</v>
      </c>
      <c r="L521" s="237">
        <v>41127</v>
      </c>
      <c r="M521" s="1" t="s">
        <v>2092</v>
      </c>
      <c r="N521" s="235">
        <f t="shared" si="33"/>
        <v>100</v>
      </c>
      <c r="O521" s="235">
        <f t="shared" si="34"/>
        <v>0</v>
      </c>
      <c r="P521" s="238" t="s">
        <v>4918</v>
      </c>
      <c r="Q521" s="1" t="s">
        <v>1875</v>
      </c>
      <c r="R521" s="239" t="s">
        <v>2700</v>
      </c>
      <c r="S521" s="238" t="s">
        <v>2701</v>
      </c>
      <c r="T521" s="238" t="s">
        <v>2702</v>
      </c>
      <c r="U521" s="238" t="s">
        <v>2703</v>
      </c>
      <c r="V521" s="238" t="s">
        <v>2704</v>
      </c>
      <c r="W521" s="236">
        <v>1370</v>
      </c>
      <c r="X521" s="233">
        <v>41141</v>
      </c>
      <c r="Y521" s="255">
        <v>23155078476</v>
      </c>
      <c r="AB521" s="1" t="s">
        <v>2094</v>
      </c>
    </row>
    <row r="522" spans="1:28" ht="11.25" customHeight="1">
      <c r="A522" s="233">
        <v>41134</v>
      </c>
      <c r="B522" s="1" t="s">
        <v>2698</v>
      </c>
      <c r="C522" s="1" t="s">
        <v>2095</v>
      </c>
      <c r="D522" s="1" t="s">
        <v>250</v>
      </c>
      <c r="E522" s="1">
        <v>1427</v>
      </c>
      <c r="F522" s="5">
        <v>9</v>
      </c>
      <c r="G522" s="1" t="s">
        <v>2420</v>
      </c>
      <c r="H522" s="234">
        <v>120</v>
      </c>
      <c r="I522" s="236">
        <f t="shared" si="32"/>
        <v>1080</v>
      </c>
      <c r="J522" s="351"/>
      <c r="K522" s="241">
        <f>83*F522</f>
        <v>747</v>
      </c>
      <c r="L522" s="237">
        <v>41127</v>
      </c>
      <c r="M522" s="1" t="s">
        <v>2092</v>
      </c>
      <c r="N522" s="235">
        <f t="shared" si="33"/>
        <v>1080</v>
      </c>
      <c r="O522" s="235">
        <f t="shared" si="34"/>
        <v>0</v>
      </c>
      <c r="P522" s="238" t="s">
        <v>4918</v>
      </c>
      <c r="Q522" s="1" t="s">
        <v>1875</v>
      </c>
      <c r="R522" s="239" t="s">
        <v>2700</v>
      </c>
      <c r="S522" s="238" t="s">
        <v>2701</v>
      </c>
      <c r="T522" s="238" t="s">
        <v>2702</v>
      </c>
      <c r="U522" s="238" t="s">
        <v>2703</v>
      </c>
      <c r="V522" s="238" t="s">
        <v>2704</v>
      </c>
      <c r="W522" s="236">
        <v>1370</v>
      </c>
      <c r="X522" s="233">
        <v>41141</v>
      </c>
      <c r="Y522" s="255">
        <v>23155078476</v>
      </c>
      <c r="AB522" s="1" t="s">
        <v>2094</v>
      </c>
    </row>
    <row r="523" spans="1:28" ht="11.25" customHeight="1">
      <c r="A523" s="233">
        <v>41135</v>
      </c>
      <c r="B523" s="1" t="s">
        <v>2733</v>
      </c>
      <c r="C523" s="1" t="s">
        <v>2095</v>
      </c>
      <c r="D523" s="1" t="s">
        <v>2041</v>
      </c>
      <c r="E523" s="1" t="s">
        <v>2956</v>
      </c>
      <c r="F523" s="5">
        <v>1</v>
      </c>
      <c r="G523" s="1" t="s">
        <v>2101</v>
      </c>
      <c r="H523" s="234">
        <v>2650</v>
      </c>
      <c r="I523" s="236">
        <f t="shared" si="32"/>
        <v>2650</v>
      </c>
      <c r="J523" s="351"/>
      <c r="K523" s="241">
        <f>1469.58*F523</f>
        <v>1469.58</v>
      </c>
      <c r="L523" s="237">
        <v>41150</v>
      </c>
      <c r="M523" s="1" t="s">
        <v>2092</v>
      </c>
      <c r="N523" s="235">
        <f t="shared" si="33"/>
        <v>2650</v>
      </c>
      <c r="O523" s="235">
        <f t="shared" si="34"/>
        <v>0</v>
      </c>
      <c r="P523" s="238" t="s">
        <v>4918</v>
      </c>
      <c r="Q523" s="1" t="s">
        <v>2230</v>
      </c>
      <c r="R523" s="239" t="s">
        <v>2097</v>
      </c>
      <c r="S523" s="238" t="s">
        <v>2957</v>
      </c>
      <c r="T523" s="238" t="s">
        <v>803</v>
      </c>
      <c r="V523" s="238" t="s">
        <v>2737</v>
      </c>
      <c r="W523" s="236">
        <v>4884.3999999999996</v>
      </c>
      <c r="X523" s="233">
        <v>41156</v>
      </c>
      <c r="Y523" s="255"/>
      <c r="AB523" s="1" t="s">
        <v>2551</v>
      </c>
    </row>
    <row r="524" spans="1:28" ht="11.25" customHeight="1">
      <c r="A524" s="233">
        <v>41135</v>
      </c>
      <c r="B524" s="1" t="s">
        <v>2958</v>
      </c>
      <c r="C524" s="1" t="s">
        <v>2095</v>
      </c>
      <c r="D524" s="1" t="s">
        <v>1224</v>
      </c>
      <c r="E524" s="1">
        <v>6004</v>
      </c>
      <c r="F524" s="5">
        <v>10</v>
      </c>
      <c r="G524" s="1" t="s">
        <v>2101</v>
      </c>
      <c r="H524" s="234">
        <v>45.2</v>
      </c>
      <c r="I524" s="236">
        <f t="shared" si="32"/>
        <v>452</v>
      </c>
      <c r="J524" s="351"/>
      <c r="K524" s="241">
        <f>39.5*F524</f>
        <v>395</v>
      </c>
      <c r="L524" s="237">
        <v>41135</v>
      </c>
      <c r="M524" s="1" t="s">
        <v>2412</v>
      </c>
      <c r="N524" s="235">
        <f t="shared" si="33"/>
        <v>452</v>
      </c>
      <c r="O524" s="235">
        <f t="shared" si="34"/>
        <v>0</v>
      </c>
      <c r="P524" s="238" t="s">
        <v>2097</v>
      </c>
      <c r="Q524" s="1" t="s">
        <v>2230</v>
      </c>
      <c r="R524" s="1" t="s">
        <v>2959</v>
      </c>
      <c r="S524" s="238" t="s">
        <v>35</v>
      </c>
      <c r="T524" s="265" t="s">
        <v>2960</v>
      </c>
      <c r="V524" s="238" t="s">
        <v>2961</v>
      </c>
      <c r="W524" s="236">
        <v>452</v>
      </c>
      <c r="X524" s="233">
        <v>41135</v>
      </c>
      <c r="Y524" s="255"/>
      <c r="AB524" s="1" t="s">
        <v>2551</v>
      </c>
    </row>
    <row r="525" spans="1:28" ht="11.25" customHeight="1">
      <c r="A525" s="233">
        <v>41135</v>
      </c>
      <c r="B525" s="1" t="s">
        <v>2589</v>
      </c>
      <c r="C525" s="1" t="s">
        <v>2095</v>
      </c>
      <c r="D525" s="1" t="s">
        <v>2024</v>
      </c>
      <c r="E525" s="1">
        <v>10434</v>
      </c>
      <c r="F525" s="5">
        <v>20</v>
      </c>
      <c r="G525" s="1" t="s">
        <v>2420</v>
      </c>
      <c r="H525" s="234">
        <v>15.6</v>
      </c>
      <c r="I525" s="236">
        <f t="shared" si="32"/>
        <v>312</v>
      </c>
      <c r="J525" s="351"/>
      <c r="K525" s="241">
        <f>14.28*F525</f>
        <v>285.59999999999997</v>
      </c>
      <c r="L525" s="237">
        <v>41169</v>
      </c>
      <c r="M525" s="1" t="s">
        <v>2349</v>
      </c>
      <c r="N525" s="235">
        <f t="shared" si="33"/>
        <v>312</v>
      </c>
      <c r="O525" s="235">
        <f t="shared" si="34"/>
        <v>0</v>
      </c>
      <c r="P525" s="238" t="s">
        <v>2962</v>
      </c>
      <c r="Q525" s="1" t="s">
        <v>2963</v>
      </c>
      <c r="R525" s="239" t="s">
        <v>2591</v>
      </c>
      <c r="S525" s="238" t="s">
        <v>2592</v>
      </c>
      <c r="T525" s="238" t="s">
        <v>775</v>
      </c>
      <c r="U525" s="238" t="s">
        <v>2964</v>
      </c>
      <c r="V525" s="238" t="s">
        <v>2512</v>
      </c>
      <c r="Y525" s="255"/>
      <c r="AA525" s="240" t="s">
        <v>2594</v>
      </c>
      <c r="AB525" s="1" t="s">
        <v>2551</v>
      </c>
    </row>
    <row r="526" spans="1:28" ht="11.25" customHeight="1">
      <c r="A526" s="233">
        <v>41135</v>
      </c>
      <c r="B526" s="1" t="s">
        <v>2589</v>
      </c>
      <c r="C526" s="1" t="s">
        <v>2095</v>
      </c>
      <c r="D526" s="1" t="s">
        <v>2024</v>
      </c>
      <c r="E526" s="1">
        <v>10434</v>
      </c>
      <c r="F526" s="5">
        <v>20</v>
      </c>
      <c r="G526" s="1" t="s">
        <v>2420</v>
      </c>
      <c r="H526" s="234">
        <v>15.6</v>
      </c>
      <c r="I526" s="236">
        <f t="shared" si="32"/>
        <v>312</v>
      </c>
      <c r="J526" s="351"/>
      <c r="K526" s="241">
        <f>14.28*F526</f>
        <v>285.59999999999997</v>
      </c>
      <c r="L526" s="237">
        <v>41169</v>
      </c>
      <c r="M526" s="1" t="s">
        <v>2349</v>
      </c>
      <c r="N526" s="235">
        <f t="shared" si="33"/>
        <v>312</v>
      </c>
      <c r="O526" s="235">
        <f t="shared" si="34"/>
        <v>0</v>
      </c>
      <c r="P526" s="238" t="s">
        <v>2962</v>
      </c>
      <c r="Q526" s="1" t="s">
        <v>2963</v>
      </c>
      <c r="R526" s="239" t="s">
        <v>2591</v>
      </c>
      <c r="S526" s="238" t="s">
        <v>2592</v>
      </c>
      <c r="T526" s="238" t="s">
        <v>775</v>
      </c>
      <c r="U526" s="238" t="s">
        <v>2964</v>
      </c>
      <c r="V526" s="238" t="s">
        <v>2512</v>
      </c>
      <c r="Y526" s="255"/>
      <c r="AA526" s="240" t="s">
        <v>2594</v>
      </c>
      <c r="AB526" s="1" t="s">
        <v>2551</v>
      </c>
    </row>
    <row r="527" spans="1:28" ht="11.25" customHeight="1">
      <c r="A527" s="233">
        <v>41135</v>
      </c>
      <c r="B527" s="1" t="s">
        <v>2965</v>
      </c>
      <c r="C527" s="1" t="s">
        <v>2095</v>
      </c>
      <c r="D527" s="1" t="s">
        <v>269</v>
      </c>
      <c r="E527" s="1" t="s">
        <v>2136</v>
      </c>
      <c r="F527" s="5">
        <v>200</v>
      </c>
      <c r="G527" s="1" t="s">
        <v>232</v>
      </c>
      <c r="H527" s="234">
        <v>2</v>
      </c>
      <c r="I527" s="236">
        <f t="shared" si="32"/>
        <v>400</v>
      </c>
      <c r="J527" s="352">
        <v>1.43</v>
      </c>
      <c r="K527" s="241">
        <f>1.43*200</f>
        <v>286</v>
      </c>
      <c r="L527" s="237">
        <v>41135</v>
      </c>
      <c r="M527" s="1" t="s">
        <v>2412</v>
      </c>
      <c r="N527" s="235">
        <f t="shared" si="33"/>
        <v>400</v>
      </c>
      <c r="O527" s="235">
        <f t="shared" si="34"/>
        <v>0</v>
      </c>
      <c r="P527" s="238" t="s">
        <v>2966</v>
      </c>
      <c r="Q527" s="1" t="s">
        <v>2230</v>
      </c>
      <c r="R527" s="239" t="s">
        <v>2967</v>
      </c>
      <c r="S527" s="238" t="s">
        <v>2968</v>
      </c>
      <c r="T527" s="238" t="s">
        <v>2969</v>
      </c>
      <c r="Y527" s="255"/>
      <c r="AB527" s="1" t="s">
        <v>2094</v>
      </c>
    </row>
    <row r="528" spans="1:28" ht="11.25" customHeight="1">
      <c r="A528" s="233">
        <v>41135</v>
      </c>
      <c r="B528" s="1" t="s">
        <v>2965</v>
      </c>
      <c r="C528" s="1" t="s">
        <v>2095</v>
      </c>
      <c r="D528" s="1" t="s">
        <v>269</v>
      </c>
      <c r="E528" s="1" t="s">
        <v>2136</v>
      </c>
      <c r="F528" s="5">
        <v>30</v>
      </c>
      <c r="G528" s="1" t="s">
        <v>232</v>
      </c>
      <c r="H528" s="234">
        <v>2</v>
      </c>
      <c r="I528" s="236">
        <f t="shared" ref="I528:I542" si="35">H528*F528</f>
        <v>60</v>
      </c>
      <c r="J528" s="352">
        <v>1.43</v>
      </c>
      <c r="K528" s="241">
        <f>1.43*F528</f>
        <v>42.9</v>
      </c>
      <c r="L528" s="237">
        <v>41135</v>
      </c>
      <c r="M528" s="1" t="s">
        <v>2412</v>
      </c>
      <c r="N528" s="235">
        <f t="shared" si="33"/>
        <v>60</v>
      </c>
      <c r="O528" s="235">
        <f t="shared" si="34"/>
        <v>0</v>
      </c>
      <c r="P528" s="238" t="s">
        <v>2966</v>
      </c>
      <c r="Q528" s="1" t="s">
        <v>2230</v>
      </c>
      <c r="R528" s="239" t="s">
        <v>2967</v>
      </c>
      <c r="S528" s="238" t="s">
        <v>2968</v>
      </c>
      <c r="T528" s="238" t="s">
        <v>2969</v>
      </c>
      <c r="Y528" s="255"/>
      <c r="AB528" s="1" t="s">
        <v>2094</v>
      </c>
    </row>
    <row r="529" spans="1:28" ht="11.25" customHeight="1">
      <c r="A529" s="233">
        <v>41135</v>
      </c>
      <c r="B529" s="1" t="s">
        <v>2965</v>
      </c>
      <c r="C529" s="1" t="s">
        <v>2095</v>
      </c>
      <c r="D529" s="1" t="s">
        <v>1216</v>
      </c>
      <c r="E529" s="1">
        <v>3200</v>
      </c>
      <c r="F529" s="5">
        <v>30</v>
      </c>
      <c r="G529" s="1" t="s">
        <v>2101</v>
      </c>
      <c r="H529" s="234">
        <v>34.6</v>
      </c>
      <c r="I529" s="236">
        <f t="shared" si="35"/>
        <v>1038</v>
      </c>
      <c r="J529" s="351">
        <v>26</v>
      </c>
      <c r="K529" s="241">
        <f>26*F529</f>
        <v>780</v>
      </c>
      <c r="L529" s="237">
        <v>41135</v>
      </c>
      <c r="M529" s="1" t="s">
        <v>2412</v>
      </c>
      <c r="N529" s="235">
        <f t="shared" si="33"/>
        <v>1038</v>
      </c>
      <c r="O529" s="235">
        <f t="shared" si="34"/>
        <v>0</v>
      </c>
      <c r="P529" s="238" t="s">
        <v>2966</v>
      </c>
      <c r="Q529" s="1" t="s">
        <v>2230</v>
      </c>
      <c r="R529" s="239" t="s">
        <v>2967</v>
      </c>
      <c r="S529" s="238" t="s">
        <v>2968</v>
      </c>
      <c r="T529" s="238" t="s">
        <v>2969</v>
      </c>
      <c r="Y529" s="255"/>
      <c r="AB529" s="1" t="s">
        <v>2094</v>
      </c>
    </row>
    <row r="530" spans="1:28" ht="11.25" customHeight="1">
      <c r="A530" s="233">
        <v>41135</v>
      </c>
      <c r="B530" s="1" t="s">
        <v>2965</v>
      </c>
      <c r="C530" s="1" t="s">
        <v>2095</v>
      </c>
      <c r="D530" s="1" t="s">
        <v>264</v>
      </c>
      <c r="E530" s="1" t="s">
        <v>2134</v>
      </c>
      <c r="F530" s="5">
        <v>30</v>
      </c>
      <c r="G530" s="1" t="s">
        <v>2101</v>
      </c>
      <c r="H530" s="234">
        <v>2.4</v>
      </c>
      <c r="I530" s="236">
        <f t="shared" si="35"/>
        <v>72</v>
      </c>
      <c r="J530" s="351">
        <v>1.92</v>
      </c>
      <c r="K530" s="241">
        <f>1.92*F530</f>
        <v>57.599999999999994</v>
      </c>
      <c r="L530" s="237">
        <v>41135</v>
      </c>
      <c r="M530" s="1" t="s">
        <v>2412</v>
      </c>
      <c r="N530" s="235">
        <f t="shared" si="33"/>
        <v>72</v>
      </c>
      <c r="O530" s="235">
        <f t="shared" si="34"/>
        <v>0</v>
      </c>
      <c r="P530" s="238" t="s">
        <v>2966</v>
      </c>
      <c r="Q530" s="1" t="s">
        <v>2230</v>
      </c>
      <c r="R530" s="239" t="s">
        <v>2967</v>
      </c>
      <c r="S530" s="238" t="s">
        <v>2968</v>
      </c>
      <c r="T530" s="238" t="s">
        <v>2969</v>
      </c>
      <c r="Y530" s="255"/>
      <c r="AB530" s="1" t="s">
        <v>2094</v>
      </c>
    </row>
    <row r="531" spans="1:28" ht="11.25" customHeight="1">
      <c r="A531" s="233">
        <v>41135</v>
      </c>
      <c r="B531" s="1" t="s">
        <v>2965</v>
      </c>
      <c r="C531" s="1" t="s">
        <v>2095</v>
      </c>
      <c r="D531" s="1" t="s">
        <v>355</v>
      </c>
      <c r="E531" s="1" t="s">
        <v>2419</v>
      </c>
      <c r="F531" s="5">
        <v>130</v>
      </c>
      <c r="G531" s="1" t="s">
        <v>2101</v>
      </c>
      <c r="H531" s="234">
        <v>16</v>
      </c>
      <c r="I531" s="236">
        <f t="shared" si="35"/>
        <v>2080</v>
      </c>
      <c r="J531" s="352">
        <v>12.74</v>
      </c>
      <c r="K531" s="241">
        <f>12.74*130</f>
        <v>1656.2</v>
      </c>
      <c r="L531" s="237">
        <v>41135</v>
      </c>
      <c r="M531" s="1" t="s">
        <v>2412</v>
      </c>
      <c r="N531" s="235">
        <f t="shared" si="33"/>
        <v>2080</v>
      </c>
      <c r="O531" s="235">
        <f t="shared" si="34"/>
        <v>0</v>
      </c>
      <c r="P531" s="238" t="s">
        <v>2966</v>
      </c>
      <c r="Q531" s="1" t="s">
        <v>2230</v>
      </c>
      <c r="R531" s="239" t="s">
        <v>2967</v>
      </c>
      <c r="S531" s="238" t="s">
        <v>2968</v>
      </c>
      <c r="T531" s="238" t="s">
        <v>2969</v>
      </c>
      <c r="Y531" s="255"/>
      <c r="AB531" s="1" t="s">
        <v>2094</v>
      </c>
    </row>
    <row r="532" spans="1:28" ht="11.25" customHeight="1">
      <c r="A532" s="233">
        <v>41135</v>
      </c>
      <c r="B532" s="1" t="s">
        <v>2965</v>
      </c>
      <c r="C532" s="1" t="s">
        <v>2095</v>
      </c>
      <c r="D532" s="5" t="s">
        <v>2026</v>
      </c>
      <c r="E532" s="1" t="s">
        <v>2513</v>
      </c>
      <c r="F532" s="5">
        <v>100</v>
      </c>
      <c r="G532" s="1" t="s">
        <v>5002</v>
      </c>
      <c r="H532" s="234">
        <v>2.4</v>
      </c>
      <c r="I532" s="236">
        <f t="shared" si="35"/>
        <v>240</v>
      </c>
      <c r="J532" s="351">
        <v>1.46</v>
      </c>
      <c r="K532" s="241">
        <f>1.46*F532</f>
        <v>146</v>
      </c>
      <c r="L532" s="237">
        <v>41135</v>
      </c>
      <c r="M532" s="1" t="s">
        <v>2412</v>
      </c>
      <c r="N532" s="235">
        <f t="shared" si="33"/>
        <v>240</v>
      </c>
      <c r="O532" s="235">
        <f t="shared" si="34"/>
        <v>0</v>
      </c>
      <c r="P532" s="238" t="s">
        <v>2966</v>
      </c>
      <c r="Q532" s="1" t="s">
        <v>2230</v>
      </c>
      <c r="R532" s="239" t="s">
        <v>2967</v>
      </c>
      <c r="S532" s="238" t="s">
        <v>2968</v>
      </c>
      <c r="T532" s="238" t="s">
        <v>2969</v>
      </c>
      <c r="Y532" s="255"/>
      <c r="AB532" s="1" t="s">
        <v>2094</v>
      </c>
    </row>
    <row r="533" spans="1:28" ht="11.25" customHeight="1">
      <c r="A533" s="233">
        <v>41135</v>
      </c>
      <c r="B533" s="1" t="s">
        <v>2970</v>
      </c>
      <c r="C533" s="1" t="s">
        <v>2971</v>
      </c>
      <c r="D533" s="1" t="s">
        <v>1909</v>
      </c>
      <c r="E533" s="1" t="s">
        <v>2972</v>
      </c>
      <c r="F533" s="5">
        <v>2</v>
      </c>
      <c r="G533" s="1" t="s">
        <v>2553</v>
      </c>
      <c r="H533" s="234">
        <v>62.4</v>
      </c>
      <c r="I533" s="236">
        <f t="shared" si="35"/>
        <v>124.8</v>
      </c>
      <c r="J533" s="351"/>
      <c r="K533" s="241">
        <f>52*F533</f>
        <v>104</v>
      </c>
      <c r="L533" s="237">
        <v>41135</v>
      </c>
      <c r="M533" s="1" t="s">
        <v>2662</v>
      </c>
      <c r="N533" s="235">
        <f t="shared" si="33"/>
        <v>124.8</v>
      </c>
      <c r="O533" s="235">
        <f t="shared" si="34"/>
        <v>0</v>
      </c>
      <c r="P533" s="238" t="s">
        <v>2097</v>
      </c>
      <c r="Q533" s="1" t="s">
        <v>2963</v>
      </c>
      <c r="R533" s="239" t="s">
        <v>2664</v>
      </c>
      <c r="S533" s="238" t="s">
        <v>2665</v>
      </c>
      <c r="T533" s="238" t="s">
        <v>2666</v>
      </c>
      <c r="U533" s="238" t="s">
        <v>37</v>
      </c>
      <c r="V533" s="238" t="s">
        <v>2512</v>
      </c>
      <c r="Y533" s="255"/>
      <c r="AB533" s="1" t="s">
        <v>2551</v>
      </c>
    </row>
    <row r="534" spans="1:28" ht="11.25" customHeight="1">
      <c r="A534" s="233">
        <v>41136</v>
      </c>
      <c r="B534" s="1" t="s">
        <v>2973</v>
      </c>
      <c r="C534" s="1" t="s">
        <v>2095</v>
      </c>
      <c r="D534" s="5" t="s">
        <v>2026</v>
      </c>
      <c r="E534" s="1" t="s">
        <v>2513</v>
      </c>
      <c r="F534" s="5">
        <v>200</v>
      </c>
      <c r="G534" s="1" t="s">
        <v>5002</v>
      </c>
      <c r="H534" s="234">
        <v>2.68</v>
      </c>
      <c r="I534" s="236">
        <f t="shared" si="35"/>
        <v>536</v>
      </c>
      <c r="J534" s="351">
        <v>1.46</v>
      </c>
      <c r="K534" s="241">
        <f>1.46*F534</f>
        <v>292</v>
      </c>
      <c r="L534" s="237">
        <v>41138</v>
      </c>
      <c r="M534" s="1" t="s">
        <v>302</v>
      </c>
      <c r="N534" s="235">
        <f t="shared" si="33"/>
        <v>536</v>
      </c>
      <c r="O534" s="235">
        <f t="shared" si="34"/>
        <v>0</v>
      </c>
      <c r="P534" s="238" t="s">
        <v>2974</v>
      </c>
      <c r="Q534" s="1" t="s">
        <v>2535</v>
      </c>
      <c r="R534" s="239" t="s">
        <v>2975</v>
      </c>
      <c r="S534" s="238" t="s">
        <v>450</v>
      </c>
      <c r="T534" s="238" t="s">
        <v>2976</v>
      </c>
      <c r="U534" s="238" t="s">
        <v>2977</v>
      </c>
      <c r="V534" s="238" t="s">
        <v>2978</v>
      </c>
      <c r="W534" s="236">
        <v>536</v>
      </c>
      <c r="X534" s="233">
        <v>41138</v>
      </c>
      <c r="Y534" s="255" t="s">
        <v>2097</v>
      </c>
      <c r="AA534" s="240" t="s">
        <v>2692</v>
      </c>
      <c r="AB534" s="1" t="s">
        <v>384</v>
      </c>
    </row>
    <row r="535" spans="1:28" ht="11.25" customHeight="1">
      <c r="A535" s="233">
        <v>41136</v>
      </c>
      <c r="B535" s="1" t="s">
        <v>2579</v>
      </c>
      <c r="C535" s="1" t="s">
        <v>2095</v>
      </c>
      <c r="D535" s="1" t="s">
        <v>1720</v>
      </c>
      <c r="E535" s="1">
        <v>8210</v>
      </c>
      <c r="F535" s="5">
        <v>19200</v>
      </c>
      <c r="G535" s="1" t="s">
        <v>2101</v>
      </c>
      <c r="H535" s="234">
        <v>3.68</v>
      </c>
      <c r="I535" s="236">
        <f t="shared" si="35"/>
        <v>70656</v>
      </c>
      <c r="J535" s="351"/>
      <c r="K535" s="241">
        <f>3.63*F535</f>
        <v>69696</v>
      </c>
      <c r="L535" s="237">
        <v>41136</v>
      </c>
      <c r="M535" s="1" t="s">
        <v>2092</v>
      </c>
      <c r="N535" s="235">
        <f t="shared" si="33"/>
        <v>70656</v>
      </c>
      <c r="O535" s="235">
        <f t="shared" si="34"/>
        <v>0</v>
      </c>
      <c r="P535" s="238" t="s">
        <v>2097</v>
      </c>
      <c r="Q535" s="1" t="s">
        <v>2694</v>
      </c>
      <c r="R535" s="239" t="s">
        <v>2624</v>
      </c>
      <c r="S535" s="238" t="s">
        <v>2625</v>
      </c>
      <c r="T535" s="238" t="s">
        <v>2626</v>
      </c>
      <c r="U535" s="238" t="s">
        <v>2979</v>
      </c>
      <c r="V535" s="238" t="s">
        <v>2980</v>
      </c>
      <c r="W535" s="236" t="s">
        <v>2981</v>
      </c>
      <c r="X535" s="233">
        <v>41148</v>
      </c>
      <c r="Y535" s="255"/>
      <c r="AB535" s="1" t="s">
        <v>2551</v>
      </c>
    </row>
    <row r="536" spans="1:28" ht="11.25" customHeight="1">
      <c r="A536" s="233">
        <v>41136</v>
      </c>
      <c r="B536" s="1" t="s">
        <v>2579</v>
      </c>
      <c r="C536" s="1" t="s">
        <v>2095</v>
      </c>
      <c r="D536" s="1" t="s">
        <v>1216</v>
      </c>
      <c r="E536" s="1">
        <v>3200</v>
      </c>
      <c r="F536" s="5">
        <v>70</v>
      </c>
      <c r="G536" s="1" t="s">
        <v>230</v>
      </c>
      <c r="H536" s="234">
        <v>27</v>
      </c>
      <c r="I536" s="236">
        <f t="shared" si="35"/>
        <v>1890</v>
      </c>
      <c r="J536" s="351">
        <v>26</v>
      </c>
      <c r="K536" s="241">
        <f>26*F536</f>
        <v>1820</v>
      </c>
      <c r="L536" s="237">
        <v>41136</v>
      </c>
      <c r="M536" s="1" t="s">
        <v>2092</v>
      </c>
      <c r="N536" s="235">
        <f t="shared" si="33"/>
        <v>1890</v>
      </c>
      <c r="O536" s="235">
        <f t="shared" si="34"/>
        <v>0</v>
      </c>
      <c r="P536" s="238" t="s">
        <v>2097</v>
      </c>
      <c r="Q536" s="1" t="s">
        <v>1262</v>
      </c>
      <c r="R536" s="239" t="s">
        <v>2624</v>
      </c>
      <c r="S536" s="238" t="s">
        <v>2625</v>
      </c>
      <c r="T536" s="238" t="s">
        <v>2626</v>
      </c>
      <c r="U536" s="238" t="s">
        <v>2979</v>
      </c>
      <c r="V536" s="238" t="s">
        <v>2833</v>
      </c>
      <c r="W536" s="236">
        <v>4132.3</v>
      </c>
      <c r="X536" s="233">
        <v>41148</v>
      </c>
      <c r="Y536" s="255"/>
      <c r="AB536" s="1" t="s">
        <v>2551</v>
      </c>
    </row>
    <row r="537" spans="1:28" ht="11.25" customHeight="1">
      <c r="A537" s="233">
        <v>41136</v>
      </c>
      <c r="B537" s="1" t="s">
        <v>2579</v>
      </c>
      <c r="C537" s="1" t="s">
        <v>2095</v>
      </c>
      <c r="D537" s="1" t="s">
        <v>348</v>
      </c>
      <c r="E537" s="1">
        <v>3700</v>
      </c>
      <c r="F537" s="5">
        <v>70</v>
      </c>
      <c r="G537" s="1" t="s">
        <v>230</v>
      </c>
      <c r="H537" s="234">
        <v>3.42</v>
      </c>
      <c r="I537" s="236">
        <f t="shared" si="35"/>
        <v>239.4</v>
      </c>
      <c r="J537" s="351">
        <v>3.3</v>
      </c>
      <c r="K537" s="241">
        <f>3.3*F537</f>
        <v>231</v>
      </c>
      <c r="L537" s="237">
        <v>41136</v>
      </c>
      <c r="M537" s="1" t="s">
        <v>2092</v>
      </c>
      <c r="N537" s="235">
        <f t="shared" si="33"/>
        <v>239.4</v>
      </c>
      <c r="O537" s="235">
        <f t="shared" si="34"/>
        <v>0</v>
      </c>
      <c r="P537" s="238" t="s">
        <v>2097</v>
      </c>
      <c r="Q537" s="1" t="s">
        <v>2694</v>
      </c>
      <c r="R537" s="239" t="s">
        <v>2624</v>
      </c>
      <c r="S537" s="238" t="s">
        <v>2625</v>
      </c>
      <c r="T537" s="238" t="s">
        <v>2626</v>
      </c>
      <c r="U537" s="238" t="s">
        <v>2979</v>
      </c>
      <c r="V537" s="238" t="s">
        <v>2833</v>
      </c>
      <c r="W537" s="236">
        <v>4132.3</v>
      </c>
      <c r="X537" s="233">
        <v>41148</v>
      </c>
      <c r="Y537" s="255"/>
      <c r="AB537" s="1" t="s">
        <v>2551</v>
      </c>
    </row>
    <row r="538" spans="1:28" ht="11.25" customHeight="1">
      <c r="A538" s="233">
        <v>41136</v>
      </c>
      <c r="B538" s="1" t="s">
        <v>2579</v>
      </c>
      <c r="C538" s="1" t="s">
        <v>2095</v>
      </c>
      <c r="D538" s="1" t="s">
        <v>1947</v>
      </c>
      <c r="E538" s="1">
        <v>1110</v>
      </c>
      <c r="F538" s="5">
        <v>100</v>
      </c>
      <c r="G538" s="1" t="s">
        <v>240</v>
      </c>
      <c r="H538" s="234">
        <v>0.8</v>
      </c>
      <c r="I538" s="236">
        <f t="shared" si="35"/>
        <v>80</v>
      </c>
      <c r="J538" s="351"/>
      <c r="K538" s="241">
        <f>0.77*F538</f>
        <v>77</v>
      </c>
      <c r="L538" s="237">
        <v>41136</v>
      </c>
      <c r="M538" s="1" t="s">
        <v>2092</v>
      </c>
      <c r="N538" s="235">
        <f t="shared" si="33"/>
        <v>80</v>
      </c>
      <c r="O538" s="235">
        <f t="shared" si="34"/>
        <v>0</v>
      </c>
      <c r="P538" s="238" t="s">
        <v>2097</v>
      </c>
      <c r="Q538" s="1" t="s">
        <v>2694</v>
      </c>
      <c r="R538" s="239" t="s">
        <v>2624</v>
      </c>
      <c r="S538" s="238" t="s">
        <v>2625</v>
      </c>
      <c r="T538" s="238" t="s">
        <v>2626</v>
      </c>
      <c r="U538" s="238" t="s">
        <v>2979</v>
      </c>
      <c r="V538" s="238" t="s">
        <v>2833</v>
      </c>
      <c r="W538" s="236">
        <v>4132.3</v>
      </c>
      <c r="X538" s="233">
        <v>41148</v>
      </c>
      <c r="Y538" s="255"/>
      <c r="AB538" s="1" t="s">
        <v>2551</v>
      </c>
    </row>
    <row r="539" spans="1:28" ht="11.25" customHeight="1">
      <c r="A539" s="233">
        <v>41136</v>
      </c>
      <c r="B539" s="1" t="s">
        <v>2579</v>
      </c>
      <c r="C539" s="1" t="s">
        <v>2095</v>
      </c>
      <c r="D539" s="1" t="s">
        <v>1225</v>
      </c>
      <c r="E539" s="1" t="s">
        <v>2982</v>
      </c>
      <c r="F539" s="5">
        <v>100</v>
      </c>
      <c r="G539" s="1" t="s">
        <v>2101</v>
      </c>
      <c r="H539" s="234">
        <v>4.08</v>
      </c>
      <c r="I539" s="236">
        <f t="shared" si="35"/>
        <v>408</v>
      </c>
      <c r="J539" s="351"/>
      <c r="K539" s="241">
        <f>4.02*F539</f>
        <v>401.99999999999994</v>
      </c>
      <c r="L539" s="237">
        <v>41136</v>
      </c>
      <c r="M539" s="1" t="s">
        <v>2092</v>
      </c>
      <c r="N539" s="235">
        <f t="shared" si="33"/>
        <v>408</v>
      </c>
      <c r="O539" s="235">
        <f t="shared" si="34"/>
        <v>0</v>
      </c>
      <c r="P539" s="238" t="s">
        <v>2097</v>
      </c>
      <c r="Q539" s="1" t="s">
        <v>2694</v>
      </c>
      <c r="R539" s="239" t="s">
        <v>2624</v>
      </c>
      <c r="S539" s="238" t="s">
        <v>2625</v>
      </c>
      <c r="T539" s="238" t="s">
        <v>2626</v>
      </c>
      <c r="U539" s="238" t="s">
        <v>2979</v>
      </c>
      <c r="V539" s="238" t="s">
        <v>2833</v>
      </c>
      <c r="W539" s="236">
        <v>4132.3</v>
      </c>
      <c r="X539" s="233">
        <v>41148</v>
      </c>
      <c r="Y539" s="255"/>
      <c r="AB539" s="1" t="s">
        <v>2551</v>
      </c>
    </row>
    <row r="540" spans="1:28" ht="11.25" customHeight="1">
      <c r="A540" s="233">
        <v>41137</v>
      </c>
      <c r="B540" s="1" t="s">
        <v>2983</v>
      </c>
      <c r="C540" s="1" t="s">
        <v>2095</v>
      </c>
      <c r="D540" s="1" t="s">
        <v>233</v>
      </c>
      <c r="E540" s="1" t="s">
        <v>2123</v>
      </c>
      <c r="F540" s="5">
        <v>150</v>
      </c>
      <c r="G540" s="1" t="s">
        <v>232</v>
      </c>
      <c r="H540" s="234">
        <v>5.28</v>
      </c>
      <c r="I540" s="236">
        <f t="shared" si="35"/>
        <v>792</v>
      </c>
      <c r="J540" s="351">
        <v>5.0999999999999996</v>
      </c>
      <c r="K540" s="241">
        <f>5.1*120+4.78*30</f>
        <v>755.4</v>
      </c>
      <c r="L540" s="237" t="s">
        <v>5074</v>
      </c>
      <c r="M540" s="1" t="s">
        <v>5074</v>
      </c>
      <c r="N540" s="235">
        <f t="shared" si="33"/>
        <v>792</v>
      </c>
      <c r="O540" s="235">
        <f t="shared" si="34"/>
        <v>0</v>
      </c>
      <c r="P540" s="238" t="s">
        <v>4918</v>
      </c>
      <c r="Q540" s="1" t="s">
        <v>2963</v>
      </c>
      <c r="R540" s="239" t="s">
        <v>2808</v>
      </c>
      <c r="S540" s="238" t="s">
        <v>2809</v>
      </c>
      <c r="T540" s="238" t="s">
        <v>2810</v>
      </c>
      <c r="U540" s="238" t="s">
        <v>2984</v>
      </c>
      <c r="V540" s="238" t="s">
        <v>5679</v>
      </c>
      <c r="W540" s="236" t="s">
        <v>5679</v>
      </c>
      <c r="X540" s="233" t="s">
        <v>5679</v>
      </c>
      <c r="Y540" s="255"/>
      <c r="AB540" s="1" t="s">
        <v>2551</v>
      </c>
    </row>
    <row r="541" spans="1:28" ht="11.25" customHeight="1">
      <c r="A541" s="233">
        <v>41138</v>
      </c>
      <c r="B541" s="1" t="s">
        <v>2589</v>
      </c>
      <c r="C541" s="1" t="s">
        <v>2095</v>
      </c>
      <c r="D541" s="1" t="s">
        <v>307</v>
      </c>
      <c r="E541" s="1">
        <v>1270</v>
      </c>
      <c r="F541" s="5">
        <v>100</v>
      </c>
      <c r="G541" s="1" t="s">
        <v>240</v>
      </c>
      <c r="H541" s="234">
        <v>4.3</v>
      </c>
      <c r="I541" s="235">
        <f t="shared" si="35"/>
        <v>430</v>
      </c>
      <c r="J541" s="351"/>
      <c r="K541" s="241">
        <f>4.14*F541</f>
        <v>413.99999999999994</v>
      </c>
      <c r="L541" s="237">
        <v>41183</v>
      </c>
      <c r="M541" s="1" t="s">
        <v>2349</v>
      </c>
      <c r="N541" s="235">
        <f t="shared" si="33"/>
        <v>430</v>
      </c>
      <c r="O541" s="235">
        <f t="shared" si="34"/>
        <v>0</v>
      </c>
      <c r="P541" s="238" t="s">
        <v>2985</v>
      </c>
      <c r="Q541" s="1" t="s">
        <v>1875</v>
      </c>
      <c r="R541" s="239" t="s">
        <v>2591</v>
      </c>
      <c r="S541" s="238" t="s">
        <v>2592</v>
      </c>
      <c r="T541" s="238" t="s">
        <v>775</v>
      </c>
      <c r="V541" s="238" t="s">
        <v>2512</v>
      </c>
      <c r="Y541" s="255"/>
      <c r="AA541" s="240" t="s">
        <v>2594</v>
      </c>
      <c r="AB541" s="1" t="s">
        <v>2551</v>
      </c>
    </row>
    <row r="542" spans="1:28" ht="11.25" customHeight="1">
      <c r="A542" s="233">
        <v>41141</v>
      </c>
      <c r="B542" s="5" t="s">
        <v>1296</v>
      </c>
      <c r="C542" s="1" t="s">
        <v>2095</v>
      </c>
      <c r="D542" s="1" t="s">
        <v>1720</v>
      </c>
      <c r="E542" s="1">
        <v>8210</v>
      </c>
      <c r="F542" s="5">
        <v>50</v>
      </c>
      <c r="G542" s="1" t="s">
        <v>2101</v>
      </c>
      <c r="H542" s="234">
        <v>6</v>
      </c>
      <c r="I542" s="235">
        <f t="shared" si="35"/>
        <v>300</v>
      </c>
      <c r="J542" s="351"/>
      <c r="K542" s="241">
        <f>3.78*F542</f>
        <v>189</v>
      </c>
      <c r="L542" s="237">
        <v>41189</v>
      </c>
      <c r="M542" s="1" t="s">
        <v>2349</v>
      </c>
      <c r="N542" s="235">
        <f t="shared" si="33"/>
        <v>300</v>
      </c>
      <c r="O542" s="235">
        <f t="shared" si="34"/>
        <v>0</v>
      </c>
      <c r="P542" s="238" t="s">
        <v>2986</v>
      </c>
      <c r="Q542" s="1" t="s">
        <v>2987</v>
      </c>
      <c r="R542" s="239" t="s">
        <v>2988</v>
      </c>
      <c r="S542" s="238" t="s">
        <v>2989</v>
      </c>
      <c r="T542" s="238" t="s">
        <v>2990</v>
      </c>
      <c r="U542" s="238" t="s">
        <v>2991</v>
      </c>
      <c r="V542" s="238" t="s">
        <v>2512</v>
      </c>
      <c r="Y542" s="255"/>
      <c r="AB542" s="1" t="s">
        <v>2094</v>
      </c>
    </row>
    <row r="543" spans="1:28" ht="11.25" customHeight="1">
      <c r="A543" s="233">
        <v>41141</v>
      </c>
      <c r="B543" s="5" t="s">
        <v>1296</v>
      </c>
      <c r="C543" s="1" t="s">
        <v>2095</v>
      </c>
      <c r="D543" s="1" t="s">
        <v>1216</v>
      </c>
      <c r="E543" s="1">
        <v>3200</v>
      </c>
      <c r="F543" s="5">
        <v>5</v>
      </c>
      <c r="G543" s="1" t="s">
        <v>2101</v>
      </c>
      <c r="H543" s="234">
        <v>40.700000000000003</v>
      </c>
      <c r="I543" s="235">
        <f t="shared" ref="I543:I575" si="36">H543*F543</f>
        <v>203.5</v>
      </c>
      <c r="J543" s="351">
        <v>28.3</v>
      </c>
      <c r="K543" s="241">
        <f>28.3*F543</f>
        <v>141.5</v>
      </c>
      <c r="L543" s="237">
        <v>41189</v>
      </c>
      <c r="M543" s="1" t="s">
        <v>2349</v>
      </c>
      <c r="N543" s="235">
        <f t="shared" si="33"/>
        <v>203.5</v>
      </c>
      <c r="O543" s="235">
        <f t="shared" si="34"/>
        <v>0</v>
      </c>
      <c r="P543" s="238" t="s">
        <v>2986</v>
      </c>
      <c r="Q543" s="1" t="s">
        <v>1268</v>
      </c>
      <c r="R543" s="239" t="s">
        <v>2988</v>
      </c>
      <c r="S543" s="238" t="s">
        <v>2989</v>
      </c>
      <c r="T543" s="238" t="s">
        <v>2990</v>
      </c>
      <c r="U543" s="238" t="s">
        <v>2991</v>
      </c>
      <c r="V543" s="238" t="s">
        <v>2512</v>
      </c>
      <c r="Y543" s="255"/>
      <c r="AB543" s="1" t="s">
        <v>2094</v>
      </c>
    </row>
    <row r="544" spans="1:28" ht="11.25" customHeight="1">
      <c r="A544" s="233">
        <v>41141</v>
      </c>
      <c r="B544" s="5" t="s">
        <v>1296</v>
      </c>
      <c r="C544" s="1" t="s">
        <v>2095</v>
      </c>
      <c r="D544" s="1" t="s">
        <v>233</v>
      </c>
      <c r="E544" s="1" t="s">
        <v>2639</v>
      </c>
      <c r="F544" s="5">
        <v>105</v>
      </c>
      <c r="G544" s="1" t="s">
        <v>232</v>
      </c>
      <c r="H544" s="234">
        <v>2.6</v>
      </c>
      <c r="I544" s="236">
        <f t="shared" si="36"/>
        <v>273</v>
      </c>
      <c r="J544" s="352">
        <v>1.827</v>
      </c>
      <c r="K544" s="241">
        <f>1.827*70+1.7*35</f>
        <v>187.39</v>
      </c>
      <c r="L544" s="237">
        <v>41141</v>
      </c>
      <c r="M544" s="1" t="s">
        <v>2349</v>
      </c>
      <c r="N544" s="235">
        <f t="shared" si="33"/>
        <v>273</v>
      </c>
      <c r="O544" s="235">
        <f t="shared" si="34"/>
        <v>0</v>
      </c>
      <c r="P544" s="238" t="s">
        <v>2986</v>
      </c>
      <c r="Q544" s="1" t="s">
        <v>2987</v>
      </c>
      <c r="R544" s="239" t="s">
        <v>2988</v>
      </c>
      <c r="S544" s="238" t="s">
        <v>2989</v>
      </c>
      <c r="T544" s="238" t="s">
        <v>2990</v>
      </c>
      <c r="U544" s="238" t="s">
        <v>2991</v>
      </c>
      <c r="V544" s="238" t="s">
        <v>2512</v>
      </c>
      <c r="Y544" s="255"/>
      <c r="AB544" s="1" t="s">
        <v>2094</v>
      </c>
    </row>
    <row r="545" spans="1:28" ht="11.25" customHeight="1">
      <c r="A545" s="233">
        <v>41141</v>
      </c>
      <c r="B545" s="5" t="s">
        <v>1296</v>
      </c>
      <c r="C545" s="1" t="s">
        <v>2095</v>
      </c>
      <c r="D545" s="1" t="s">
        <v>348</v>
      </c>
      <c r="E545" s="1">
        <v>3700</v>
      </c>
      <c r="F545" s="5">
        <v>5</v>
      </c>
      <c r="G545" s="1" t="s">
        <v>230</v>
      </c>
      <c r="H545" s="234">
        <v>7.5</v>
      </c>
      <c r="I545" s="236">
        <f t="shared" si="36"/>
        <v>37.5</v>
      </c>
      <c r="J545" s="351">
        <v>3.3</v>
      </c>
      <c r="K545" s="241">
        <f>3.3*F545</f>
        <v>16.5</v>
      </c>
      <c r="L545" s="237">
        <v>41141</v>
      </c>
      <c r="M545" s="1" t="s">
        <v>2349</v>
      </c>
      <c r="N545" s="235">
        <f t="shared" si="33"/>
        <v>37.5</v>
      </c>
      <c r="O545" s="235">
        <f t="shared" si="34"/>
        <v>0</v>
      </c>
      <c r="P545" s="238" t="s">
        <v>2986</v>
      </c>
      <c r="Q545" s="1" t="s">
        <v>2987</v>
      </c>
      <c r="R545" s="239" t="s">
        <v>2988</v>
      </c>
      <c r="S545" s="238" t="s">
        <v>2989</v>
      </c>
      <c r="T545" s="238" t="s">
        <v>2990</v>
      </c>
      <c r="U545" s="238" t="s">
        <v>2991</v>
      </c>
      <c r="V545" s="238" t="s">
        <v>2512</v>
      </c>
      <c r="Y545" s="255"/>
      <c r="AB545" s="1" t="s">
        <v>2094</v>
      </c>
    </row>
    <row r="546" spans="1:28" ht="11.25" customHeight="1">
      <c r="A546" s="233">
        <v>41141</v>
      </c>
      <c r="B546" s="1" t="s">
        <v>2589</v>
      </c>
      <c r="C546" s="1" t="s">
        <v>2095</v>
      </c>
      <c r="D546" s="1" t="s">
        <v>828</v>
      </c>
      <c r="E546" s="1" t="s">
        <v>2814</v>
      </c>
      <c r="F546" s="5">
        <v>300</v>
      </c>
      <c r="G546" s="1" t="s">
        <v>2514</v>
      </c>
      <c r="H546" s="234">
        <v>5.6</v>
      </c>
      <c r="I546" s="235">
        <f t="shared" si="36"/>
        <v>1680</v>
      </c>
      <c r="J546" s="351"/>
      <c r="K546" s="241">
        <f>5*F546</f>
        <v>1500</v>
      </c>
      <c r="L546" s="237">
        <v>41183</v>
      </c>
      <c r="M546" s="1" t="s">
        <v>2349</v>
      </c>
      <c r="N546" s="235">
        <f t="shared" si="33"/>
        <v>1680</v>
      </c>
      <c r="O546" s="235">
        <f t="shared" si="34"/>
        <v>0</v>
      </c>
      <c r="P546" s="238" t="s">
        <v>2992</v>
      </c>
      <c r="Q546" s="1" t="s">
        <v>2993</v>
      </c>
      <c r="R546" s="239" t="s">
        <v>2591</v>
      </c>
      <c r="S546" s="238" t="s">
        <v>2592</v>
      </c>
      <c r="T546" s="238" t="s">
        <v>775</v>
      </c>
      <c r="U546" s="238" t="s">
        <v>2994</v>
      </c>
      <c r="V546" s="238" t="s">
        <v>2512</v>
      </c>
      <c r="Y546" s="255"/>
      <c r="AA546" s="240" t="s">
        <v>2594</v>
      </c>
      <c r="AB546" s="1" t="s">
        <v>2551</v>
      </c>
    </row>
    <row r="547" spans="1:28" ht="11.25" customHeight="1">
      <c r="A547" s="233">
        <v>41141</v>
      </c>
      <c r="B547" s="1" t="s">
        <v>2589</v>
      </c>
      <c r="C547" s="1" t="s">
        <v>2095</v>
      </c>
      <c r="D547" s="1" t="s">
        <v>2042</v>
      </c>
      <c r="E547" s="1" t="s">
        <v>2995</v>
      </c>
      <c r="F547" s="5">
        <v>5</v>
      </c>
      <c r="G547" s="1" t="s">
        <v>2514</v>
      </c>
      <c r="H547" s="234">
        <v>6.66</v>
      </c>
      <c r="I547" s="235">
        <f t="shared" si="36"/>
        <v>33.299999999999997</v>
      </c>
      <c r="J547" s="351">
        <v>4.78</v>
      </c>
      <c r="K547" s="241">
        <f>5*F547</f>
        <v>25</v>
      </c>
      <c r="L547" s="237">
        <v>41183</v>
      </c>
      <c r="M547" s="1" t="s">
        <v>2349</v>
      </c>
      <c r="N547" s="235">
        <f t="shared" si="33"/>
        <v>33.299999999999997</v>
      </c>
      <c r="O547" s="235">
        <f t="shared" si="34"/>
        <v>0</v>
      </c>
      <c r="P547" s="238" t="s">
        <v>2992</v>
      </c>
      <c r="Q547" s="1" t="s">
        <v>2993</v>
      </c>
      <c r="R547" s="239" t="s">
        <v>2591</v>
      </c>
      <c r="S547" s="238" t="s">
        <v>2592</v>
      </c>
      <c r="T547" s="238" t="s">
        <v>775</v>
      </c>
      <c r="U547" s="238" t="s">
        <v>2994</v>
      </c>
      <c r="V547" s="238" t="s">
        <v>2512</v>
      </c>
      <c r="Y547" s="255"/>
      <c r="AA547" s="240" t="s">
        <v>2594</v>
      </c>
      <c r="AB547" s="1" t="s">
        <v>2551</v>
      </c>
    </row>
    <row r="548" spans="1:28" ht="11.25" customHeight="1">
      <c r="A548" s="233">
        <v>41141</v>
      </c>
      <c r="B548" s="1" t="s">
        <v>2589</v>
      </c>
      <c r="C548" s="1" t="s">
        <v>2095</v>
      </c>
      <c r="D548" s="1" t="s">
        <v>307</v>
      </c>
      <c r="E548" s="1">
        <v>1270</v>
      </c>
      <c r="F548" s="5">
        <v>100</v>
      </c>
      <c r="G548" s="1" t="s">
        <v>2420</v>
      </c>
      <c r="H548" s="234">
        <v>4.3</v>
      </c>
      <c r="I548" s="236">
        <f t="shared" si="36"/>
        <v>430</v>
      </c>
      <c r="J548" s="351"/>
      <c r="K548" s="241">
        <f>4.14*F548</f>
        <v>413.99999999999994</v>
      </c>
      <c r="L548" s="237">
        <v>41215</v>
      </c>
      <c r="M548" s="1" t="s">
        <v>2349</v>
      </c>
      <c r="N548" s="235">
        <f t="shared" si="33"/>
        <v>430</v>
      </c>
      <c r="O548" s="235">
        <f t="shared" si="34"/>
        <v>0</v>
      </c>
      <c r="P548" s="238" t="s">
        <v>2992</v>
      </c>
      <c r="Q548" s="1" t="s">
        <v>2993</v>
      </c>
      <c r="R548" s="239" t="s">
        <v>2591</v>
      </c>
      <c r="S548" s="238" t="s">
        <v>2592</v>
      </c>
      <c r="T548" s="238" t="s">
        <v>775</v>
      </c>
      <c r="U548" s="238" t="s">
        <v>2994</v>
      </c>
      <c r="V548" s="238" t="s">
        <v>2512</v>
      </c>
      <c r="Y548" s="255"/>
      <c r="AA548" s="240" t="s">
        <v>2594</v>
      </c>
      <c r="AB548" s="1" t="s">
        <v>2551</v>
      </c>
    </row>
    <row r="549" spans="1:28" ht="11.25" customHeight="1">
      <c r="A549" s="233">
        <v>41141</v>
      </c>
      <c r="B549" s="1" t="s">
        <v>2996</v>
      </c>
      <c r="C549" s="1" t="s">
        <v>2095</v>
      </c>
      <c r="D549" s="1" t="s">
        <v>1880</v>
      </c>
      <c r="E549" s="1">
        <v>6006</v>
      </c>
      <c r="F549" s="5">
        <v>6</v>
      </c>
      <c r="G549" s="1" t="s">
        <v>2101</v>
      </c>
      <c r="H549" s="234">
        <v>50</v>
      </c>
      <c r="I549" s="236">
        <f t="shared" si="36"/>
        <v>300</v>
      </c>
      <c r="J549" s="351"/>
      <c r="K549" s="261">
        <f>46.53*F549</f>
        <v>279.18</v>
      </c>
      <c r="L549" s="237">
        <v>41152</v>
      </c>
      <c r="M549" s="1" t="s">
        <v>2349</v>
      </c>
      <c r="N549" s="235">
        <f t="shared" si="33"/>
        <v>300</v>
      </c>
      <c r="O549" s="235">
        <f t="shared" si="34"/>
        <v>0</v>
      </c>
      <c r="P549" s="238" t="s">
        <v>2997</v>
      </c>
      <c r="Q549" s="1" t="s">
        <v>2230</v>
      </c>
      <c r="R549" s="265" t="s">
        <v>68</v>
      </c>
      <c r="S549" s="265" t="s">
        <v>2998</v>
      </c>
      <c r="T549" s="238" t="s">
        <v>67</v>
      </c>
      <c r="U549" s="238" t="s">
        <v>6373</v>
      </c>
      <c r="V549" s="238" t="s">
        <v>2999</v>
      </c>
      <c r="Y549" s="255"/>
      <c r="Z549" s="255" t="s">
        <v>3000</v>
      </c>
      <c r="AB549" s="1" t="s">
        <v>3001</v>
      </c>
    </row>
    <row r="550" spans="1:28" ht="11.25" customHeight="1">
      <c r="A550" s="233">
        <v>41142</v>
      </c>
      <c r="B550" s="1" t="s">
        <v>3002</v>
      </c>
      <c r="C550" s="1" t="s">
        <v>3003</v>
      </c>
      <c r="D550" s="1" t="s">
        <v>3004</v>
      </c>
      <c r="E550" s="1">
        <v>9032</v>
      </c>
      <c r="F550" s="5">
        <v>50</v>
      </c>
      <c r="G550" s="1" t="s">
        <v>3005</v>
      </c>
      <c r="H550" s="234">
        <v>2.2999999999999998</v>
      </c>
      <c r="I550" s="236">
        <f t="shared" si="36"/>
        <v>114.99999999999999</v>
      </c>
      <c r="J550" s="351"/>
      <c r="K550" s="241">
        <f>1.49292*F550</f>
        <v>74.646000000000001</v>
      </c>
      <c r="L550" s="237">
        <v>41142</v>
      </c>
      <c r="M550" s="1" t="s">
        <v>3006</v>
      </c>
      <c r="N550" s="235">
        <f t="shared" si="33"/>
        <v>114.99999999999999</v>
      </c>
      <c r="O550" s="235">
        <f t="shared" si="34"/>
        <v>0</v>
      </c>
      <c r="P550" s="238" t="s">
        <v>3007</v>
      </c>
      <c r="Q550" s="1" t="s">
        <v>3008</v>
      </c>
      <c r="R550" s="239" t="s">
        <v>3009</v>
      </c>
      <c r="S550" s="238" t="s">
        <v>3010</v>
      </c>
      <c r="T550" s="238" t="s">
        <v>3011</v>
      </c>
      <c r="U550" s="238" t="s">
        <v>3012</v>
      </c>
      <c r="V550" s="238" t="s">
        <v>2999</v>
      </c>
      <c r="Y550" s="255"/>
      <c r="AB550" s="1" t="s">
        <v>3013</v>
      </c>
    </row>
    <row r="551" spans="1:28" ht="11.25" customHeight="1">
      <c r="A551" s="233">
        <v>41142</v>
      </c>
      <c r="B551" s="1" t="s">
        <v>3002</v>
      </c>
      <c r="C551" s="1" t="s">
        <v>3003</v>
      </c>
      <c r="D551" s="1" t="s">
        <v>3014</v>
      </c>
      <c r="E551" s="1" t="s">
        <v>3015</v>
      </c>
      <c r="F551" s="5">
        <v>3</v>
      </c>
      <c r="G551" s="1" t="s">
        <v>3016</v>
      </c>
      <c r="H551" s="234">
        <v>65</v>
      </c>
      <c r="I551" s="236">
        <f t="shared" si="36"/>
        <v>195</v>
      </c>
      <c r="J551" s="351"/>
      <c r="K551" s="241">
        <f>42.939*F551</f>
        <v>128.81700000000001</v>
      </c>
      <c r="L551" s="237">
        <v>41142</v>
      </c>
      <c r="M551" s="1" t="s">
        <v>3006</v>
      </c>
      <c r="N551" s="235">
        <f t="shared" si="33"/>
        <v>195</v>
      </c>
      <c r="O551" s="235">
        <f t="shared" si="34"/>
        <v>0</v>
      </c>
      <c r="P551" s="238" t="s">
        <v>3007</v>
      </c>
      <c r="Q551" s="1" t="s">
        <v>3008</v>
      </c>
      <c r="R551" s="239" t="s">
        <v>3009</v>
      </c>
      <c r="S551" s="238" t="s">
        <v>3010</v>
      </c>
      <c r="T551" s="238" t="s">
        <v>3011</v>
      </c>
      <c r="U551" s="238" t="s">
        <v>3012</v>
      </c>
      <c r="V551" s="238" t="s">
        <v>2999</v>
      </c>
      <c r="Y551" s="255"/>
      <c r="AB551" s="1" t="s">
        <v>3013</v>
      </c>
    </row>
    <row r="552" spans="1:28" ht="11.25" customHeight="1">
      <c r="A552" s="233">
        <v>41142</v>
      </c>
      <c r="B552" s="1" t="s">
        <v>3002</v>
      </c>
      <c r="C552" s="1" t="s">
        <v>3003</v>
      </c>
      <c r="D552" s="1" t="s">
        <v>3017</v>
      </c>
      <c r="E552" s="1">
        <v>1100</v>
      </c>
      <c r="F552" s="5">
        <v>20</v>
      </c>
      <c r="G552" s="1" t="s">
        <v>3018</v>
      </c>
      <c r="H552" s="234">
        <v>1</v>
      </c>
      <c r="I552" s="236">
        <f t="shared" si="36"/>
        <v>20</v>
      </c>
      <c r="J552" s="351"/>
      <c r="K552" s="261">
        <f>0.77*F552</f>
        <v>15.4</v>
      </c>
      <c r="L552" s="237">
        <v>41142</v>
      </c>
      <c r="M552" s="1" t="s">
        <v>3006</v>
      </c>
      <c r="N552" s="235">
        <f t="shared" si="33"/>
        <v>20</v>
      </c>
      <c r="O552" s="235">
        <f t="shared" si="34"/>
        <v>0</v>
      </c>
      <c r="P552" s="238" t="s">
        <v>3007</v>
      </c>
      <c r="Q552" s="1" t="s">
        <v>3008</v>
      </c>
      <c r="R552" s="239" t="s">
        <v>3009</v>
      </c>
      <c r="S552" s="238" t="s">
        <v>3010</v>
      </c>
      <c r="T552" s="238" t="s">
        <v>3011</v>
      </c>
      <c r="U552" s="238" t="s">
        <v>3012</v>
      </c>
      <c r="V552" s="238" t="s">
        <v>2999</v>
      </c>
      <c r="Y552" s="255"/>
      <c r="Z552" s="255" t="s">
        <v>3000</v>
      </c>
      <c r="AB552" s="1" t="s">
        <v>3013</v>
      </c>
    </row>
    <row r="553" spans="1:28" ht="11.25" customHeight="1">
      <c r="A553" s="233">
        <v>41142</v>
      </c>
      <c r="B553" s="1" t="s">
        <v>3002</v>
      </c>
      <c r="C553" s="1" t="s">
        <v>3003</v>
      </c>
      <c r="D553" s="1" t="s">
        <v>3019</v>
      </c>
      <c r="E553" s="1" t="s">
        <v>3020</v>
      </c>
      <c r="F553" s="5">
        <v>2</v>
      </c>
      <c r="G553" s="1" t="s">
        <v>244</v>
      </c>
      <c r="H553" s="234">
        <v>26</v>
      </c>
      <c r="I553" s="236">
        <f t="shared" si="36"/>
        <v>52</v>
      </c>
      <c r="J553" s="351"/>
      <c r="K553" s="261">
        <f>17.79*F553</f>
        <v>35.58</v>
      </c>
      <c r="L553" s="237">
        <v>41142</v>
      </c>
      <c r="M553" s="1" t="s">
        <v>3006</v>
      </c>
      <c r="N553" s="235">
        <f t="shared" si="33"/>
        <v>52</v>
      </c>
      <c r="O553" s="235">
        <f t="shared" si="34"/>
        <v>0</v>
      </c>
      <c r="P553" s="238" t="s">
        <v>3007</v>
      </c>
      <c r="Q553" s="1" t="s">
        <v>3008</v>
      </c>
      <c r="R553" s="239" t="s">
        <v>3009</v>
      </c>
      <c r="S553" s="238" t="s">
        <v>3010</v>
      </c>
      <c r="T553" s="238" t="s">
        <v>3011</v>
      </c>
      <c r="U553" s="238" t="s">
        <v>3012</v>
      </c>
      <c r="V553" s="238" t="s">
        <v>2999</v>
      </c>
      <c r="Y553" s="255"/>
      <c r="Z553" s="255" t="s">
        <v>3000</v>
      </c>
      <c r="AB553" s="1" t="s">
        <v>3013</v>
      </c>
    </row>
    <row r="554" spans="1:28" ht="11.25" customHeight="1">
      <c r="A554" s="233">
        <v>41142</v>
      </c>
      <c r="B554" s="1" t="s">
        <v>3021</v>
      </c>
      <c r="C554" s="1" t="s">
        <v>3003</v>
      </c>
      <c r="D554" s="1" t="s">
        <v>233</v>
      </c>
      <c r="E554" s="1" t="s">
        <v>3022</v>
      </c>
      <c r="F554" s="5">
        <v>2200</v>
      </c>
      <c r="G554" s="1" t="s">
        <v>232</v>
      </c>
      <c r="H554" s="234">
        <v>1.8</v>
      </c>
      <c r="I554" s="236">
        <f t="shared" si="36"/>
        <v>3960</v>
      </c>
      <c r="J554" s="352">
        <v>1.7</v>
      </c>
      <c r="K554" s="241">
        <f>1.7*F554</f>
        <v>3740</v>
      </c>
      <c r="L554" s="237">
        <v>41142</v>
      </c>
      <c r="M554" s="1" t="s">
        <v>3023</v>
      </c>
      <c r="N554" s="235">
        <f t="shared" si="33"/>
        <v>3960</v>
      </c>
      <c r="O554" s="235">
        <f t="shared" si="34"/>
        <v>0</v>
      </c>
      <c r="P554" s="238" t="s">
        <v>3024</v>
      </c>
      <c r="Q554" s="1" t="s">
        <v>3025</v>
      </c>
      <c r="R554" s="239" t="s">
        <v>637</v>
      </c>
      <c r="S554" s="238" t="s">
        <v>638</v>
      </c>
      <c r="T554" s="238" t="s">
        <v>73</v>
      </c>
      <c r="U554" s="238" t="s">
        <v>3026</v>
      </c>
      <c r="V554" s="238" t="s">
        <v>3027</v>
      </c>
      <c r="W554" s="236">
        <v>10200</v>
      </c>
      <c r="X554" s="233">
        <v>41163</v>
      </c>
      <c r="Y554" s="238" t="s">
        <v>3028</v>
      </c>
      <c r="AB554" s="1" t="s">
        <v>379</v>
      </c>
    </row>
    <row r="555" spans="1:28" ht="11.25" customHeight="1">
      <c r="A555" s="233">
        <v>41142</v>
      </c>
      <c r="B555" s="1" t="s">
        <v>3021</v>
      </c>
      <c r="C555" s="1" t="s">
        <v>3003</v>
      </c>
      <c r="D555" s="1" t="s">
        <v>1216</v>
      </c>
      <c r="E555" s="1">
        <v>3200</v>
      </c>
      <c r="F555" s="5">
        <v>200</v>
      </c>
      <c r="G555" s="1" t="s">
        <v>3005</v>
      </c>
      <c r="H555" s="234">
        <v>27.71</v>
      </c>
      <c r="I555" s="236">
        <f t="shared" si="36"/>
        <v>5542</v>
      </c>
      <c r="J555" s="351">
        <v>26</v>
      </c>
      <c r="K555" s="241">
        <f>26*F555</f>
        <v>5200</v>
      </c>
      <c r="L555" s="237">
        <v>41142</v>
      </c>
      <c r="M555" s="1" t="s">
        <v>3023</v>
      </c>
      <c r="N555" s="235">
        <f t="shared" si="33"/>
        <v>5542</v>
      </c>
      <c r="O555" s="235">
        <f t="shared" si="34"/>
        <v>0</v>
      </c>
      <c r="P555" s="238" t="s">
        <v>3024</v>
      </c>
      <c r="Q555" s="1" t="s">
        <v>1264</v>
      </c>
      <c r="R555" s="239" t="s">
        <v>637</v>
      </c>
      <c r="S555" s="238" t="s">
        <v>638</v>
      </c>
      <c r="T555" s="238" t="s">
        <v>73</v>
      </c>
      <c r="U555" s="238" t="s">
        <v>3026</v>
      </c>
      <c r="V555" s="238" t="s">
        <v>3027</v>
      </c>
      <c r="W555" s="236">
        <v>10200</v>
      </c>
      <c r="X555" s="233">
        <v>41163</v>
      </c>
      <c r="Y555" s="238" t="s">
        <v>3028</v>
      </c>
      <c r="AB555" s="1" t="s">
        <v>379</v>
      </c>
    </row>
    <row r="556" spans="1:28" ht="11.25" customHeight="1">
      <c r="A556" s="233">
        <v>41142</v>
      </c>
      <c r="B556" s="1" t="s">
        <v>3021</v>
      </c>
      <c r="C556" s="1" t="s">
        <v>3003</v>
      </c>
      <c r="D556" s="1" t="s">
        <v>348</v>
      </c>
      <c r="E556" s="1">
        <v>3700</v>
      </c>
      <c r="F556" s="5">
        <v>200</v>
      </c>
      <c r="G556" s="1" t="s">
        <v>230</v>
      </c>
      <c r="H556" s="234">
        <v>3.49</v>
      </c>
      <c r="I556" s="236">
        <f t="shared" si="36"/>
        <v>698</v>
      </c>
      <c r="J556" s="351">
        <v>3.3</v>
      </c>
      <c r="K556" s="241">
        <f>3.3*F556</f>
        <v>660</v>
      </c>
      <c r="L556" s="237">
        <v>41142</v>
      </c>
      <c r="M556" s="1" t="s">
        <v>3023</v>
      </c>
      <c r="N556" s="235">
        <f t="shared" si="33"/>
        <v>698</v>
      </c>
      <c r="O556" s="235">
        <f t="shared" si="34"/>
        <v>0</v>
      </c>
      <c r="P556" s="238" t="s">
        <v>3024</v>
      </c>
      <c r="Q556" s="1" t="s">
        <v>3025</v>
      </c>
      <c r="R556" s="239" t="s">
        <v>637</v>
      </c>
      <c r="S556" s="238" t="s">
        <v>638</v>
      </c>
      <c r="T556" s="238" t="s">
        <v>73</v>
      </c>
      <c r="U556" s="238" t="s">
        <v>3026</v>
      </c>
      <c r="V556" s="238" t="s">
        <v>3027</v>
      </c>
      <c r="W556" s="236">
        <v>10200</v>
      </c>
      <c r="X556" s="233">
        <v>41163</v>
      </c>
      <c r="Y556" s="238" t="s">
        <v>3028</v>
      </c>
      <c r="AB556" s="1" t="s">
        <v>379</v>
      </c>
    </row>
    <row r="557" spans="1:28" ht="11.25" customHeight="1">
      <c r="A557" s="233">
        <v>41142</v>
      </c>
      <c r="B557" s="1" t="s">
        <v>75</v>
      </c>
      <c r="C557" s="1" t="s">
        <v>3003</v>
      </c>
      <c r="D557" s="5" t="s">
        <v>3029</v>
      </c>
      <c r="E557" s="1">
        <v>7502</v>
      </c>
      <c r="F557" s="5">
        <v>2</v>
      </c>
      <c r="G557" s="232" t="s">
        <v>3030</v>
      </c>
      <c r="H557" s="234">
        <v>186</v>
      </c>
      <c r="I557" s="236">
        <f t="shared" si="36"/>
        <v>372</v>
      </c>
      <c r="J557" s="351">
        <v>106</v>
      </c>
      <c r="K557" s="266">
        <f>106*F557</f>
        <v>212</v>
      </c>
      <c r="L557" s="237">
        <v>41142</v>
      </c>
      <c r="M557" s="1" t="s">
        <v>3023</v>
      </c>
      <c r="N557" s="235">
        <f t="shared" si="33"/>
        <v>372</v>
      </c>
      <c r="O557" s="235">
        <f t="shared" si="34"/>
        <v>0</v>
      </c>
      <c r="P557" s="238" t="s">
        <v>3031</v>
      </c>
      <c r="Q557" s="1" t="s">
        <v>3032</v>
      </c>
      <c r="R557" s="10" t="s">
        <v>76</v>
      </c>
      <c r="S557" s="10">
        <v>13765135488</v>
      </c>
      <c r="T557" s="10" t="s">
        <v>77</v>
      </c>
      <c r="U557" s="238" t="s">
        <v>3033</v>
      </c>
      <c r="V557" s="238" t="s">
        <v>3034</v>
      </c>
      <c r="W557" s="236">
        <v>1062</v>
      </c>
      <c r="X557" s="233">
        <v>41142</v>
      </c>
      <c r="Y557" s="255">
        <v>23155078449</v>
      </c>
      <c r="AA557" s="240" t="s">
        <v>3035</v>
      </c>
      <c r="AB557" s="1" t="s">
        <v>3036</v>
      </c>
    </row>
    <row r="558" spans="1:28" ht="11.25" customHeight="1">
      <c r="A558" s="233">
        <v>41142</v>
      </c>
      <c r="B558" s="1" t="s">
        <v>75</v>
      </c>
      <c r="C558" s="1" t="s">
        <v>3037</v>
      </c>
      <c r="D558" s="1" t="s">
        <v>355</v>
      </c>
      <c r="E558" s="1" t="s">
        <v>3038</v>
      </c>
      <c r="F558" s="5">
        <v>4</v>
      </c>
      <c r="G558" s="232" t="s">
        <v>3039</v>
      </c>
      <c r="H558" s="234">
        <v>29.48</v>
      </c>
      <c r="I558" s="236">
        <f t="shared" si="36"/>
        <v>117.92</v>
      </c>
      <c r="J558" s="351">
        <v>17.5</v>
      </c>
      <c r="K558" s="266">
        <f>17.5*F558</f>
        <v>70</v>
      </c>
      <c r="L558" s="237">
        <v>41142</v>
      </c>
      <c r="M558" s="1" t="s">
        <v>3040</v>
      </c>
      <c r="N558" s="235">
        <f t="shared" si="33"/>
        <v>117.92</v>
      </c>
      <c r="O558" s="235">
        <f t="shared" si="34"/>
        <v>0</v>
      </c>
      <c r="P558" s="238" t="s">
        <v>3041</v>
      </c>
      <c r="Q558" s="1" t="s">
        <v>3042</v>
      </c>
      <c r="R558" s="10" t="s">
        <v>76</v>
      </c>
      <c r="S558" s="10">
        <v>13765135488</v>
      </c>
      <c r="T558" s="10" t="s">
        <v>77</v>
      </c>
      <c r="U558" s="238" t="s">
        <v>3033</v>
      </c>
      <c r="V558" s="238" t="s">
        <v>3034</v>
      </c>
      <c r="W558" s="236">
        <v>1062</v>
      </c>
      <c r="X558" s="233">
        <v>41142</v>
      </c>
      <c r="Y558" s="255">
        <v>23155078449</v>
      </c>
      <c r="AA558" s="240" t="s">
        <v>3035</v>
      </c>
      <c r="AB558" s="1" t="s">
        <v>3036</v>
      </c>
    </row>
    <row r="559" spans="1:28" ht="11.25" customHeight="1">
      <c r="A559" s="233">
        <v>41142</v>
      </c>
      <c r="B559" s="1" t="s">
        <v>75</v>
      </c>
      <c r="C559" s="1" t="s">
        <v>3037</v>
      </c>
      <c r="D559" s="1" t="s">
        <v>1226</v>
      </c>
      <c r="E559" s="1">
        <v>6005</v>
      </c>
      <c r="F559" s="5">
        <v>8</v>
      </c>
      <c r="G559" s="232" t="s">
        <v>3039</v>
      </c>
      <c r="H559" s="234">
        <v>60.26</v>
      </c>
      <c r="I559" s="236">
        <f t="shared" si="36"/>
        <v>482.08</v>
      </c>
      <c r="J559" s="351"/>
      <c r="K559" s="266">
        <f>40.37*F559</f>
        <v>322.95999999999998</v>
      </c>
      <c r="L559" s="237">
        <v>41142</v>
      </c>
      <c r="M559" s="1" t="s">
        <v>3040</v>
      </c>
      <c r="N559" s="235">
        <f t="shared" si="33"/>
        <v>482.08</v>
      </c>
      <c r="O559" s="235">
        <f t="shared" si="34"/>
        <v>0</v>
      </c>
      <c r="P559" s="238" t="s">
        <v>3041</v>
      </c>
      <c r="Q559" s="1" t="s">
        <v>3042</v>
      </c>
      <c r="R559" s="10" t="s">
        <v>76</v>
      </c>
      <c r="S559" s="10">
        <v>13765135488</v>
      </c>
      <c r="T559" s="10" t="s">
        <v>77</v>
      </c>
      <c r="U559" s="238" t="s">
        <v>3033</v>
      </c>
      <c r="V559" s="238" t="s">
        <v>3034</v>
      </c>
      <c r="W559" s="236">
        <v>1062</v>
      </c>
      <c r="X559" s="233">
        <v>41142</v>
      </c>
      <c r="Y559" s="255">
        <v>23155078449</v>
      </c>
      <c r="AA559" s="240" t="s">
        <v>3035</v>
      </c>
      <c r="AB559" s="1" t="s">
        <v>3036</v>
      </c>
    </row>
    <row r="560" spans="1:28" ht="11.25" customHeight="1">
      <c r="A560" s="233">
        <v>41142</v>
      </c>
      <c r="B560" s="1" t="s">
        <v>75</v>
      </c>
      <c r="C560" s="1" t="s">
        <v>3037</v>
      </c>
      <c r="D560" s="1" t="s">
        <v>3043</v>
      </c>
      <c r="E560" s="1" t="s">
        <v>3044</v>
      </c>
      <c r="F560" s="5">
        <v>2</v>
      </c>
      <c r="G560" s="232" t="s">
        <v>3045</v>
      </c>
      <c r="H560" s="234">
        <v>45</v>
      </c>
      <c r="I560" s="236">
        <f t="shared" si="36"/>
        <v>90</v>
      </c>
      <c r="J560" s="351">
        <v>30.15</v>
      </c>
      <c r="K560" s="266">
        <f>30.15*F560</f>
        <v>60.3</v>
      </c>
      <c r="L560" s="237">
        <v>41142</v>
      </c>
      <c r="M560" s="1" t="s">
        <v>3040</v>
      </c>
      <c r="N560" s="235">
        <f t="shared" si="33"/>
        <v>90</v>
      </c>
      <c r="O560" s="235">
        <f t="shared" si="34"/>
        <v>0</v>
      </c>
      <c r="P560" s="238" t="s">
        <v>3041</v>
      </c>
      <c r="Q560" s="1" t="s">
        <v>3042</v>
      </c>
      <c r="R560" s="10" t="s">
        <v>76</v>
      </c>
      <c r="S560" s="10">
        <v>13765135488</v>
      </c>
      <c r="T560" s="10" t="s">
        <v>77</v>
      </c>
      <c r="U560" s="238" t="s">
        <v>3033</v>
      </c>
      <c r="V560" s="238" t="s">
        <v>3034</v>
      </c>
      <c r="W560" s="236">
        <v>1062</v>
      </c>
      <c r="X560" s="233">
        <v>41142</v>
      </c>
      <c r="Y560" s="255">
        <v>23155078449</v>
      </c>
      <c r="AA560" s="240" t="s">
        <v>3035</v>
      </c>
      <c r="AB560" s="1" t="s">
        <v>3036</v>
      </c>
    </row>
    <row r="561" spans="1:28" ht="11.25" customHeight="1">
      <c r="A561" s="233">
        <v>41142</v>
      </c>
      <c r="B561" s="1" t="s">
        <v>856</v>
      </c>
      <c r="C561" s="1" t="s">
        <v>3037</v>
      </c>
      <c r="D561" s="1" t="s">
        <v>3046</v>
      </c>
      <c r="E561" s="1" t="s">
        <v>3047</v>
      </c>
      <c r="F561" s="5">
        <v>10</v>
      </c>
      <c r="G561" s="232" t="s">
        <v>3048</v>
      </c>
      <c r="H561" s="234">
        <v>38.26</v>
      </c>
      <c r="I561" s="236">
        <f t="shared" ref="I561:I566" si="37">H561*F561</f>
        <v>382.59999999999997</v>
      </c>
      <c r="J561" s="351"/>
      <c r="K561" s="266">
        <f>33.111*F561</f>
        <v>331.10999999999996</v>
      </c>
      <c r="L561" s="237">
        <v>41151</v>
      </c>
      <c r="M561" s="1" t="s">
        <v>3049</v>
      </c>
      <c r="N561" s="235">
        <f t="shared" si="33"/>
        <v>382.59999999999997</v>
      </c>
      <c r="O561" s="235">
        <f t="shared" si="34"/>
        <v>0</v>
      </c>
      <c r="P561" s="238" t="s">
        <v>4918</v>
      </c>
      <c r="Q561" s="1" t="s">
        <v>3050</v>
      </c>
      <c r="R561" s="10" t="s">
        <v>3051</v>
      </c>
      <c r="S561" s="10" t="s">
        <v>398</v>
      </c>
      <c r="T561" s="10" t="s">
        <v>3050</v>
      </c>
      <c r="V561" s="238" t="s">
        <v>3052</v>
      </c>
      <c r="Y561" s="255"/>
      <c r="AB561" s="1" t="s">
        <v>379</v>
      </c>
    </row>
    <row r="562" spans="1:28" ht="11.25" customHeight="1">
      <c r="A562" s="233">
        <v>41142</v>
      </c>
      <c r="B562" s="1" t="s">
        <v>856</v>
      </c>
      <c r="C562" s="1" t="s">
        <v>3037</v>
      </c>
      <c r="D562" s="1" t="s">
        <v>3053</v>
      </c>
      <c r="E562" s="1" t="s">
        <v>3054</v>
      </c>
      <c r="F562" s="5">
        <v>10</v>
      </c>
      <c r="G562" s="232" t="s">
        <v>3048</v>
      </c>
      <c r="H562" s="234">
        <v>49.58</v>
      </c>
      <c r="I562" s="236">
        <f t="shared" si="37"/>
        <v>495.79999999999995</v>
      </c>
      <c r="J562" s="351"/>
      <c r="K562" s="266">
        <f>42.939*F562</f>
        <v>429.39</v>
      </c>
      <c r="L562" s="237">
        <v>41151</v>
      </c>
      <c r="M562" s="1" t="s">
        <v>3049</v>
      </c>
      <c r="N562" s="235">
        <f t="shared" si="33"/>
        <v>495.79999999999995</v>
      </c>
      <c r="O562" s="235">
        <f t="shared" si="34"/>
        <v>0</v>
      </c>
      <c r="P562" s="238" t="s">
        <v>4918</v>
      </c>
      <c r="Q562" s="1" t="s">
        <v>3050</v>
      </c>
      <c r="R562" s="10" t="s">
        <v>3051</v>
      </c>
      <c r="S562" s="10" t="s">
        <v>398</v>
      </c>
      <c r="T562" s="10" t="s">
        <v>3050</v>
      </c>
      <c r="V562" s="238" t="s">
        <v>3052</v>
      </c>
      <c r="Y562" s="255"/>
      <c r="AB562" s="1" t="s">
        <v>379</v>
      </c>
    </row>
    <row r="563" spans="1:28" ht="11.25" customHeight="1">
      <c r="A563" s="233">
        <v>41142</v>
      </c>
      <c r="B563" s="1" t="s">
        <v>856</v>
      </c>
      <c r="C563" s="1" t="s">
        <v>3037</v>
      </c>
      <c r="D563" s="5" t="s">
        <v>857</v>
      </c>
      <c r="E563" s="1">
        <v>9031</v>
      </c>
      <c r="F563" s="5">
        <v>500</v>
      </c>
      <c r="G563" s="232" t="s">
        <v>3055</v>
      </c>
      <c r="H563" s="234">
        <v>1.73</v>
      </c>
      <c r="I563" s="236">
        <f t="shared" si="37"/>
        <v>865</v>
      </c>
      <c r="J563" s="351"/>
      <c r="K563" s="266">
        <f>1.4929*F563</f>
        <v>746.44999999999993</v>
      </c>
      <c r="L563" s="237">
        <v>41151</v>
      </c>
      <c r="M563" s="1" t="s">
        <v>3049</v>
      </c>
      <c r="N563" s="235">
        <f t="shared" si="33"/>
        <v>865</v>
      </c>
      <c r="O563" s="235">
        <f t="shared" si="34"/>
        <v>0</v>
      </c>
      <c r="P563" s="238" t="s">
        <v>4918</v>
      </c>
      <c r="Q563" s="1" t="s">
        <v>3050</v>
      </c>
      <c r="R563" s="10" t="s">
        <v>3051</v>
      </c>
      <c r="S563" s="10" t="s">
        <v>398</v>
      </c>
      <c r="T563" s="10" t="s">
        <v>3050</v>
      </c>
      <c r="V563" s="238" t="s">
        <v>3052</v>
      </c>
      <c r="Y563" s="255"/>
      <c r="AB563" s="1" t="s">
        <v>379</v>
      </c>
    </row>
    <row r="564" spans="1:28" ht="11.25" customHeight="1">
      <c r="A564" s="233">
        <v>41142</v>
      </c>
      <c r="B564" s="1" t="s">
        <v>856</v>
      </c>
      <c r="C564" s="1" t="s">
        <v>3037</v>
      </c>
      <c r="D564" s="1" t="s">
        <v>3056</v>
      </c>
      <c r="E564" s="1">
        <v>9032</v>
      </c>
      <c r="F564" s="5">
        <v>500</v>
      </c>
      <c r="G564" s="1" t="s">
        <v>3057</v>
      </c>
      <c r="H564" s="234">
        <v>1.73</v>
      </c>
      <c r="I564" s="236">
        <f t="shared" si="37"/>
        <v>865</v>
      </c>
      <c r="J564" s="351"/>
      <c r="K564" s="266">
        <f>1.4929*F564</f>
        <v>746.44999999999993</v>
      </c>
      <c r="L564" s="237">
        <v>41151</v>
      </c>
      <c r="M564" s="1" t="s">
        <v>3049</v>
      </c>
      <c r="N564" s="235">
        <f t="shared" si="33"/>
        <v>865</v>
      </c>
      <c r="O564" s="235">
        <f t="shared" si="34"/>
        <v>0</v>
      </c>
      <c r="P564" s="238" t="s">
        <v>4918</v>
      </c>
      <c r="Q564" s="1" t="s">
        <v>3050</v>
      </c>
      <c r="R564" s="10" t="s">
        <v>3051</v>
      </c>
      <c r="S564" s="10" t="s">
        <v>398</v>
      </c>
      <c r="T564" s="10" t="s">
        <v>3050</v>
      </c>
      <c r="V564" s="238" t="s">
        <v>3052</v>
      </c>
      <c r="Y564" s="255"/>
      <c r="AB564" s="1" t="s">
        <v>379</v>
      </c>
    </row>
    <row r="565" spans="1:28" ht="11.25" customHeight="1">
      <c r="A565" s="233">
        <v>41142</v>
      </c>
      <c r="B565" s="1" t="s">
        <v>856</v>
      </c>
      <c r="C565" s="1" t="s">
        <v>3037</v>
      </c>
      <c r="D565" s="1" t="s">
        <v>3058</v>
      </c>
      <c r="E565" s="1" t="s">
        <v>3059</v>
      </c>
      <c r="F565" s="5">
        <v>1</v>
      </c>
      <c r="G565" s="232" t="s">
        <v>3048</v>
      </c>
      <c r="H565" s="234">
        <v>135.13999999999999</v>
      </c>
      <c r="I565" s="236">
        <f t="shared" si="37"/>
        <v>135.13999999999999</v>
      </c>
      <c r="J565" s="351"/>
      <c r="K565" s="266">
        <f>107.64*F565</f>
        <v>107.64</v>
      </c>
      <c r="L565" s="237">
        <v>41151</v>
      </c>
      <c r="M565" s="1" t="s">
        <v>3049</v>
      </c>
      <c r="N565" s="235">
        <f t="shared" si="33"/>
        <v>135.13999999999999</v>
      </c>
      <c r="O565" s="235">
        <f t="shared" si="34"/>
        <v>0</v>
      </c>
      <c r="P565" s="238" t="s">
        <v>4918</v>
      </c>
      <c r="Q565" s="1" t="s">
        <v>3050</v>
      </c>
      <c r="R565" s="10" t="s">
        <v>3051</v>
      </c>
      <c r="S565" s="10" t="s">
        <v>398</v>
      </c>
      <c r="T565" s="10" t="s">
        <v>3050</v>
      </c>
      <c r="V565" s="238" t="s">
        <v>3052</v>
      </c>
      <c r="Y565" s="255"/>
      <c r="AB565" s="1" t="s">
        <v>379</v>
      </c>
    </row>
    <row r="566" spans="1:28" ht="11.25" customHeight="1">
      <c r="A566" s="233">
        <v>41142</v>
      </c>
      <c r="B566" s="1" t="s">
        <v>3060</v>
      </c>
      <c r="C566" s="1" t="s">
        <v>3037</v>
      </c>
      <c r="D566" s="225" t="s">
        <v>3061</v>
      </c>
      <c r="E566" s="1" t="s">
        <v>3062</v>
      </c>
      <c r="F566" s="5">
        <v>1</v>
      </c>
      <c r="G566" s="232" t="s">
        <v>3048</v>
      </c>
      <c r="H566" s="234">
        <v>227.27</v>
      </c>
      <c r="I566" s="236">
        <f t="shared" si="37"/>
        <v>227.27</v>
      </c>
      <c r="J566" s="351"/>
      <c r="K566" s="266">
        <f>181.35*F566</f>
        <v>181.35</v>
      </c>
      <c r="L566" s="237">
        <v>41151</v>
      </c>
      <c r="M566" s="1" t="s">
        <v>3049</v>
      </c>
      <c r="N566" s="235">
        <f t="shared" si="33"/>
        <v>227.27</v>
      </c>
      <c r="O566" s="235">
        <f t="shared" si="34"/>
        <v>0</v>
      </c>
      <c r="P566" s="238" t="s">
        <v>4918</v>
      </c>
      <c r="Q566" s="1" t="s">
        <v>3050</v>
      </c>
      <c r="R566" s="10" t="s">
        <v>3051</v>
      </c>
      <c r="S566" s="10" t="s">
        <v>398</v>
      </c>
      <c r="T566" s="10" t="s">
        <v>3050</v>
      </c>
      <c r="V566" s="238" t="s">
        <v>3052</v>
      </c>
      <c r="Y566" s="255"/>
      <c r="AB566" s="1" t="s">
        <v>379</v>
      </c>
    </row>
    <row r="567" spans="1:28" ht="11.25" customHeight="1">
      <c r="A567" s="233">
        <v>41143</v>
      </c>
      <c r="B567" s="1" t="s">
        <v>466</v>
      </c>
      <c r="C567" s="1" t="s">
        <v>3037</v>
      </c>
      <c r="D567" s="5" t="s">
        <v>3063</v>
      </c>
      <c r="E567" s="1" t="s">
        <v>3064</v>
      </c>
      <c r="F567" s="5">
        <v>1200</v>
      </c>
      <c r="G567" s="1" t="s">
        <v>5002</v>
      </c>
      <c r="H567" s="234">
        <v>1.65</v>
      </c>
      <c r="I567" s="236">
        <f t="shared" si="36"/>
        <v>1980</v>
      </c>
      <c r="J567" s="354">
        <v>1.46</v>
      </c>
      <c r="K567" s="241">
        <f>1.46*F567</f>
        <v>1752</v>
      </c>
      <c r="L567" s="237">
        <v>41145</v>
      </c>
      <c r="M567" s="1" t="s">
        <v>3040</v>
      </c>
      <c r="N567" s="235">
        <f t="shared" si="33"/>
        <v>1980</v>
      </c>
      <c r="O567" s="235">
        <f t="shared" si="34"/>
        <v>0</v>
      </c>
      <c r="P567" s="238" t="s">
        <v>4918</v>
      </c>
      <c r="Q567" s="1" t="s">
        <v>3065</v>
      </c>
      <c r="R567" s="239" t="s">
        <v>471</v>
      </c>
      <c r="S567" s="238" t="s">
        <v>3066</v>
      </c>
      <c r="T567" s="238" t="s">
        <v>3067</v>
      </c>
      <c r="U567" s="238" t="s">
        <v>3068</v>
      </c>
      <c r="V567" s="238" t="s">
        <v>3069</v>
      </c>
      <c r="W567" s="236">
        <v>8352.08</v>
      </c>
      <c r="X567" s="233">
        <v>41145</v>
      </c>
      <c r="Y567" s="238" t="s">
        <v>3070</v>
      </c>
      <c r="AB567" s="1" t="s">
        <v>379</v>
      </c>
    </row>
    <row r="568" spans="1:28" ht="11.25" customHeight="1">
      <c r="A568" s="233">
        <v>41143</v>
      </c>
      <c r="B568" s="1" t="s">
        <v>466</v>
      </c>
      <c r="C568" s="1" t="s">
        <v>2189</v>
      </c>
      <c r="D568" s="1" t="s">
        <v>241</v>
      </c>
      <c r="E568" s="1">
        <v>6200</v>
      </c>
      <c r="F568" s="5">
        <v>100</v>
      </c>
      <c r="G568" s="232" t="s">
        <v>3071</v>
      </c>
      <c r="H568" s="234">
        <v>45.8</v>
      </c>
      <c r="I568" s="236">
        <f t="shared" si="36"/>
        <v>4580</v>
      </c>
      <c r="J568" s="351">
        <v>45</v>
      </c>
      <c r="K568" s="241" t="e">
        <f>#REF!*F568</f>
        <v>#REF!</v>
      </c>
      <c r="L568" s="237">
        <v>41145</v>
      </c>
      <c r="M568" s="1" t="s">
        <v>3072</v>
      </c>
      <c r="N568" s="235">
        <f t="shared" si="33"/>
        <v>4580</v>
      </c>
      <c r="O568" s="235">
        <f t="shared" si="34"/>
        <v>0</v>
      </c>
      <c r="P568" s="238" t="s">
        <v>4918</v>
      </c>
      <c r="Q568" s="1" t="s">
        <v>1265</v>
      </c>
      <c r="R568" s="239" t="s">
        <v>471</v>
      </c>
      <c r="S568" s="238" t="s">
        <v>3066</v>
      </c>
      <c r="T568" s="238" t="s">
        <v>3067</v>
      </c>
      <c r="U568" s="238" t="s">
        <v>3068</v>
      </c>
      <c r="V568" s="238" t="s">
        <v>3073</v>
      </c>
      <c r="W568" s="236">
        <v>11631.8</v>
      </c>
      <c r="X568" s="233">
        <v>41145</v>
      </c>
      <c r="Y568" s="238" t="s">
        <v>3070</v>
      </c>
      <c r="AB568" s="1" t="s">
        <v>379</v>
      </c>
    </row>
    <row r="569" spans="1:28" ht="11.25" customHeight="1">
      <c r="A569" s="233">
        <v>41143</v>
      </c>
      <c r="B569" s="1" t="s">
        <v>466</v>
      </c>
      <c r="C569" s="1" t="s">
        <v>2189</v>
      </c>
      <c r="D569" s="1" t="s">
        <v>3074</v>
      </c>
      <c r="E569" s="1" t="s">
        <v>3075</v>
      </c>
      <c r="F569" s="5">
        <v>600</v>
      </c>
      <c r="G569" s="1" t="s">
        <v>3076</v>
      </c>
      <c r="H569" s="234">
        <v>9.42</v>
      </c>
      <c r="I569" s="236">
        <f t="shared" si="36"/>
        <v>5652</v>
      </c>
      <c r="J569" s="351"/>
      <c r="K569" s="241">
        <f>8.8*F569</f>
        <v>5280</v>
      </c>
      <c r="L569" s="237">
        <v>41145</v>
      </c>
      <c r="M569" s="1" t="s">
        <v>3072</v>
      </c>
      <c r="N569" s="235">
        <f t="shared" si="33"/>
        <v>5652</v>
      </c>
      <c r="O569" s="235">
        <f t="shared" si="34"/>
        <v>0</v>
      </c>
      <c r="P569" s="238" t="s">
        <v>4918</v>
      </c>
      <c r="Q569" s="1" t="s">
        <v>3077</v>
      </c>
      <c r="R569" s="239" t="s">
        <v>471</v>
      </c>
      <c r="S569" s="238" t="s">
        <v>3066</v>
      </c>
      <c r="T569" s="238" t="s">
        <v>3067</v>
      </c>
      <c r="U569" s="238" t="s">
        <v>3068</v>
      </c>
      <c r="V569" s="238" t="s">
        <v>3078</v>
      </c>
      <c r="W569" s="236">
        <v>8678.4</v>
      </c>
      <c r="X569" s="233">
        <v>41145</v>
      </c>
      <c r="Y569" s="238" t="s">
        <v>3070</v>
      </c>
      <c r="AB569" s="1" t="s">
        <v>379</v>
      </c>
    </row>
    <row r="570" spans="1:28" ht="11.25" customHeight="1">
      <c r="A570" s="233">
        <v>41143</v>
      </c>
      <c r="B570" s="1" t="s">
        <v>3079</v>
      </c>
      <c r="C570" s="1" t="s">
        <v>2189</v>
      </c>
      <c r="D570" s="1" t="s">
        <v>3080</v>
      </c>
      <c r="E570" s="1">
        <v>1110</v>
      </c>
      <c r="F570" s="5">
        <v>600</v>
      </c>
      <c r="G570" s="1" t="s">
        <v>3081</v>
      </c>
      <c r="H570" s="234">
        <v>0.86</v>
      </c>
      <c r="I570" s="236">
        <f t="shared" si="36"/>
        <v>516</v>
      </c>
      <c r="J570" s="351"/>
      <c r="K570" s="241">
        <f>0.77*F570</f>
        <v>462</v>
      </c>
      <c r="L570" s="237">
        <v>41143</v>
      </c>
      <c r="M570" s="1" t="s">
        <v>3082</v>
      </c>
      <c r="N570" s="235">
        <f t="shared" si="33"/>
        <v>516</v>
      </c>
      <c r="O570" s="235">
        <f t="shared" si="34"/>
        <v>0</v>
      </c>
      <c r="P570" s="238" t="s">
        <v>3083</v>
      </c>
      <c r="Q570" s="1" t="s">
        <v>3084</v>
      </c>
      <c r="R570" s="239" t="s">
        <v>3085</v>
      </c>
      <c r="S570" s="238" t="s">
        <v>3086</v>
      </c>
      <c r="V570" s="238" t="s">
        <v>3087</v>
      </c>
      <c r="W570" s="236">
        <v>1077</v>
      </c>
      <c r="X570" s="233">
        <v>41256</v>
      </c>
      <c r="Y570" s="255">
        <v>23000504124</v>
      </c>
      <c r="AB570" s="1" t="s">
        <v>379</v>
      </c>
    </row>
    <row r="571" spans="1:28" s="225" customFormat="1" ht="11.25" customHeight="1">
      <c r="A571" s="233">
        <v>41143</v>
      </c>
      <c r="B571" s="1" t="s">
        <v>3088</v>
      </c>
      <c r="C571" s="1" t="s">
        <v>2189</v>
      </c>
      <c r="D571" s="1" t="s">
        <v>3089</v>
      </c>
      <c r="E571" s="1">
        <v>1100</v>
      </c>
      <c r="F571" s="5">
        <v>30</v>
      </c>
      <c r="G571" s="1" t="s">
        <v>3081</v>
      </c>
      <c r="H571" s="234">
        <v>1</v>
      </c>
      <c r="I571" s="236">
        <f t="shared" si="36"/>
        <v>30</v>
      </c>
      <c r="J571" s="351"/>
      <c r="K571" s="261">
        <f>0.36*F571</f>
        <v>10.799999999999999</v>
      </c>
      <c r="L571" s="237">
        <v>41143</v>
      </c>
      <c r="M571" s="1" t="s">
        <v>3082</v>
      </c>
      <c r="N571" s="235">
        <f t="shared" si="33"/>
        <v>30</v>
      </c>
      <c r="O571" s="235">
        <f t="shared" si="34"/>
        <v>0</v>
      </c>
      <c r="P571" s="238" t="s">
        <v>3090</v>
      </c>
      <c r="Q571" s="1" t="s">
        <v>3084</v>
      </c>
      <c r="R571" s="239" t="s">
        <v>3091</v>
      </c>
      <c r="S571" s="238" t="s">
        <v>3092</v>
      </c>
      <c r="T571" s="238"/>
      <c r="U571" s="238"/>
      <c r="V571" s="238" t="s">
        <v>3093</v>
      </c>
      <c r="W571" s="236"/>
      <c r="X571" s="233"/>
      <c r="Y571" s="255"/>
      <c r="Z571" s="255" t="s">
        <v>3094</v>
      </c>
      <c r="AA571" s="240"/>
      <c r="AB571" s="225" t="s">
        <v>3095</v>
      </c>
    </row>
    <row r="572" spans="1:28" s="225" customFormat="1" ht="11.25" customHeight="1">
      <c r="A572" s="25">
        <v>41144</v>
      </c>
      <c r="B572" s="225" t="s">
        <v>3096</v>
      </c>
      <c r="C572" s="225" t="s">
        <v>2189</v>
      </c>
      <c r="D572" s="225" t="s">
        <v>87</v>
      </c>
      <c r="E572" s="225">
        <v>9032</v>
      </c>
      <c r="F572" s="5">
        <v>500</v>
      </c>
      <c r="G572" s="1" t="s">
        <v>2192</v>
      </c>
      <c r="H572" s="31">
        <v>2.4</v>
      </c>
      <c r="I572" s="27">
        <f t="shared" si="36"/>
        <v>1200</v>
      </c>
      <c r="J572" s="357"/>
      <c r="K572" s="267">
        <f>1.49*F572</f>
        <v>745</v>
      </c>
      <c r="L572" s="56">
        <v>41144</v>
      </c>
      <c r="M572" s="225" t="s">
        <v>3072</v>
      </c>
      <c r="N572" s="235">
        <f t="shared" si="33"/>
        <v>1200</v>
      </c>
      <c r="O572" s="235">
        <f t="shared" si="34"/>
        <v>0</v>
      </c>
      <c r="P572" s="28" t="s">
        <v>3097</v>
      </c>
      <c r="Q572" s="225" t="s">
        <v>3098</v>
      </c>
      <c r="R572" s="29" t="s">
        <v>3099</v>
      </c>
      <c r="S572" s="28" t="s">
        <v>3100</v>
      </c>
      <c r="T572" s="28" t="s">
        <v>3101</v>
      </c>
      <c r="U572" s="28"/>
      <c r="V572" s="28" t="s">
        <v>3102</v>
      </c>
      <c r="W572" s="27">
        <v>1200</v>
      </c>
      <c r="X572" s="25">
        <v>41144</v>
      </c>
      <c r="Y572" s="268"/>
      <c r="Z572" s="268"/>
      <c r="AA572" s="70"/>
      <c r="AB572" s="225" t="s">
        <v>3095</v>
      </c>
    </row>
    <row r="573" spans="1:28" s="225" customFormat="1" ht="11.25" customHeight="1">
      <c r="A573" s="25">
        <v>41144</v>
      </c>
      <c r="B573" s="1" t="s">
        <v>3103</v>
      </c>
      <c r="C573" s="225" t="s">
        <v>2189</v>
      </c>
      <c r="D573" s="1" t="s">
        <v>1720</v>
      </c>
      <c r="E573" s="225">
        <v>8210</v>
      </c>
      <c r="F573" s="5">
        <v>55</v>
      </c>
      <c r="G573" s="1" t="s">
        <v>2192</v>
      </c>
      <c r="H573" s="31">
        <v>6</v>
      </c>
      <c r="I573" s="27">
        <f t="shared" si="36"/>
        <v>330</v>
      </c>
      <c r="J573" s="357"/>
      <c r="K573" s="267">
        <f>3.78*F573</f>
        <v>207.89999999999998</v>
      </c>
      <c r="L573" s="56">
        <v>41144</v>
      </c>
      <c r="M573" s="225" t="s">
        <v>3082</v>
      </c>
      <c r="N573" s="235">
        <f t="shared" si="33"/>
        <v>330</v>
      </c>
      <c r="O573" s="235">
        <f t="shared" si="34"/>
        <v>0</v>
      </c>
      <c r="P573" s="28" t="s">
        <v>3104</v>
      </c>
      <c r="Q573" s="225" t="s">
        <v>3084</v>
      </c>
      <c r="R573" s="29" t="s">
        <v>3105</v>
      </c>
      <c r="S573" s="28" t="s">
        <v>3106</v>
      </c>
      <c r="T573" s="28"/>
      <c r="U573" s="28"/>
      <c r="V573" s="28" t="s">
        <v>3107</v>
      </c>
      <c r="W573" s="27">
        <v>2855</v>
      </c>
      <c r="X573" s="25">
        <v>41144</v>
      </c>
      <c r="Y573" s="268"/>
      <c r="Z573" s="268"/>
      <c r="AA573" s="70"/>
      <c r="AB573" s="225" t="s">
        <v>3095</v>
      </c>
    </row>
    <row r="574" spans="1:28" s="225" customFormat="1" ht="11.25" customHeight="1">
      <c r="A574" s="25">
        <v>41144</v>
      </c>
      <c r="B574" s="1" t="s">
        <v>3103</v>
      </c>
      <c r="C574" s="225" t="s">
        <v>2189</v>
      </c>
      <c r="D574" s="1" t="s">
        <v>3108</v>
      </c>
      <c r="E574" s="225">
        <v>10434</v>
      </c>
      <c r="F574" s="5">
        <v>55</v>
      </c>
      <c r="G574" s="225" t="s">
        <v>3081</v>
      </c>
      <c r="H574" s="31">
        <v>23</v>
      </c>
      <c r="I574" s="27">
        <f t="shared" si="36"/>
        <v>1265</v>
      </c>
      <c r="J574" s="357"/>
      <c r="K574" s="267">
        <f>14.88*15+15.62*40</f>
        <v>848</v>
      </c>
      <c r="L574" s="56">
        <v>41144</v>
      </c>
      <c r="M574" s="225" t="s">
        <v>3082</v>
      </c>
      <c r="N574" s="235">
        <f t="shared" si="33"/>
        <v>1265</v>
      </c>
      <c r="O574" s="235">
        <f t="shared" si="34"/>
        <v>0</v>
      </c>
      <c r="P574" s="28" t="s">
        <v>3104</v>
      </c>
      <c r="Q574" s="225" t="s">
        <v>3084</v>
      </c>
      <c r="R574" s="29" t="s">
        <v>3105</v>
      </c>
      <c r="S574" s="28" t="s">
        <v>3106</v>
      </c>
      <c r="T574" s="28"/>
      <c r="U574" s="28"/>
      <c r="V574" s="28" t="s">
        <v>3107</v>
      </c>
      <c r="W574" s="27">
        <v>2855</v>
      </c>
      <c r="X574" s="25">
        <v>41144</v>
      </c>
      <c r="Y574" s="268"/>
      <c r="Z574" s="268"/>
      <c r="AA574" s="70"/>
      <c r="AB574" s="225" t="s">
        <v>3095</v>
      </c>
    </row>
    <row r="575" spans="1:28" s="225" customFormat="1" ht="11.25" customHeight="1">
      <c r="A575" s="25">
        <v>41144</v>
      </c>
      <c r="B575" s="1" t="s">
        <v>3103</v>
      </c>
      <c r="C575" s="225" t="s">
        <v>2189</v>
      </c>
      <c r="D575" s="225" t="s">
        <v>3109</v>
      </c>
      <c r="E575" s="225" t="s">
        <v>3110</v>
      </c>
      <c r="F575" s="5">
        <v>210</v>
      </c>
      <c r="G575" s="225" t="s">
        <v>3081</v>
      </c>
      <c r="H575" s="31">
        <v>6</v>
      </c>
      <c r="I575" s="27">
        <f t="shared" si="36"/>
        <v>1260</v>
      </c>
      <c r="J575" s="357"/>
      <c r="K575" s="241">
        <f>3.97*F575</f>
        <v>833.7</v>
      </c>
      <c r="L575" s="56">
        <v>41144</v>
      </c>
      <c r="M575" s="225" t="s">
        <v>3082</v>
      </c>
      <c r="N575" s="235">
        <f t="shared" si="33"/>
        <v>1260</v>
      </c>
      <c r="O575" s="235">
        <f t="shared" si="34"/>
        <v>0</v>
      </c>
      <c r="P575" s="28" t="s">
        <v>3104</v>
      </c>
      <c r="Q575" s="225" t="s">
        <v>3084</v>
      </c>
      <c r="R575" s="29" t="s">
        <v>3105</v>
      </c>
      <c r="S575" s="28" t="s">
        <v>3106</v>
      </c>
      <c r="T575" s="28"/>
      <c r="U575" s="28"/>
      <c r="V575" s="28" t="s">
        <v>3107</v>
      </c>
      <c r="W575" s="27">
        <v>2855</v>
      </c>
      <c r="X575" s="25">
        <v>41144</v>
      </c>
      <c r="Y575" s="268"/>
      <c r="Z575" s="268" t="s">
        <v>3094</v>
      </c>
      <c r="AA575" s="70"/>
      <c r="AB575" s="225" t="s">
        <v>3095</v>
      </c>
    </row>
    <row r="576" spans="1:28" s="225" customFormat="1" ht="11.25" customHeight="1">
      <c r="A576" s="25">
        <v>41145</v>
      </c>
      <c r="B576" s="225" t="s">
        <v>3111</v>
      </c>
      <c r="C576" s="225" t="s">
        <v>2189</v>
      </c>
      <c r="D576" s="5" t="s">
        <v>2238</v>
      </c>
      <c r="E576" s="225" t="s">
        <v>2239</v>
      </c>
      <c r="F576" s="5">
        <v>500</v>
      </c>
      <c r="G576" s="1" t="s">
        <v>5002</v>
      </c>
      <c r="H576" s="234">
        <v>1.59</v>
      </c>
      <c r="I576" s="27">
        <f>H576*F576</f>
        <v>795</v>
      </c>
      <c r="J576" s="358">
        <v>1.46</v>
      </c>
      <c r="K576" s="267">
        <f>1.46*F576</f>
        <v>730</v>
      </c>
      <c r="L576" s="56">
        <v>41215</v>
      </c>
      <c r="M576" s="225" t="s">
        <v>3112</v>
      </c>
      <c r="N576" s="235">
        <f t="shared" si="33"/>
        <v>795</v>
      </c>
      <c r="O576" s="235">
        <f t="shared" si="34"/>
        <v>0</v>
      </c>
      <c r="P576" s="238" t="s">
        <v>4918</v>
      </c>
      <c r="Q576" s="1" t="s">
        <v>3113</v>
      </c>
      <c r="R576" s="10" t="s">
        <v>3114</v>
      </c>
      <c r="S576" s="10">
        <v>13452102967</v>
      </c>
      <c r="T576" s="10" t="s">
        <v>775</v>
      </c>
      <c r="U576" s="28"/>
      <c r="V576" s="28" t="s">
        <v>3093</v>
      </c>
      <c r="W576" s="27"/>
      <c r="X576" s="25"/>
      <c r="Y576" s="268"/>
      <c r="Z576" s="268"/>
      <c r="AA576" s="70"/>
      <c r="AB576" s="225" t="s">
        <v>379</v>
      </c>
    </row>
    <row r="577" spans="1:28" s="225" customFormat="1" ht="11.25" customHeight="1">
      <c r="A577" s="25">
        <v>41145</v>
      </c>
      <c r="B577" s="225" t="s">
        <v>3111</v>
      </c>
      <c r="C577" s="225" t="s">
        <v>2189</v>
      </c>
      <c r="D577" s="1" t="s">
        <v>3115</v>
      </c>
      <c r="E577" s="1">
        <v>10435</v>
      </c>
      <c r="F577" s="5">
        <v>2</v>
      </c>
      <c r="G577" s="225" t="s">
        <v>3081</v>
      </c>
      <c r="H577" s="234">
        <v>15.6</v>
      </c>
      <c r="I577" s="27">
        <f>H577*F577</f>
        <v>31.2</v>
      </c>
      <c r="J577" s="357"/>
      <c r="K577" s="269">
        <f>14.8*F577</f>
        <v>29.6</v>
      </c>
      <c r="L577" s="56">
        <v>41215</v>
      </c>
      <c r="M577" s="225" t="s">
        <v>3112</v>
      </c>
      <c r="N577" s="235">
        <f t="shared" si="33"/>
        <v>31.2</v>
      </c>
      <c r="O577" s="235">
        <f t="shared" si="34"/>
        <v>0</v>
      </c>
      <c r="P577" s="238" t="s">
        <v>4918</v>
      </c>
      <c r="Q577" s="1" t="s">
        <v>3113</v>
      </c>
      <c r="R577" s="10" t="s">
        <v>3114</v>
      </c>
      <c r="S577" s="10">
        <v>13452102967</v>
      </c>
      <c r="T577" s="10" t="s">
        <v>775</v>
      </c>
      <c r="U577" s="28"/>
      <c r="V577" s="28" t="s">
        <v>3093</v>
      </c>
      <c r="W577" s="27"/>
      <c r="X577" s="25"/>
      <c r="Y577" s="268"/>
      <c r="Z577" s="268" t="s">
        <v>3094</v>
      </c>
      <c r="AA577" s="70"/>
      <c r="AB577" s="225" t="s">
        <v>379</v>
      </c>
    </row>
    <row r="578" spans="1:28" s="225" customFormat="1" ht="11.25" customHeight="1">
      <c r="A578" s="25">
        <v>41145</v>
      </c>
      <c r="B578" s="225" t="s">
        <v>3116</v>
      </c>
      <c r="C578" s="225" t="s">
        <v>2189</v>
      </c>
      <c r="D578" s="225" t="s">
        <v>3117</v>
      </c>
      <c r="E578" s="1" t="s">
        <v>2190</v>
      </c>
      <c r="F578" s="5">
        <v>3000</v>
      </c>
      <c r="G578" s="1" t="s">
        <v>232</v>
      </c>
      <c r="H578" s="234">
        <v>5.2</v>
      </c>
      <c r="I578" s="27">
        <f t="shared" ref="I578:I636" si="38">H578*F578</f>
        <v>15600</v>
      </c>
      <c r="J578" s="357"/>
      <c r="K578" s="267">
        <f>4.78*F578</f>
        <v>14340</v>
      </c>
      <c r="L578" s="56">
        <v>41146</v>
      </c>
      <c r="M578" s="225" t="s">
        <v>3072</v>
      </c>
      <c r="N578" s="235">
        <f t="shared" si="33"/>
        <v>15600</v>
      </c>
      <c r="O578" s="235">
        <f t="shared" si="34"/>
        <v>0</v>
      </c>
      <c r="P578" s="28" t="s">
        <v>3118</v>
      </c>
      <c r="Q578" s="225" t="s">
        <v>3119</v>
      </c>
      <c r="R578" s="29" t="s">
        <v>3120</v>
      </c>
      <c r="S578" s="10">
        <v>13888391766</v>
      </c>
      <c r="T578" s="28" t="s">
        <v>3121</v>
      </c>
      <c r="U578" s="238" t="s">
        <v>3122</v>
      </c>
      <c r="V578" s="238" t="s">
        <v>3123</v>
      </c>
      <c r="W578" s="236" t="s">
        <v>3124</v>
      </c>
      <c r="X578" s="25">
        <v>41163</v>
      </c>
      <c r="Y578" s="28" t="s">
        <v>3125</v>
      </c>
      <c r="Z578" s="268"/>
      <c r="AA578" s="70"/>
      <c r="AB578" s="225" t="s">
        <v>379</v>
      </c>
    </row>
    <row r="579" spans="1:28" s="225" customFormat="1" ht="11.25" customHeight="1">
      <c r="A579" s="25">
        <v>41145</v>
      </c>
      <c r="B579" s="225" t="s">
        <v>3116</v>
      </c>
      <c r="C579" s="225" t="s">
        <v>2189</v>
      </c>
      <c r="D579" s="5" t="s">
        <v>2238</v>
      </c>
      <c r="E579" s="1" t="s">
        <v>2239</v>
      </c>
      <c r="F579" s="5">
        <v>500</v>
      </c>
      <c r="G579" s="1" t="s">
        <v>5002</v>
      </c>
      <c r="H579" s="234">
        <v>1.65</v>
      </c>
      <c r="I579" s="27">
        <f t="shared" si="38"/>
        <v>825</v>
      </c>
      <c r="J579" s="358">
        <v>1.46</v>
      </c>
      <c r="K579" s="267">
        <f>1.46*F579</f>
        <v>730</v>
      </c>
      <c r="L579" s="56">
        <v>41146</v>
      </c>
      <c r="M579" s="225" t="s">
        <v>3072</v>
      </c>
      <c r="N579" s="235">
        <f t="shared" ref="N579:N642" si="39">I579</f>
        <v>825</v>
      </c>
      <c r="O579" s="235">
        <f t="shared" ref="O579:O642" si="40">I579-N579</f>
        <v>0</v>
      </c>
      <c r="P579" s="28" t="s">
        <v>3118</v>
      </c>
      <c r="Q579" s="225" t="s">
        <v>3119</v>
      </c>
      <c r="R579" s="29" t="s">
        <v>3120</v>
      </c>
      <c r="S579" s="10">
        <v>13888391766</v>
      </c>
      <c r="T579" s="28" t="s">
        <v>3121</v>
      </c>
      <c r="U579" s="238" t="s">
        <v>3122</v>
      </c>
      <c r="V579" s="28" t="s">
        <v>3126</v>
      </c>
      <c r="W579" s="27">
        <v>10710</v>
      </c>
      <c r="X579" s="25">
        <v>41163</v>
      </c>
      <c r="Y579" s="28" t="s">
        <v>3125</v>
      </c>
      <c r="Z579" s="268"/>
      <c r="AA579" s="70"/>
      <c r="AB579" s="225" t="s">
        <v>379</v>
      </c>
    </row>
    <row r="580" spans="1:28" s="225" customFormat="1" ht="11.25" customHeight="1">
      <c r="A580" s="25">
        <v>41145</v>
      </c>
      <c r="B580" s="225" t="s">
        <v>3116</v>
      </c>
      <c r="C580" s="225" t="s">
        <v>2189</v>
      </c>
      <c r="D580" s="1" t="s">
        <v>264</v>
      </c>
      <c r="E580" s="1">
        <v>501</v>
      </c>
      <c r="F580" s="5">
        <v>300</v>
      </c>
      <c r="G580" s="232" t="s">
        <v>3127</v>
      </c>
      <c r="H580" s="234">
        <v>1.45</v>
      </c>
      <c r="I580" s="27">
        <f t="shared" si="38"/>
        <v>435</v>
      </c>
      <c r="J580" s="357">
        <v>1.39</v>
      </c>
      <c r="K580" s="267">
        <f>1.39*F580</f>
        <v>416.99999999999994</v>
      </c>
      <c r="L580" s="56">
        <v>41146</v>
      </c>
      <c r="M580" s="225" t="s">
        <v>2092</v>
      </c>
      <c r="N580" s="235">
        <f t="shared" si="39"/>
        <v>435</v>
      </c>
      <c r="O580" s="235">
        <f t="shared" si="40"/>
        <v>0</v>
      </c>
      <c r="P580" s="28" t="s">
        <v>3128</v>
      </c>
      <c r="Q580" s="225" t="s">
        <v>1257</v>
      </c>
      <c r="R580" s="29" t="s">
        <v>2760</v>
      </c>
      <c r="S580" s="10">
        <v>13888391766</v>
      </c>
      <c r="T580" s="28" t="s">
        <v>3129</v>
      </c>
      <c r="U580" s="238" t="s">
        <v>3130</v>
      </c>
      <c r="V580" s="28" t="s">
        <v>3131</v>
      </c>
      <c r="W580" s="27">
        <v>10710</v>
      </c>
      <c r="X580" s="25">
        <v>41163</v>
      </c>
      <c r="Y580" s="28" t="s">
        <v>3132</v>
      </c>
      <c r="Z580" s="268"/>
      <c r="AA580" s="70"/>
      <c r="AB580" s="225" t="s">
        <v>379</v>
      </c>
    </row>
    <row r="581" spans="1:28" s="225" customFormat="1" ht="11.25" customHeight="1">
      <c r="A581" s="25">
        <v>41145</v>
      </c>
      <c r="B581" s="225" t="s">
        <v>3133</v>
      </c>
      <c r="C581" s="225" t="s">
        <v>2095</v>
      </c>
      <c r="D581" s="5" t="s">
        <v>857</v>
      </c>
      <c r="E581" s="225">
        <v>9031</v>
      </c>
      <c r="F581" s="5">
        <v>500</v>
      </c>
      <c r="G581" s="232" t="s">
        <v>3134</v>
      </c>
      <c r="H581" s="31">
        <v>2.4</v>
      </c>
      <c r="I581" s="27">
        <f t="shared" si="38"/>
        <v>1200</v>
      </c>
      <c r="J581" s="357"/>
      <c r="K581" s="267">
        <f>1.49*F581</f>
        <v>745</v>
      </c>
      <c r="L581" s="56">
        <v>41155</v>
      </c>
      <c r="M581" s="225" t="s">
        <v>2092</v>
      </c>
      <c r="N581" s="235">
        <f t="shared" si="39"/>
        <v>1200</v>
      </c>
      <c r="O581" s="235">
        <f t="shared" si="40"/>
        <v>0</v>
      </c>
      <c r="P581" s="28" t="s">
        <v>3135</v>
      </c>
      <c r="Q581" s="225" t="s">
        <v>3136</v>
      </c>
      <c r="R581" s="29" t="s">
        <v>3137</v>
      </c>
      <c r="S581" s="28" t="s">
        <v>3138</v>
      </c>
      <c r="T581" s="28" t="s">
        <v>3139</v>
      </c>
      <c r="U581" s="28" t="s">
        <v>3140</v>
      </c>
      <c r="V581" s="28" t="s">
        <v>3141</v>
      </c>
      <c r="W581" s="27">
        <v>1660</v>
      </c>
      <c r="X581" s="25">
        <v>41145</v>
      </c>
      <c r="Y581" s="268"/>
      <c r="Z581" s="268"/>
      <c r="AA581" s="70"/>
      <c r="AB581" s="225" t="s">
        <v>3142</v>
      </c>
    </row>
    <row r="582" spans="1:28" s="225" customFormat="1" ht="11.25" customHeight="1">
      <c r="A582" s="25">
        <v>41145</v>
      </c>
      <c r="B582" s="225" t="s">
        <v>3133</v>
      </c>
      <c r="C582" s="225" t="s">
        <v>2095</v>
      </c>
      <c r="D582" s="1" t="s">
        <v>2024</v>
      </c>
      <c r="E582" s="225">
        <v>10434</v>
      </c>
      <c r="F582" s="5">
        <v>20</v>
      </c>
      <c r="G582" s="225" t="s">
        <v>3143</v>
      </c>
      <c r="H582" s="31">
        <v>23</v>
      </c>
      <c r="I582" s="27">
        <f t="shared" si="38"/>
        <v>460</v>
      </c>
      <c r="J582" s="357"/>
      <c r="K582" s="267">
        <f>14.88*F582</f>
        <v>297.60000000000002</v>
      </c>
      <c r="L582" s="56">
        <v>41155</v>
      </c>
      <c r="M582" s="225" t="s">
        <v>2092</v>
      </c>
      <c r="N582" s="235">
        <f t="shared" si="39"/>
        <v>460</v>
      </c>
      <c r="O582" s="235">
        <f t="shared" si="40"/>
        <v>0</v>
      </c>
      <c r="P582" s="28" t="s">
        <v>3135</v>
      </c>
      <c r="Q582" s="225" t="s">
        <v>3136</v>
      </c>
      <c r="R582" s="29" t="s">
        <v>3137</v>
      </c>
      <c r="S582" s="28" t="s">
        <v>3138</v>
      </c>
      <c r="T582" s="28" t="s">
        <v>3139</v>
      </c>
      <c r="U582" s="28" t="s">
        <v>3140</v>
      </c>
      <c r="V582" s="28" t="s">
        <v>3141</v>
      </c>
      <c r="W582" s="27">
        <v>1660</v>
      </c>
      <c r="X582" s="25">
        <v>41145</v>
      </c>
      <c r="Y582" s="268"/>
      <c r="Z582" s="268"/>
      <c r="AA582" s="70"/>
      <c r="AB582" s="225" t="s">
        <v>3142</v>
      </c>
    </row>
    <row r="583" spans="1:28" s="225" customFormat="1" ht="11.25" customHeight="1">
      <c r="A583" s="25">
        <v>41145</v>
      </c>
      <c r="B583" s="225" t="s">
        <v>643</v>
      </c>
      <c r="C583" s="225" t="s">
        <v>2095</v>
      </c>
      <c r="D583" s="5" t="s">
        <v>2026</v>
      </c>
      <c r="E583" s="225" t="s">
        <v>2513</v>
      </c>
      <c r="F583" s="5">
        <v>100</v>
      </c>
      <c r="G583" s="1" t="s">
        <v>5002</v>
      </c>
      <c r="H583" s="31">
        <v>2</v>
      </c>
      <c r="I583" s="27">
        <f t="shared" si="38"/>
        <v>200</v>
      </c>
      <c r="J583" s="358">
        <v>1.46</v>
      </c>
      <c r="K583" s="267">
        <f>1.46*F583</f>
        <v>146</v>
      </c>
      <c r="L583" s="56">
        <v>41145</v>
      </c>
      <c r="M583" s="225" t="s">
        <v>3144</v>
      </c>
      <c r="N583" s="235">
        <f t="shared" si="39"/>
        <v>200</v>
      </c>
      <c r="O583" s="235">
        <f t="shared" si="40"/>
        <v>0</v>
      </c>
      <c r="P583" s="28" t="s">
        <v>3145</v>
      </c>
      <c r="Q583" s="225" t="s">
        <v>3146</v>
      </c>
      <c r="R583" s="29" t="s">
        <v>2329</v>
      </c>
      <c r="S583" s="28"/>
      <c r="T583" s="28"/>
      <c r="U583" s="28"/>
      <c r="V583" s="28" t="s">
        <v>2512</v>
      </c>
      <c r="W583" s="27"/>
      <c r="X583" s="25"/>
      <c r="Y583" s="268"/>
      <c r="Z583" s="268"/>
      <c r="AA583" s="70"/>
      <c r="AB583" s="225" t="s">
        <v>3142</v>
      </c>
    </row>
    <row r="584" spans="1:28" ht="11.25" customHeight="1">
      <c r="A584" s="25">
        <v>41145</v>
      </c>
      <c r="B584" s="225" t="s">
        <v>3147</v>
      </c>
      <c r="C584" s="225" t="s">
        <v>2095</v>
      </c>
      <c r="D584" s="225" t="s">
        <v>87</v>
      </c>
      <c r="E584" s="225">
        <v>9032</v>
      </c>
      <c r="F584" s="5">
        <v>50</v>
      </c>
      <c r="G584" s="1" t="s">
        <v>2101</v>
      </c>
      <c r="H584" s="31">
        <v>2</v>
      </c>
      <c r="I584" s="27">
        <f t="shared" si="38"/>
        <v>100</v>
      </c>
      <c r="J584" s="357"/>
      <c r="K584" s="267">
        <f>1.49*F584</f>
        <v>74.5</v>
      </c>
      <c r="L584" s="56">
        <v>41145</v>
      </c>
      <c r="M584" s="225" t="s">
        <v>3144</v>
      </c>
      <c r="N584" s="235">
        <f t="shared" si="39"/>
        <v>100</v>
      </c>
      <c r="O584" s="235">
        <f t="shared" si="40"/>
        <v>0</v>
      </c>
      <c r="P584" s="28" t="s">
        <v>3145</v>
      </c>
      <c r="Q584" s="225" t="s">
        <v>3146</v>
      </c>
      <c r="R584" s="29" t="s">
        <v>2329</v>
      </c>
      <c r="S584" s="28"/>
      <c r="T584" s="28"/>
      <c r="U584" s="28"/>
      <c r="V584" s="28" t="s">
        <v>2512</v>
      </c>
      <c r="W584" s="27"/>
      <c r="X584" s="25"/>
      <c r="Y584" s="268"/>
      <c r="Z584" s="268"/>
      <c r="AA584" s="70"/>
      <c r="AB584" s="225" t="s">
        <v>3142</v>
      </c>
    </row>
    <row r="585" spans="1:28" ht="11.25" customHeight="1">
      <c r="A585" s="233">
        <v>41148</v>
      </c>
      <c r="B585" s="1" t="s">
        <v>3148</v>
      </c>
      <c r="C585" s="225" t="s">
        <v>2095</v>
      </c>
      <c r="D585" s="1" t="s">
        <v>233</v>
      </c>
      <c r="E585" s="1" t="s">
        <v>2123</v>
      </c>
      <c r="F585" s="5">
        <v>100</v>
      </c>
      <c r="G585" s="1" t="s">
        <v>232</v>
      </c>
      <c r="H585" s="234">
        <v>8.5</v>
      </c>
      <c r="I585" s="236">
        <f t="shared" si="38"/>
        <v>850</v>
      </c>
      <c r="K585" s="241">
        <f>22*5.1+78*4.78</f>
        <v>485.04</v>
      </c>
      <c r="L585" s="237">
        <v>41148</v>
      </c>
      <c r="M585" s="225" t="s">
        <v>2092</v>
      </c>
      <c r="N585" s="235">
        <f t="shared" si="39"/>
        <v>850</v>
      </c>
      <c r="O585" s="235">
        <f t="shared" si="40"/>
        <v>0</v>
      </c>
      <c r="P585" s="238" t="s">
        <v>3149</v>
      </c>
      <c r="Q585" s="225" t="s">
        <v>3146</v>
      </c>
      <c r="R585" s="239" t="s">
        <v>3150</v>
      </c>
      <c r="S585" s="238" t="s">
        <v>3151</v>
      </c>
      <c r="T585" s="238" t="s">
        <v>140</v>
      </c>
      <c r="V585" s="238" t="s">
        <v>3152</v>
      </c>
      <c r="W585" s="236">
        <v>2200</v>
      </c>
      <c r="X585" s="233">
        <v>41148</v>
      </c>
      <c r="Y585" s="255"/>
      <c r="AB585" s="225" t="s">
        <v>3142</v>
      </c>
    </row>
    <row r="586" spans="1:28" ht="11.25" customHeight="1">
      <c r="A586" s="233">
        <v>41148</v>
      </c>
      <c r="B586" s="1" t="s">
        <v>3148</v>
      </c>
      <c r="C586" s="225" t="s">
        <v>2095</v>
      </c>
      <c r="D586" s="1" t="s">
        <v>355</v>
      </c>
      <c r="E586" s="1" t="s">
        <v>2516</v>
      </c>
      <c r="F586" s="5">
        <v>50</v>
      </c>
      <c r="G586" s="1" t="s">
        <v>2101</v>
      </c>
      <c r="H586" s="234">
        <v>27</v>
      </c>
      <c r="I586" s="236">
        <f t="shared" si="38"/>
        <v>1350</v>
      </c>
      <c r="K586" s="241">
        <f>17.5*F586</f>
        <v>875</v>
      </c>
      <c r="L586" s="237">
        <v>41148</v>
      </c>
      <c r="M586" s="225" t="s">
        <v>2092</v>
      </c>
      <c r="N586" s="235">
        <f t="shared" si="39"/>
        <v>1350</v>
      </c>
      <c r="O586" s="235">
        <f t="shared" si="40"/>
        <v>0</v>
      </c>
      <c r="P586" s="238" t="s">
        <v>3149</v>
      </c>
      <c r="Q586" s="225" t="s">
        <v>3146</v>
      </c>
      <c r="R586" s="239" t="s">
        <v>3150</v>
      </c>
      <c r="S586" s="238" t="s">
        <v>3151</v>
      </c>
      <c r="T586" s="238" t="s">
        <v>140</v>
      </c>
      <c r="V586" s="238" t="s">
        <v>3152</v>
      </c>
      <c r="W586" s="236">
        <v>2200</v>
      </c>
      <c r="X586" s="233">
        <v>41148</v>
      </c>
      <c r="Y586" s="255"/>
      <c r="AB586" s="225" t="s">
        <v>3142</v>
      </c>
    </row>
    <row r="587" spans="1:28" ht="11.25" customHeight="1">
      <c r="A587" s="233">
        <v>41148</v>
      </c>
      <c r="B587" s="1" t="s">
        <v>2983</v>
      </c>
      <c r="C587" s="1" t="s">
        <v>2095</v>
      </c>
      <c r="D587" s="1" t="s">
        <v>9</v>
      </c>
      <c r="E587" s="1">
        <v>2096</v>
      </c>
      <c r="F587" s="5">
        <v>-148</v>
      </c>
      <c r="G587" s="1" t="s">
        <v>2514</v>
      </c>
      <c r="H587" s="234">
        <v>13.62</v>
      </c>
      <c r="I587" s="236">
        <f t="shared" si="38"/>
        <v>-2015.76</v>
      </c>
      <c r="J587" s="351"/>
      <c r="K587" s="241">
        <f>12.65*F587</f>
        <v>-1872.2</v>
      </c>
      <c r="L587" s="237" t="s">
        <v>2097</v>
      </c>
      <c r="M587" s="229" t="s">
        <v>2566</v>
      </c>
      <c r="N587" s="235">
        <f t="shared" si="39"/>
        <v>-2015.76</v>
      </c>
      <c r="O587" s="235">
        <f t="shared" si="40"/>
        <v>0</v>
      </c>
      <c r="P587" s="238" t="s">
        <v>4918</v>
      </c>
      <c r="Q587" s="1" t="s">
        <v>1875</v>
      </c>
      <c r="R587" s="239" t="s">
        <v>5679</v>
      </c>
      <c r="S587" s="238" t="s">
        <v>5679</v>
      </c>
      <c r="T587" s="238" t="s">
        <v>5679</v>
      </c>
      <c r="U587" s="238" t="s">
        <v>5679</v>
      </c>
      <c r="V587" s="238" t="s">
        <v>5679</v>
      </c>
      <c r="W587" s="236" t="s">
        <v>5679</v>
      </c>
      <c r="X587" s="233" t="s">
        <v>5679</v>
      </c>
      <c r="Y587" s="255"/>
      <c r="AB587" s="1" t="s">
        <v>2551</v>
      </c>
    </row>
    <row r="588" spans="1:28" ht="11.25" customHeight="1">
      <c r="A588" s="233">
        <v>41148</v>
      </c>
      <c r="B588" s="1" t="s">
        <v>3153</v>
      </c>
      <c r="C588" s="1" t="s">
        <v>2095</v>
      </c>
      <c r="D588" s="1" t="s">
        <v>9</v>
      </c>
      <c r="E588" s="1">
        <v>2096</v>
      </c>
      <c r="F588" s="5">
        <v>12</v>
      </c>
      <c r="G588" s="1" t="s">
        <v>2514</v>
      </c>
      <c r="H588" s="234">
        <v>14.25</v>
      </c>
      <c r="I588" s="236">
        <f t="shared" si="38"/>
        <v>171</v>
      </c>
      <c r="K588" s="241">
        <f>12.65*F588</f>
        <v>151.80000000000001</v>
      </c>
      <c r="L588" s="237">
        <v>41148</v>
      </c>
      <c r="M588" s="1" t="s">
        <v>2097</v>
      </c>
      <c r="N588" s="235">
        <f t="shared" si="39"/>
        <v>171</v>
      </c>
      <c r="O588" s="235">
        <f t="shared" si="40"/>
        <v>0</v>
      </c>
      <c r="P588" s="238" t="s">
        <v>2097</v>
      </c>
      <c r="Q588" s="1" t="s">
        <v>2097</v>
      </c>
      <c r="R588" s="239" t="s">
        <v>729</v>
      </c>
      <c r="S588" s="238" t="s">
        <v>730</v>
      </c>
      <c r="T588" s="238" t="s">
        <v>798</v>
      </c>
      <c r="U588" s="238" t="s">
        <v>5247</v>
      </c>
      <c r="Y588" s="255"/>
      <c r="AB588" s="1" t="s">
        <v>2551</v>
      </c>
    </row>
    <row r="589" spans="1:28" ht="11.25" customHeight="1">
      <c r="A589" s="233">
        <v>41149</v>
      </c>
      <c r="B589" s="1" t="s">
        <v>141</v>
      </c>
      <c r="C589" s="1" t="s">
        <v>2095</v>
      </c>
      <c r="D589" s="225" t="s">
        <v>1903</v>
      </c>
      <c r="E589" s="1" t="s">
        <v>3154</v>
      </c>
      <c r="F589" s="5">
        <v>9</v>
      </c>
      <c r="G589" s="1" t="s">
        <v>3155</v>
      </c>
      <c r="H589" s="234">
        <v>220</v>
      </c>
      <c r="I589" s="236">
        <f t="shared" si="38"/>
        <v>1980</v>
      </c>
      <c r="K589" s="241">
        <f>181.35*F589</f>
        <v>1632.1499999999999</v>
      </c>
      <c r="L589" s="237">
        <v>41149</v>
      </c>
      <c r="M589" s="225" t="s">
        <v>3144</v>
      </c>
      <c r="N589" s="235">
        <f t="shared" si="39"/>
        <v>1980</v>
      </c>
      <c r="O589" s="235">
        <f t="shared" si="40"/>
        <v>0</v>
      </c>
      <c r="P589" s="238" t="s">
        <v>3156</v>
      </c>
      <c r="Q589" s="225" t="s">
        <v>3146</v>
      </c>
      <c r="R589" s="239" t="s">
        <v>3157</v>
      </c>
      <c r="S589" s="238" t="s">
        <v>3158</v>
      </c>
      <c r="T589" s="238" t="s">
        <v>3159</v>
      </c>
      <c r="V589" s="238" t="s">
        <v>3160</v>
      </c>
      <c r="W589" s="236">
        <v>2200</v>
      </c>
      <c r="X589" s="233">
        <v>41149</v>
      </c>
      <c r="AB589" s="225" t="s">
        <v>3142</v>
      </c>
    </row>
    <row r="590" spans="1:28" ht="11.25" customHeight="1">
      <c r="A590" s="233">
        <v>41149</v>
      </c>
      <c r="B590" s="1" t="s">
        <v>141</v>
      </c>
      <c r="C590" s="1" t="s">
        <v>2095</v>
      </c>
      <c r="D590" s="5" t="s">
        <v>2029</v>
      </c>
      <c r="E590" s="1">
        <v>7502</v>
      </c>
      <c r="F590" s="5">
        <v>1</v>
      </c>
      <c r="G590" s="1" t="s">
        <v>2101</v>
      </c>
      <c r="H590" s="234">
        <v>142.4</v>
      </c>
      <c r="I590" s="236">
        <f t="shared" si="38"/>
        <v>142.4</v>
      </c>
      <c r="J590" s="352">
        <v>125</v>
      </c>
      <c r="K590" s="241">
        <f>125*F590</f>
        <v>125</v>
      </c>
      <c r="L590" s="237">
        <v>41149</v>
      </c>
      <c r="M590" s="225" t="s">
        <v>3144</v>
      </c>
      <c r="N590" s="235">
        <f t="shared" si="39"/>
        <v>142.4</v>
      </c>
      <c r="O590" s="235">
        <f t="shared" si="40"/>
        <v>0</v>
      </c>
      <c r="P590" s="238" t="s">
        <v>3156</v>
      </c>
      <c r="Q590" s="225" t="s">
        <v>3146</v>
      </c>
      <c r="R590" s="239" t="s">
        <v>3157</v>
      </c>
      <c r="S590" s="238" t="s">
        <v>3158</v>
      </c>
      <c r="T590" s="238" t="s">
        <v>3159</v>
      </c>
      <c r="V590" s="238" t="s">
        <v>3160</v>
      </c>
      <c r="W590" s="236">
        <v>2200</v>
      </c>
      <c r="X590" s="233">
        <v>41149</v>
      </c>
      <c r="AB590" s="225" t="s">
        <v>3142</v>
      </c>
    </row>
    <row r="591" spans="1:28" ht="11.25" customHeight="1">
      <c r="A591" s="233">
        <v>41149</v>
      </c>
      <c r="B591" s="1" t="s">
        <v>141</v>
      </c>
      <c r="C591" s="1" t="s">
        <v>2095</v>
      </c>
      <c r="D591" s="1" t="s">
        <v>355</v>
      </c>
      <c r="E591" s="1" t="s">
        <v>2516</v>
      </c>
      <c r="F591" s="5">
        <v>2</v>
      </c>
      <c r="G591" s="1" t="s">
        <v>2101</v>
      </c>
      <c r="H591" s="234">
        <v>20</v>
      </c>
      <c r="I591" s="236">
        <f t="shared" si="38"/>
        <v>40</v>
      </c>
      <c r="K591" s="241">
        <f>17.5*F591</f>
        <v>35</v>
      </c>
      <c r="L591" s="237">
        <v>41149</v>
      </c>
      <c r="M591" s="225" t="s">
        <v>3144</v>
      </c>
      <c r="N591" s="235">
        <f t="shared" si="39"/>
        <v>40</v>
      </c>
      <c r="O591" s="235">
        <f t="shared" si="40"/>
        <v>0</v>
      </c>
      <c r="P591" s="238" t="s">
        <v>3156</v>
      </c>
      <c r="Q591" s="225" t="s">
        <v>3146</v>
      </c>
      <c r="R591" s="239" t="s">
        <v>3157</v>
      </c>
      <c r="S591" s="238" t="s">
        <v>3158</v>
      </c>
      <c r="T591" s="238" t="s">
        <v>3159</v>
      </c>
      <c r="V591" s="238" t="s">
        <v>3160</v>
      </c>
      <c r="W591" s="236">
        <v>2200</v>
      </c>
      <c r="X591" s="233">
        <v>41149</v>
      </c>
      <c r="AB591" s="225" t="s">
        <v>3142</v>
      </c>
    </row>
    <row r="592" spans="1:28" ht="11.25" customHeight="1">
      <c r="A592" s="233">
        <v>41149</v>
      </c>
      <c r="B592" s="1" t="s">
        <v>141</v>
      </c>
      <c r="C592" s="1" t="s">
        <v>2095</v>
      </c>
      <c r="D592" s="1" t="s">
        <v>233</v>
      </c>
      <c r="E592" s="1" t="s">
        <v>2123</v>
      </c>
      <c r="F592" s="5">
        <v>4</v>
      </c>
      <c r="G592" s="1" t="s">
        <v>232</v>
      </c>
      <c r="H592" s="234">
        <v>8.5</v>
      </c>
      <c r="I592" s="236">
        <f t="shared" si="38"/>
        <v>34</v>
      </c>
      <c r="K592" s="241">
        <f>4.78*F592</f>
        <v>19.12</v>
      </c>
      <c r="L592" s="237">
        <v>41149</v>
      </c>
      <c r="M592" s="225" t="s">
        <v>3144</v>
      </c>
      <c r="N592" s="235">
        <f t="shared" si="39"/>
        <v>34</v>
      </c>
      <c r="O592" s="235">
        <f t="shared" si="40"/>
        <v>0</v>
      </c>
      <c r="P592" s="238" t="s">
        <v>3156</v>
      </c>
      <c r="Q592" s="225" t="s">
        <v>3146</v>
      </c>
      <c r="R592" s="239" t="s">
        <v>3157</v>
      </c>
      <c r="S592" s="238" t="s">
        <v>3158</v>
      </c>
      <c r="T592" s="238" t="s">
        <v>3159</v>
      </c>
      <c r="V592" s="238" t="s">
        <v>3160</v>
      </c>
      <c r="W592" s="236">
        <v>2200</v>
      </c>
      <c r="X592" s="233">
        <v>41149</v>
      </c>
      <c r="AB592" s="225" t="s">
        <v>3142</v>
      </c>
    </row>
    <row r="593" spans="1:28" ht="11.25" customHeight="1">
      <c r="A593" s="233">
        <v>41149</v>
      </c>
      <c r="B593" s="1" t="s">
        <v>3161</v>
      </c>
      <c r="C593" s="1" t="s">
        <v>2095</v>
      </c>
      <c r="D593" s="1" t="s">
        <v>264</v>
      </c>
      <c r="E593" s="1">
        <v>501</v>
      </c>
      <c r="F593" s="5">
        <v>2</v>
      </c>
      <c r="G593" s="1" t="s">
        <v>2101</v>
      </c>
      <c r="H593" s="234">
        <v>1.8</v>
      </c>
      <c r="I593" s="236">
        <f t="shared" si="38"/>
        <v>3.6</v>
      </c>
      <c r="J593" s="352">
        <v>1.39</v>
      </c>
      <c r="K593" s="241">
        <f>1.39*F593</f>
        <v>2.78</v>
      </c>
      <c r="L593" s="237">
        <v>41149</v>
      </c>
      <c r="M593" s="225" t="s">
        <v>3144</v>
      </c>
      <c r="N593" s="235">
        <f t="shared" si="39"/>
        <v>3.6</v>
      </c>
      <c r="O593" s="235">
        <f t="shared" si="40"/>
        <v>0</v>
      </c>
      <c r="P593" s="238" t="s">
        <v>3156</v>
      </c>
      <c r="Q593" s="225" t="s">
        <v>3146</v>
      </c>
      <c r="R593" s="239" t="s">
        <v>3157</v>
      </c>
      <c r="S593" s="238" t="s">
        <v>3158</v>
      </c>
      <c r="T593" s="238" t="s">
        <v>3159</v>
      </c>
      <c r="V593" s="238" t="s">
        <v>3160</v>
      </c>
      <c r="W593" s="236">
        <v>2200</v>
      </c>
      <c r="X593" s="233">
        <v>41149</v>
      </c>
      <c r="AB593" s="225" t="s">
        <v>3142</v>
      </c>
    </row>
    <row r="594" spans="1:28" ht="11.25" customHeight="1">
      <c r="A594" s="233">
        <v>41149</v>
      </c>
      <c r="B594" s="1" t="s">
        <v>3162</v>
      </c>
      <c r="C594" s="1" t="s">
        <v>2095</v>
      </c>
      <c r="D594" s="1" t="s">
        <v>2027</v>
      </c>
      <c r="E594" s="1" t="s">
        <v>3163</v>
      </c>
      <c r="F594" s="5">
        <v>10</v>
      </c>
      <c r="G594" s="1" t="s">
        <v>3155</v>
      </c>
      <c r="H594" s="234">
        <v>45</v>
      </c>
      <c r="I594" s="236">
        <f t="shared" si="38"/>
        <v>450</v>
      </c>
      <c r="K594" s="241">
        <f>33.11*F594</f>
        <v>331.1</v>
      </c>
      <c r="L594" s="237">
        <v>41149</v>
      </c>
      <c r="M594" s="225" t="s">
        <v>3144</v>
      </c>
      <c r="N594" s="235">
        <f t="shared" si="39"/>
        <v>450</v>
      </c>
      <c r="O594" s="235">
        <f t="shared" si="40"/>
        <v>0</v>
      </c>
      <c r="P594" s="238" t="s">
        <v>4918</v>
      </c>
      <c r="Q594" s="225" t="s">
        <v>3146</v>
      </c>
      <c r="R594" s="239" t="s">
        <v>3164</v>
      </c>
      <c r="S594" s="238" t="s">
        <v>3165</v>
      </c>
      <c r="T594" s="238" t="s">
        <v>2709</v>
      </c>
      <c r="U594" s="238" t="s">
        <v>5502</v>
      </c>
      <c r="V594" s="238" t="s">
        <v>2512</v>
      </c>
      <c r="AB594" s="225" t="s">
        <v>3142</v>
      </c>
    </row>
    <row r="595" spans="1:28" ht="11.25" customHeight="1">
      <c r="A595" s="233">
        <v>41149</v>
      </c>
      <c r="B595" s="1" t="s">
        <v>3162</v>
      </c>
      <c r="C595" s="1" t="s">
        <v>2095</v>
      </c>
      <c r="D595" s="1" t="s">
        <v>1887</v>
      </c>
      <c r="E595" s="1" t="s">
        <v>2639</v>
      </c>
      <c r="F595" s="5">
        <v>100</v>
      </c>
      <c r="G595" s="1" t="s">
        <v>232</v>
      </c>
      <c r="H595" s="234">
        <v>2.5</v>
      </c>
      <c r="I595" s="236">
        <f t="shared" si="38"/>
        <v>250</v>
      </c>
      <c r="J595" s="359">
        <v>1.7</v>
      </c>
      <c r="K595" s="241">
        <f>1.7*F595</f>
        <v>170</v>
      </c>
      <c r="L595" s="237">
        <v>41149</v>
      </c>
      <c r="M595" s="225" t="s">
        <v>3144</v>
      </c>
      <c r="N595" s="235">
        <f t="shared" si="39"/>
        <v>250</v>
      </c>
      <c r="O595" s="235">
        <f t="shared" si="40"/>
        <v>0</v>
      </c>
      <c r="P595" s="238" t="s">
        <v>4918</v>
      </c>
      <c r="Q595" s="225" t="s">
        <v>3146</v>
      </c>
      <c r="R595" s="239" t="s">
        <v>3164</v>
      </c>
      <c r="S595" s="238" t="s">
        <v>3165</v>
      </c>
      <c r="T595" s="238" t="s">
        <v>2709</v>
      </c>
      <c r="U595" s="238" t="s">
        <v>5502</v>
      </c>
      <c r="V595" s="238" t="s">
        <v>2512</v>
      </c>
      <c r="AB595" s="225" t="s">
        <v>3142</v>
      </c>
    </row>
    <row r="596" spans="1:28" ht="11.25" customHeight="1">
      <c r="A596" s="233">
        <v>41149</v>
      </c>
      <c r="B596" s="1" t="s">
        <v>3162</v>
      </c>
      <c r="C596" s="1" t="s">
        <v>2095</v>
      </c>
      <c r="D596" s="1" t="s">
        <v>267</v>
      </c>
      <c r="E596" s="1">
        <v>12308</v>
      </c>
      <c r="F596" s="5">
        <v>3</v>
      </c>
      <c r="G596" s="1" t="s">
        <v>2420</v>
      </c>
      <c r="H596" s="234">
        <v>26</v>
      </c>
      <c r="I596" s="236">
        <f t="shared" si="38"/>
        <v>78</v>
      </c>
      <c r="K596" s="241">
        <f>18.779*F596</f>
        <v>56.337000000000003</v>
      </c>
      <c r="L596" s="237">
        <v>41149</v>
      </c>
      <c r="M596" s="225" t="s">
        <v>3144</v>
      </c>
      <c r="N596" s="235">
        <f t="shared" si="39"/>
        <v>78</v>
      </c>
      <c r="O596" s="235">
        <f t="shared" si="40"/>
        <v>0</v>
      </c>
      <c r="P596" s="238" t="s">
        <v>4918</v>
      </c>
      <c r="Q596" s="225" t="s">
        <v>3146</v>
      </c>
      <c r="R596" s="239" t="s">
        <v>3164</v>
      </c>
      <c r="S596" s="238" t="s">
        <v>3165</v>
      </c>
      <c r="T596" s="238" t="s">
        <v>2709</v>
      </c>
      <c r="U596" s="238" t="s">
        <v>5502</v>
      </c>
      <c r="V596" s="238" t="s">
        <v>2512</v>
      </c>
      <c r="AB596" s="225" t="s">
        <v>3142</v>
      </c>
    </row>
    <row r="597" spans="1:28" ht="11.25" customHeight="1">
      <c r="A597" s="233">
        <v>41149</v>
      </c>
      <c r="B597" s="1" t="s">
        <v>3162</v>
      </c>
      <c r="C597" s="1" t="s">
        <v>2095</v>
      </c>
      <c r="D597" s="1" t="s">
        <v>87</v>
      </c>
      <c r="E597" s="1">
        <v>9032</v>
      </c>
      <c r="F597" s="5">
        <v>10</v>
      </c>
      <c r="G597" s="1" t="s">
        <v>2101</v>
      </c>
      <c r="H597" s="234">
        <v>2.4</v>
      </c>
      <c r="I597" s="236">
        <f t="shared" si="38"/>
        <v>24</v>
      </c>
      <c r="K597" s="241">
        <f>1.49*F597</f>
        <v>14.9</v>
      </c>
      <c r="L597" s="237">
        <v>41149</v>
      </c>
      <c r="M597" s="225" t="s">
        <v>3144</v>
      </c>
      <c r="N597" s="235">
        <f t="shared" si="39"/>
        <v>24</v>
      </c>
      <c r="O597" s="235">
        <f t="shared" si="40"/>
        <v>0</v>
      </c>
      <c r="P597" s="238" t="s">
        <v>4918</v>
      </c>
      <c r="Q597" s="225" t="s">
        <v>3146</v>
      </c>
      <c r="R597" s="239" t="s">
        <v>3164</v>
      </c>
      <c r="S597" s="238" t="s">
        <v>3165</v>
      </c>
      <c r="T597" s="238" t="s">
        <v>2709</v>
      </c>
      <c r="U597" s="238" t="s">
        <v>5502</v>
      </c>
      <c r="V597" s="238" t="s">
        <v>2512</v>
      </c>
      <c r="AB597" s="225" t="s">
        <v>3142</v>
      </c>
    </row>
    <row r="598" spans="1:28" ht="11.25" customHeight="1">
      <c r="A598" s="233">
        <v>41150</v>
      </c>
      <c r="B598" s="1" t="s">
        <v>3166</v>
      </c>
      <c r="C598" s="1" t="s">
        <v>2095</v>
      </c>
      <c r="D598" s="1" t="s">
        <v>1720</v>
      </c>
      <c r="E598" s="1">
        <v>8210</v>
      </c>
      <c r="F598" s="5">
        <v>2240</v>
      </c>
      <c r="G598" s="1" t="s">
        <v>2101</v>
      </c>
      <c r="H598" s="234">
        <v>4.2</v>
      </c>
      <c r="I598" s="236">
        <f t="shared" si="38"/>
        <v>9408</v>
      </c>
      <c r="K598" s="241">
        <f>3.63*F598</f>
        <v>8131.2</v>
      </c>
      <c r="L598" s="237">
        <v>41150</v>
      </c>
      <c r="M598" s="225" t="s">
        <v>2092</v>
      </c>
      <c r="N598" s="235">
        <f t="shared" si="39"/>
        <v>9408</v>
      </c>
      <c r="O598" s="235">
        <f t="shared" si="40"/>
        <v>0</v>
      </c>
      <c r="P598" s="238" t="s">
        <v>4918</v>
      </c>
      <c r="Q598" s="225" t="s">
        <v>3167</v>
      </c>
      <c r="R598" s="239" t="s">
        <v>3168</v>
      </c>
      <c r="S598" s="238" t="s">
        <v>3169</v>
      </c>
      <c r="T598" s="238" t="s">
        <v>3170</v>
      </c>
      <c r="U598" s="238" t="s">
        <v>3171</v>
      </c>
      <c r="V598" s="238" t="s">
        <v>3172</v>
      </c>
      <c r="W598" s="236">
        <v>9408</v>
      </c>
      <c r="X598" s="233">
        <v>41205</v>
      </c>
      <c r="Y598" s="238" t="s">
        <v>3173</v>
      </c>
      <c r="AB598" s="1" t="s">
        <v>2551</v>
      </c>
    </row>
    <row r="599" spans="1:28" ht="11.25" customHeight="1">
      <c r="A599" s="233">
        <v>41150</v>
      </c>
      <c r="B599" s="1" t="s">
        <v>2673</v>
      </c>
      <c r="C599" s="1" t="s">
        <v>2095</v>
      </c>
      <c r="D599" s="5" t="s">
        <v>2026</v>
      </c>
      <c r="E599" s="1" t="s">
        <v>2513</v>
      </c>
      <c r="F599" s="5">
        <v>2000</v>
      </c>
      <c r="G599" s="1" t="s">
        <v>5002</v>
      </c>
      <c r="H599" s="234">
        <v>1.65</v>
      </c>
      <c r="I599" s="236">
        <f t="shared" si="38"/>
        <v>3300</v>
      </c>
      <c r="J599" s="360">
        <v>1.46</v>
      </c>
      <c r="K599" s="241">
        <f>1.46*F599</f>
        <v>2920</v>
      </c>
      <c r="L599" s="237">
        <v>41150</v>
      </c>
      <c r="M599" s="225" t="s">
        <v>2092</v>
      </c>
      <c r="N599" s="235">
        <f t="shared" si="39"/>
        <v>3300</v>
      </c>
      <c r="O599" s="235">
        <f t="shared" si="40"/>
        <v>0</v>
      </c>
      <c r="P599" s="238" t="s">
        <v>4918</v>
      </c>
      <c r="Q599" s="225" t="s">
        <v>3146</v>
      </c>
      <c r="R599" s="239" t="s">
        <v>3174</v>
      </c>
      <c r="S599" s="238" t="s">
        <v>3175</v>
      </c>
      <c r="T599" s="238" t="s">
        <v>2097</v>
      </c>
      <c r="U599" s="238" t="s">
        <v>2097</v>
      </c>
      <c r="V599" s="238" t="s">
        <v>2675</v>
      </c>
      <c r="W599" s="236">
        <v>11698.5</v>
      </c>
      <c r="X599" s="233">
        <v>41177</v>
      </c>
      <c r="Y599" s="238" t="s">
        <v>2097</v>
      </c>
      <c r="AB599" s="1" t="s">
        <v>2551</v>
      </c>
    </row>
    <row r="600" spans="1:28" ht="11.25" customHeight="1">
      <c r="A600" s="233">
        <v>41150</v>
      </c>
      <c r="B600" s="1" t="s">
        <v>3176</v>
      </c>
      <c r="C600" s="1" t="s">
        <v>2095</v>
      </c>
      <c r="D600" s="1" t="s">
        <v>1929</v>
      </c>
      <c r="E600" s="1">
        <v>6800</v>
      </c>
      <c r="F600" s="5">
        <v>5</v>
      </c>
      <c r="G600" s="232" t="s">
        <v>3177</v>
      </c>
      <c r="H600" s="234">
        <v>466.8</v>
      </c>
      <c r="I600" s="236">
        <f>H600*F600</f>
        <v>2334</v>
      </c>
      <c r="K600" s="241">
        <f>420*F600</f>
        <v>2100</v>
      </c>
      <c r="L600" s="237">
        <v>41151</v>
      </c>
      <c r="M600" s="225" t="s">
        <v>2092</v>
      </c>
      <c r="N600" s="235">
        <f t="shared" si="39"/>
        <v>2334</v>
      </c>
      <c r="O600" s="235">
        <f t="shared" si="40"/>
        <v>0</v>
      </c>
      <c r="P600" s="238" t="s">
        <v>2097</v>
      </c>
      <c r="Q600" s="1" t="s">
        <v>1269</v>
      </c>
      <c r="R600" s="239" t="s">
        <v>3178</v>
      </c>
      <c r="S600" s="10">
        <v>13987101500</v>
      </c>
      <c r="T600" s="238" t="s">
        <v>2097</v>
      </c>
      <c r="U600" s="238" t="s">
        <v>3179</v>
      </c>
      <c r="V600" s="238" t="s">
        <v>3180</v>
      </c>
      <c r="W600" s="236">
        <v>4301</v>
      </c>
      <c r="X600" s="233">
        <v>41177</v>
      </c>
      <c r="Y600" s="238" t="s">
        <v>3181</v>
      </c>
      <c r="AB600" s="1" t="s">
        <v>2551</v>
      </c>
    </row>
    <row r="601" spans="1:28" ht="11.25" customHeight="1">
      <c r="A601" s="233">
        <v>41150</v>
      </c>
      <c r="B601" s="1" t="s">
        <v>3176</v>
      </c>
      <c r="C601" s="1" t="s">
        <v>2095</v>
      </c>
      <c r="D601" s="1" t="s">
        <v>241</v>
      </c>
      <c r="E601" s="1">
        <v>6200</v>
      </c>
      <c r="F601" s="5">
        <v>15</v>
      </c>
      <c r="G601" s="232" t="s">
        <v>3177</v>
      </c>
      <c r="H601" s="234">
        <v>49</v>
      </c>
      <c r="I601" s="236">
        <f t="shared" si="38"/>
        <v>735</v>
      </c>
      <c r="J601" s="352">
        <v>45</v>
      </c>
      <c r="K601" s="241" t="e">
        <f>#REF!*F601</f>
        <v>#REF!</v>
      </c>
      <c r="L601" s="237">
        <v>41151</v>
      </c>
      <c r="M601" s="225" t="s">
        <v>2092</v>
      </c>
      <c r="N601" s="235">
        <f t="shared" si="39"/>
        <v>735</v>
      </c>
      <c r="O601" s="235">
        <f t="shared" si="40"/>
        <v>0</v>
      </c>
      <c r="P601" s="238" t="s">
        <v>2097</v>
      </c>
      <c r="Q601" s="1" t="s">
        <v>1269</v>
      </c>
      <c r="R601" s="239" t="s">
        <v>3178</v>
      </c>
      <c r="S601" s="10">
        <v>13987101500</v>
      </c>
      <c r="T601" s="238" t="s">
        <v>2097</v>
      </c>
      <c r="U601" s="238" t="s">
        <v>3179</v>
      </c>
      <c r="V601" s="238" t="s">
        <v>3180</v>
      </c>
      <c r="W601" s="236">
        <v>4301</v>
      </c>
      <c r="X601" s="233">
        <v>41177</v>
      </c>
      <c r="Y601" s="238" t="s">
        <v>3181</v>
      </c>
      <c r="AB601" s="1" t="s">
        <v>2551</v>
      </c>
    </row>
    <row r="602" spans="1:28" ht="11.25" customHeight="1">
      <c r="A602" s="233">
        <v>41150</v>
      </c>
      <c r="B602" s="1" t="s">
        <v>3176</v>
      </c>
      <c r="C602" s="1" t="s">
        <v>2095</v>
      </c>
      <c r="D602" s="1" t="s">
        <v>847</v>
      </c>
      <c r="E602" s="1" t="s">
        <v>3182</v>
      </c>
      <c r="F602" s="5">
        <v>40</v>
      </c>
      <c r="G602" s="232" t="s">
        <v>3177</v>
      </c>
      <c r="H602" s="234">
        <v>30.8</v>
      </c>
      <c r="I602" s="236">
        <f t="shared" si="38"/>
        <v>1232</v>
      </c>
      <c r="K602" s="241">
        <f>29.5*F602</f>
        <v>1180</v>
      </c>
      <c r="L602" s="237">
        <v>41151</v>
      </c>
      <c r="M602" s="225" t="s">
        <v>2092</v>
      </c>
      <c r="N602" s="235">
        <f t="shared" si="39"/>
        <v>1232</v>
      </c>
      <c r="O602" s="235">
        <f t="shared" si="40"/>
        <v>0</v>
      </c>
      <c r="P602" s="238" t="s">
        <v>2097</v>
      </c>
      <c r="Q602" s="1" t="s">
        <v>3183</v>
      </c>
      <c r="R602" s="239" t="s">
        <v>3178</v>
      </c>
      <c r="S602" s="10">
        <v>13987101500</v>
      </c>
      <c r="T602" s="238" t="s">
        <v>2097</v>
      </c>
      <c r="U602" s="238" t="s">
        <v>3179</v>
      </c>
      <c r="V602" s="238" t="s">
        <v>3180</v>
      </c>
      <c r="W602" s="236">
        <v>4301</v>
      </c>
      <c r="X602" s="233">
        <v>41177</v>
      </c>
      <c r="Y602" s="238" t="s">
        <v>3181</v>
      </c>
      <c r="AB602" s="1" t="s">
        <v>2551</v>
      </c>
    </row>
    <row r="603" spans="1:28" ht="11.25" customHeight="1">
      <c r="A603" s="233">
        <v>41150</v>
      </c>
      <c r="B603" s="1" t="s">
        <v>2186</v>
      </c>
      <c r="C603" s="1" t="s">
        <v>2095</v>
      </c>
      <c r="D603" s="1" t="s">
        <v>274</v>
      </c>
      <c r="E603" s="1" t="s">
        <v>2126</v>
      </c>
      <c r="F603" s="5">
        <v>900</v>
      </c>
      <c r="G603" s="1" t="s">
        <v>2101</v>
      </c>
      <c r="H603" s="234">
        <v>32</v>
      </c>
      <c r="I603" s="236">
        <f t="shared" si="38"/>
        <v>28800</v>
      </c>
      <c r="J603" s="352" t="s">
        <v>6092</v>
      </c>
      <c r="K603" s="241">
        <f>300*29.5+600*29</f>
        <v>26250</v>
      </c>
      <c r="L603" s="237">
        <v>41164</v>
      </c>
      <c r="M603" s="1" t="s">
        <v>3184</v>
      </c>
      <c r="N603" s="235">
        <f t="shared" si="39"/>
        <v>28800</v>
      </c>
      <c r="O603" s="235">
        <f t="shared" si="40"/>
        <v>0</v>
      </c>
      <c r="P603" s="238" t="s">
        <v>4918</v>
      </c>
      <c r="Q603" s="1" t="s">
        <v>2641</v>
      </c>
      <c r="R603" s="239" t="s">
        <v>2642</v>
      </c>
      <c r="S603" s="238" t="s">
        <v>2643</v>
      </c>
      <c r="T603" s="238" t="s">
        <v>2097</v>
      </c>
      <c r="U603" s="238" t="s">
        <v>3185</v>
      </c>
      <c r="V603" s="238" t="s">
        <v>3186</v>
      </c>
      <c r="W603" s="236" t="s">
        <v>3187</v>
      </c>
      <c r="X603" s="233">
        <v>41200</v>
      </c>
      <c r="Y603" s="238" t="s">
        <v>3188</v>
      </c>
      <c r="AB603" s="1" t="s">
        <v>2551</v>
      </c>
    </row>
    <row r="604" spans="1:28" ht="11.25" customHeight="1">
      <c r="A604" s="233">
        <v>41150</v>
      </c>
      <c r="B604" s="1" t="s">
        <v>2186</v>
      </c>
      <c r="C604" s="1" t="s">
        <v>2095</v>
      </c>
      <c r="D604" s="1" t="s">
        <v>233</v>
      </c>
      <c r="E604" s="1" t="s">
        <v>2123</v>
      </c>
      <c r="F604" s="5">
        <v>1000</v>
      </c>
      <c r="G604" s="1" t="s">
        <v>232</v>
      </c>
      <c r="H604" s="234">
        <v>5.52</v>
      </c>
      <c r="I604" s="236">
        <f t="shared" si="38"/>
        <v>5520</v>
      </c>
      <c r="K604" s="241">
        <f>4.88*F604</f>
        <v>4880</v>
      </c>
      <c r="L604" s="237">
        <v>41164</v>
      </c>
      <c r="M604" s="1" t="s">
        <v>3184</v>
      </c>
      <c r="N604" s="235">
        <f t="shared" si="39"/>
        <v>5520</v>
      </c>
      <c r="O604" s="235">
        <f t="shared" si="40"/>
        <v>0</v>
      </c>
      <c r="P604" s="238" t="s">
        <v>4918</v>
      </c>
      <c r="Q604" s="1" t="s">
        <v>2641</v>
      </c>
      <c r="R604" s="239" t="s">
        <v>2642</v>
      </c>
      <c r="S604" s="238" t="s">
        <v>2643</v>
      </c>
      <c r="T604" s="238" t="s">
        <v>2097</v>
      </c>
      <c r="U604" s="238" t="s">
        <v>3185</v>
      </c>
      <c r="V604" s="238" t="s">
        <v>3189</v>
      </c>
      <c r="W604" s="236">
        <v>11214</v>
      </c>
      <c r="X604" s="233">
        <v>41200</v>
      </c>
      <c r="Y604" s="238" t="s">
        <v>3188</v>
      </c>
      <c r="AB604" s="1" t="s">
        <v>2551</v>
      </c>
    </row>
    <row r="605" spans="1:28" ht="11.25" customHeight="1">
      <c r="A605" s="233">
        <v>41150</v>
      </c>
      <c r="B605" s="1" t="s">
        <v>2186</v>
      </c>
      <c r="C605" s="1" t="s">
        <v>2095</v>
      </c>
      <c r="D605" s="1" t="s">
        <v>264</v>
      </c>
      <c r="E605" s="1">
        <v>501</v>
      </c>
      <c r="F605" s="5">
        <v>500</v>
      </c>
      <c r="G605" s="1" t="s">
        <v>2101</v>
      </c>
      <c r="H605" s="234">
        <v>1.45</v>
      </c>
      <c r="I605" s="236">
        <f t="shared" si="38"/>
        <v>725</v>
      </c>
      <c r="J605" s="352" t="s">
        <v>6093</v>
      </c>
      <c r="K605" s="241">
        <f>1.39*400+1.4*100</f>
        <v>696</v>
      </c>
      <c r="L605" s="237">
        <v>41164</v>
      </c>
      <c r="M605" s="1" t="s">
        <v>3184</v>
      </c>
      <c r="N605" s="235">
        <f t="shared" si="39"/>
        <v>725</v>
      </c>
      <c r="O605" s="235">
        <f t="shared" si="40"/>
        <v>0</v>
      </c>
      <c r="P605" s="238" t="s">
        <v>4918</v>
      </c>
      <c r="Q605" s="1" t="s">
        <v>2641</v>
      </c>
      <c r="R605" s="239" t="s">
        <v>2642</v>
      </c>
      <c r="S605" s="238" t="s">
        <v>2643</v>
      </c>
      <c r="T605" s="238" t="s">
        <v>2097</v>
      </c>
      <c r="U605" s="238" t="s">
        <v>3185</v>
      </c>
      <c r="V605" s="238" t="s">
        <v>3189</v>
      </c>
      <c r="W605" s="236">
        <v>11214</v>
      </c>
      <c r="X605" s="233">
        <v>41200</v>
      </c>
      <c r="Y605" s="238" t="s">
        <v>3188</v>
      </c>
      <c r="AB605" s="1" t="s">
        <v>2551</v>
      </c>
    </row>
    <row r="606" spans="1:28" ht="11.25" customHeight="1">
      <c r="A606" s="233">
        <v>41150</v>
      </c>
      <c r="B606" s="1" t="s">
        <v>2186</v>
      </c>
      <c r="C606" s="1" t="s">
        <v>2095</v>
      </c>
      <c r="D606" s="5" t="s">
        <v>1227</v>
      </c>
      <c r="E606" s="1" t="s">
        <v>2649</v>
      </c>
      <c r="F606" s="5">
        <v>100</v>
      </c>
      <c r="G606" s="1" t="s">
        <v>2101</v>
      </c>
      <c r="H606" s="234">
        <v>37.65</v>
      </c>
      <c r="I606" s="236">
        <f t="shared" si="38"/>
        <v>3765</v>
      </c>
      <c r="K606" s="241">
        <f>36*F606</f>
        <v>3600</v>
      </c>
      <c r="L606" s="237">
        <v>41164</v>
      </c>
      <c r="M606" s="1" t="s">
        <v>3184</v>
      </c>
      <c r="N606" s="235">
        <f t="shared" si="39"/>
        <v>3765</v>
      </c>
      <c r="O606" s="235">
        <f t="shared" si="40"/>
        <v>0</v>
      </c>
      <c r="P606" s="238" t="s">
        <v>4918</v>
      </c>
      <c r="Q606" s="1" t="s">
        <v>2641</v>
      </c>
      <c r="R606" s="239" t="s">
        <v>2642</v>
      </c>
      <c r="S606" s="238" t="s">
        <v>2643</v>
      </c>
      <c r="T606" s="238" t="s">
        <v>2097</v>
      </c>
      <c r="U606" s="238" t="s">
        <v>3185</v>
      </c>
      <c r="V606" s="238" t="s">
        <v>3189</v>
      </c>
      <c r="W606" s="236">
        <v>11214</v>
      </c>
      <c r="X606" s="233">
        <v>41200</v>
      </c>
      <c r="Y606" s="238" t="s">
        <v>3188</v>
      </c>
      <c r="AB606" s="1" t="s">
        <v>2551</v>
      </c>
    </row>
    <row r="607" spans="1:28" ht="11.25" customHeight="1">
      <c r="A607" s="233">
        <v>41150</v>
      </c>
      <c r="B607" s="1" t="s">
        <v>2186</v>
      </c>
      <c r="C607" s="1" t="s">
        <v>2095</v>
      </c>
      <c r="D607" s="1" t="s">
        <v>269</v>
      </c>
      <c r="E607" s="1" t="s">
        <v>2136</v>
      </c>
      <c r="F607" s="5">
        <v>100</v>
      </c>
      <c r="G607" s="1" t="s">
        <v>2514</v>
      </c>
      <c r="H607" s="234">
        <v>1.48</v>
      </c>
      <c r="I607" s="236">
        <f t="shared" si="38"/>
        <v>148</v>
      </c>
      <c r="J607" s="352">
        <v>1.4</v>
      </c>
      <c r="K607" s="241">
        <f>1.4*F607</f>
        <v>140</v>
      </c>
      <c r="L607" s="237">
        <v>41164</v>
      </c>
      <c r="M607" s="1" t="s">
        <v>3184</v>
      </c>
      <c r="N607" s="235">
        <f t="shared" si="39"/>
        <v>148</v>
      </c>
      <c r="O607" s="235">
        <f t="shared" si="40"/>
        <v>0</v>
      </c>
      <c r="P607" s="238" t="s">
        <v>4918</v>
      </c>
      <c r="Q607" s="1" t="s">
        <v>2641</v>
      </c>
      <c r="R607" s="239" t="s">
        <v>2642</v>
      </c>
      <c r="S607" s="238" t="s">
        <v>2643</v>
      </c>
      <c r="T607" s="238" t="s">
        <v>2097</v>
      </c>
      <c r="U607" s="238" t="s">
        <v>3185</v>
      </c>
      <c r="V607" s="238" t="s">
        <v>3189</v>
      </c>
      <c r="W607" s="236">
        <v>11214</v>
      </c>
      <c r="X607" s="233">
        <v>41200</v>
      </c>
      <c r="Y607" s="238" t="s">
        <v>3188</v>
      </c>
      <c r="AB607" s="1" t="s">
        <v>2551</v>
      </c>
    </row>
    <row r="608" spans="1:28" ht="11.25" customHeight="1">
      <c r="A608" s="233">
        <v>41150</v>
      </c>
      <c r="B608" s="1" t="s">
        <v>2186</v>
      </c>
      <c r="C608" s="1" t="s">
        <v>2095</v>
      </c>
      <c r="D608" s="1" t="s">
        <v>264</v>
      </c>
      <c r="E608" s="1" t="s">
        <v>2134</v>
      </c>
      <c r="F608" s="5">
        <v>100</v>
      </c>
      <c r="G608" s="1" t="s">
        <v>2101</v>
      </c>
      <c r="H608" s="234">
        <v>2.0099999999999998</v>
      </c>
      <c r="I608" s="236">
        <f t="shared" si="38"/>
        <v>200.99999999999997</v>
      </c>
      <c r="J608" s="352">
        <v>1.88</v>
      </c>
      <c r="K608" s="241">
        <f>1.88*F608</f>
        <v>188</v>
      </c>
      <c r="L608" s="237">
        <v>41164</v>
      </c>
      <c r="M608" s="1" t="s">
        <v>3184</v>
      </c>
      <c r="N608" s="235">
        <f t="shared" si="39"/>
        <v>200.99999999999997</v>
      </c>
      <c r="O608" s="235">
        <f t="shared" si="40"/>
        <v>0</v>
      </c>
      <c r="P608" s="238" t="s">
        <v>4918</v>
      </c>
      <c r="Q608" s="1" t="s">
        <v>2641</v>
      </c>
      <c r="R608" s="239" t="s">
        <v>2642</v>
      </c>
      <c r="S608" s="238" t="s">
        <v>2643</v>
      </c>
      <c r="T608" s="238" t="s">
        <v>2097</v>
      </c>
      <c r="U608" s="238" t="s">
        <v>3185</v>
      </c>
      <c r="V608" s="238" t="s">
        <v>3189</v>
      </c>
      <c r="W608" s="236">
        <v>11214</v>
      </c>
      <c r="X608" s="233">
        <v>41200</v>
      </c>
      <c r="Y608" s="238" t="s">
        <v>3188</v>
      </c>
      <c r="AB608" s="1" t="s">
        <v>2551</v>
      </c>
    </row>
    <row r="609" spans="1:28" ht="11.25" customHeight="1">
      <c r="A609" s="233">
        <v>41150</v>
      </c>
      <c r="B609" s="1" t="s">
        <v>2127</v>
      </c>
      <c r="C609" s="1" t="s">
        <v>2095</v>
      </c>
      <c r="D609" s="1" t="s">
        <v>1216</v>
      </c>
      <c r="E609" s="1">
        <v>3200</v>
      </c>
      <c r="F609" s="5">
        <v>100</v>
      </c>
      <c r="G609" s="1" t="s">
        <v>2101</v>
      </c>
      <c r="H609" s="234">
        <v>26.88</v>
      </c>
      <c r="I609" s="236">
        <f t="shared" si="38"/>
        <v>2688</v>
      </c>
      <c r="J609" s="352">
        <v>26</v>
      </c>
      <c r="K609" s="241">
        <f>26*F609</f>
        <v>2600</v>
      </c>
      <c r="L609" s="237">
        <v>41155</v>
      </c>
      <c r="M609" s="1" t="s">
        <v>2349</v>
      </c>
      <c r="N609" s="235">
        <f t="shared" si="39"/>
        <v>2688</v>
      </c>
      <c r="O609" s="235">
        <f t="shared" si="40"/>
        <v>0</v>
      </c>
      <c r="P609" s="238" t="s">
        <v>3190</v>
      </c>
      <c r="Q609" s="1" t="s">
        <v>1270</v>
      </c>
      <c r="R609" s="239" t="s">
        <v>416</v>
      </c>
      <c r="S609" s="238" t="s">
        <v>417</v>
      </c>
      <c r="V609" s="238" t="s">
        <v>2512</v>
      </c>
      <c r="AB609" s="1" t="s">
        <v>2551</v>
      </c>
    </row>
    <row r="610" spans="1:28" ht="11.25" customHeight="1">
      <c r="A610" s="233">
        <v>41150</v>
      </c>
      <c r="B610" s="1" t="s">
        <v>2127</v>
      </c>
      <c r="C610" s="1" t="s">
        <v>2095</v>
      </c>
      <c r="D610" s="1" t="s">
        <v>348</v>
      </c>
      <c r="E610" s="1">
        <v>3700</v>
      </c>
      <c r="F610" s="5">
        <v>100</v>
      </c>
      <c r="G610" s="1" t="s">
        <v>230</v>
      </c>
      <c r="H610" s="234">
        <v>3.55</v>
      </c>
      <c r="I610" s="236">
        <f t="shared" si="38"/>
        <v>355</v>
      </c>
      <c r="J610" s="352">
        <v>3.1</v>
      </c>
      <c r="K610" s="241">
        <f>3.1*F610</f>
        <v>310</v>
      </c>
      <c r="L610" s="237">
        <v>41155</v>
      </c>
      <c r="M610" s="1" t="s">
        <v>2349</v>
      </c>
      <c r="N610" s="235">
        <f t="shared" si="39"/>
        <v>355</v>
      </c>
      <c r="O610" s="235">
        <f t="shared" si="40"/>
        <v>0</v>
      </c>
      <c r="P610" s="238" t="s">
        <v>3190</v>
      </c>
      <c r="Q610" s="1" t="s">
        <v>3191</v>
      </c>
      <c r="R610" s="239" t="s">
        <v>416</v>
      </c>
      <c r="S610" s="238" t="s">
        <v>417</v>
      </c>
      <c r="V610" s="238" t="s">
        <v>2512</v>
      </c>
      <c r="AB610" s="1" t="s">
        <v>2551</v>
      </c>
    </row>
    <row r="611" spans="1:28" ht="11.25" customHeight="1">
      <c r="A611" s="233">
        <v>41150</v>
      </c>
      <c r="B611" s="1" t="s">
        <v>2127</v>
      </c>
      <c r="C611" s="1" t="s">
        <v>2095</v>
      </c>
      <c r="D611" s="1" t="s">
        <v>233</v>
      </c>
      <c r="E611" s="1" t="s">
        <v>2639</v>
      </c>
      <c r="F611" s="5">
        <v>500</v>
      </c>
      <c r="G611" s="1" t="s">
        <v>232</v>
      </c>
      <c r="H611" s="234">
        <v>1.83</v>
      </c>
      <c r="I611" s="236">
        <f t="shared" si="38"/>
        <v>915</v>
      </c>
      <c r="J611" s="359">
        <v>1.6</v>
      </c>
      <c r="K611" s="241">
        <f>1.6*F611</f>
        <v>800</v>
      </c>
      <c r="L611" s="237">
        <v>41155</v>
      </c>
      <c r="M611" s="1" t="s">
        <v>2349</v>
      </c>
      <c r="N611" s="235">
        <f t="shared" si="39"/>
        <v>915</v>
      </c>
      <c r="O611" s="235">
        <f t="shared" si="40"/>
        <v>0</v>
      </c>
      <c r="P611" s="238" t="s">
        <v>3190</v>
      </c>
      <c r="Q611" s="1" t="s">
        <v>3191</v>
      </c>
      <c r="R611" s="239" t="s">
        <v>416</v>
      </c>
      <c r="S611" s="238" t="s">
        <v>417</v>
      </c>
      <c r="V611" s="238" t="s">
        <v>2512</v>
      </c>
      <c r="AB611" s="1" t="s">
        <v>2551</v>
      </c>
    </row>
    <row r="612" spans="1:28" ht="11.25" customHeight="1">
      <c r="A612" s="233">
        <v>41150</v>
      </c>
      <c r="B612" s="1" t="s">
        <v>2127</v>
      </c>
      <c r="C612" s="1" t="s">
        <v>2095</v>
      </c>
      <c r="D612" s="1" t="s">
        <v>264</v>
      </c>
      <c r="E612" s="1" t="s">
        <v>2134</v>
      </c>
      <c r="F612" s="5">
        <v>10</v>
      </c>
      <c r="G612" s="1" t="s">
        <v>2101</v>
      </c>
      <c r="H612" s="234">
        <v>1.98</v>
      </c>
      <c r="I612" s="236">
        <f t="shared" si="38"/>
        <v>19.8</v>
      </c>
      <c r="J612" s="352">
        <v>1.92</v>
      </c>
      <c r="K612" s="241">
        <f>1.92*F612</f>
        <v>19.2</v>
      </c>
      <c r="L612" s="237">
        <v>41155</v>
      </c>
      <c r="M612" s="1" t="s">
        <v>2349</v>
      </c>
      <c r="N612" s="235">
        <f t="shared" si="39"/>
        <v>19.8</v>
      </c>
      <c r="O612" s="235">
        <f t="shared" si="40"/>
        <v>0</v>
      </c>
      <c r="P612" s="238" t="s">
        <v>3190</v>
      </c>
      <c r="Q612" s="1" t="s">
        <v>3191</v>
      </c>
      <c r="R612" s="239" t="s">
        <v>416</v>
      </c>
      <c r="S612" s="238" t="s">
        <v>417</v>
      </c>
      <c r="U612" s="238" t="s">
        <v>3192</v>
      </c>
      <c r="V612" s="238" t="s">
        <v>2512</v>
      </c>
      <c r="AB612" s="1" t="s">
        <v>2551</v>
      </c>
    </row>
    <row r="613" spans="1:28" ht="11.25" customHeight="1">
      <c r="A613" s="233">
        <v>41150</v>
      </c>
      <c r="B613" s="1" t="s">
        <v>2127</v>
      </c>
      <c r="C613" s="1" t="s">
        <v>2095</v>
      </c>
      <c r="D613" s="1" t="s">
        <v>355</v>
      </c>
      <c r="E613" s="1" t="s">
        <v>2419</v>
      </c>
      <c r="F613" s="5">
        <v>10</v>
      </c>
      <c r="G613" s="1" t="s">
        <v>2101</v>
      </c>
      <c r="H613" s="234">
        <v>13.13</v>
      </c>
      <c r="I613" s="236">
        <f t="shared" si="38"/>
        <v>131.30000000000001</v>
      </c>
      <c r="J613" s="352">
        <v>12.74</v>
      </c>
      <c r="K613" s="241">
        <f>12.74*F613</f>
        <v>127.4</v>
      </c>
      <c r="L613" s="237">
        <v>41155</v>
      </c>
      <c r="M613" s="1" t="s">
        <v>2349</v>
      </c>
      <c r="N613" s="235">
        <f t="shared" si="39"/>
        <v>131.30000000000001</v>
      </c>
      <c r="O613" s="235">
        <f t="shared" si="40"/>
        <v>0</v>
      </c>
      <c r="P613" s="238" t="s">
        <v>3190</v>
      </c>
      <c r="Q613" s="1" t="s">
        <v>3191</v>
      </c>
      <c r="R613" s="239" t="s">
        <v>416</v>
      </c>
      <c r="S613" s="238" t="s">
        <v>417</v>
      </c>
      <c r="U613" s="238" t="s">
        <v>3192</v>
      </c>
      <c r="V613" s="238" t="s">
        <v>2512</v>
      </c>
      <c r="AB613" s="1" t="s">
        <v>2551</v>
      </c>
    </row>
    <row r="614" spans="1:28" ht="11.25" customHeight="1">
      <c r="A614" s="233">
        <v>41151</v>
      </c>
      <c r="B614" s="271" t="s">
        <v>3193</v>
      </c>
      <c r="C614" s="1" t="s">
        <v>2095</v>
      </c>
      <c r="D614" s="1" t="s">
        <v>2043</v>
      </c>
      <c r="E614" s="1" t="s">
        <v>3194</v>
      </c>
      <c r="F614" s="5">
        <v>6</v>
      </c>
      <c r="G614" s="1" t="s">
        <v>3155</v>
      </c>
      <c r="H614" s="234">
        <v>142</v>
      </c>
      <c r="I614" s="236">
        <f t="shared" si="38"/>
        <v>852</v>
      </c>
      <c r="K614" s="241">
        <f>107.64*F614</f>
        <v>645.84</v>
      </c>
      <c r="L614" s="237">
        <v>41151</v>
      </c>
      <c r="M614" s="1" t="s">
        <v>2412</v>
      </c>
      <c r="N614" s="235">
        <f t="shared" si="39"/>
        <v>852</v>
      </c>
      <c r="O614" s="235">
        <f t="shared" si="40"/>
        <v>0</v>
      </c>
      <c r="P614" s="238" t="s">
        <v>3195</v>
      </c>
      <c r="Q614" s="1" t="s">
        <v>2230</v>
      </c>
      <c r="R614" s="239" t="s">
        <v>3196</v>
      </c>
      <c r="S614" s="238" t="s">
        <v>3197</v>
      </c>
      <c r="T614" s="238" t="s">
        <v>2097</v>
      </c>
      <c r="U614" s="238" t="s">
        <v>2097</v>
      </c>
      <c r="V614" s="238" t="s">
        <v>3198</v>
      </c>
      <c r="W614" s="236">
        <v>1952</v>
      </c>
      <c r="X614" s="233">
        <v>41155</v>
      </c>
      <c r="Y614" s="238" t="s">
        <v>2230</v>
      </c>
      <c r="AB614" s="1" t="s">
        <v>2094</v>
      </c>
    </row>
    <row r="615" spans="1:28" ht="11.25" customHeight="1">
      <c r="A615" s="233">
        <v>41151</v>
      </c>
      <c r="B615" s="271" t="s">
        <v>3193</v>
      </c>
      <c r="C615" s="1" t="s">
        <v>2095</v>
      </c>
      <c r="D615" s="1" t="s">
        <v>87</v>
      </c>
      <c r="E615" s="1">
        <v>9032</v>
      </c>
      <c r="F615" s="5">
        <v>500</v>
      </c>
      <c r="G615" s="1" t="s">
        <v>2101</v>
      </c>
      <c r="H615" s="234">
        <v>2.2000000000000002</v>
      </c>
      <c r="I615" s="236">
        <f t="shared" si="38"/>
        <v>1100</v>
      </c>
      <c r="K615" s="241">
        <f>1.4929*F615</f>
        <v>746.44999999999993</v>
      </c>
      <c r="L615" s="237">
        <v>41151</v>
      </c>
      <c r="M615" s="1" t="s">
        <v>2412</v>
      </c>
      <c r="N615" s="235">
        <f t="shared" si="39"/>
        <v>1100</v>
      </c>
      <c r="O615" s="235">
        <f t="shared" si="40"/>
        <v>0</v>
      </c>
      <c r="P615" s="238" t="s">
        <v>3195</v>
      </c>
      <c r="Q615" s="1" t="s">
        <v>2230</v>
      </c>
      <c r="R615" s="239" t="s">
        <v>3196</v>
      </c>
      <c r="S615" s="238" t="s">
        <v>3197</v>
      </c>
      <c r="T615" s="238" t="s">
        <v>2097</v>
      </c>
      <c r="U615" s="238" t="s">
        <v>2097</v>
      </c>
      <c r="V615" s="238" t="s">
        <v>3198</v>
      </c>
      <c r="W615" s="236">
        <v>1952</v>
      </c>
      <c r="X615" s="233">
        <v>41155</v>
      </c>
      <c r="Y615" s="238" t="s">
        <v>2230</v>
      </c>
      <c r="AB615" s="1" t="s">
        <v>2094</v>
      </c>
    </row>
    <row r="616" spans="1:28" ht="11.25" customHeight="1">
      <c r="A616" s="233">
        <v>41151</v>
      </c>
      <c r="B616" s="1" t="s">
        <v>2579</v>
      </c>
      <c r="C616" s="1" t="s">
        <v>2095</v>
      </c>
      <c r="D616" s="1" t="s">
        <v>241</v>
      </c>
      <c r="E616" s="1">
        <v>6200</v>
      </c>
      <c r="F616" s="5">
        <v>10</v>
      </c>
      <c r="G616" s="1" t="s">
        <v>2101</v>
      </c>
      <c r="H616" s="234">
        <v>44.5</v>
      </c>
      <c r="I616" s="236">
        <f t="shared" si="38"/>
        <v>445</v>
      </c>
      <c r="J616" s="352">
        <v>41.85</v>
      </c>
      <c r="K616" s="241" t="e">
        <f>#REF!*F616</f>
        <v>#REF!</v>
      </c>
      <c r="L616" s="237">
        <v>41151</v>
      </c>
      <c r="M616" s="1" t="s">
        <v>2349</v>
      </c>
      <c r="N616" s="235">
        <f t="shared" si="39"/>
        <v>445</v>
      </c>
      <c r="O616" s="235">
        <f t="shared" si="40"/>
        <v>0</v>
      </c>
      <c r="P616" s="238" t="s">
        <v>4918</v>
      </c>
      <c r="Q616" s="1" t="s">
        <v>3199</v>
      </c>
      <c r="R616" s="239" t="s">
        <v>211</v>
      </c>
      <c r="S616" s="10">
        <v>13987101500</v>
      </c>
      <c r="T616" s="238" t="s">
        <v>3200</v>
      </c>
      <c r="U616" s="238" t="s">
        <v>3201</v>
      </c>
      <c r="V616" s="238" t="s">
        <v>3202</v>
      </c>
      <c r="AB616" s="1" t="s">
        <v>3203</v>
      </c>
    </row>
    <row r="617" spans="1:28" ht="11.25" customHeight="1">
      <c r="A617" s="233">
        <v>41151</v>
      </c>
      <c r="B617" s="1" t="s">
        <v>3204</v>
      </c>
      <c r="C617" s="1" t="s">
        <v>3205</v>
      </c>
      <c r="D617" s="1" t="s">
        <v>355</v>
      </c>
      <c r="E617" s="1" t="s">
        <v>3206</v>
      </c>
      <c r="F617" s="5">
        <v>20</v>
      </c>
      <c r="G617" s="1" t="s">
        <v>3207</v>
      </c>
      <c r="H617" s="234">
        <v>17.25</v>
      </c>
      <c r="I617" s="236">
        <f t="shared" si="38"/>
        <v>345</v>
      </c>
      <c r="J617" s="352">
        <v>17</v>
      </c>
      <c r="K617" s="241">
        <f>17*F617</f>
        <v>340</v>
      </c>
      <c r="L617" s="237">
        <v>41151</v>
      </c>
      <c r="M617" s="1" t="s">
        <v>3208</v>
      </c>
      <c r="N617" s="235">
        <f t="shared" si="39"/>
        <v>345</v>
      </c>
      <c r="O617" s="235">
        <f t="shared" si="40"/>
        <v>0</v>
      </c>
      <c r="P617" s="238" t="s">
        <v>4918</v>
      </c>
      <c r="Q617" s="1" t="s">
        <v>3209</v>
      </c>
      <c r="R617" s="239" t="s">
        <v>211</v>
      </c>
      <c r="S617" s="10">
        <v>13987101500</v>
      </c>
      <c r="T617" s="238" t="s">
        <v>3200</v>
      </c>
      <c r="U617" s="238" t="s">
        <v>3201</v>
      </c>
      <c r="V617" s="238" t="s">
        <v>3202</v>
      </c>
      <c r="AB617" s="1" t="s">
        <v>3203</v>
      </c>
    </row>
    <row r="618" spans="1:28" ht="11.25" customHeight="1">
      <c r="A618" s="233">
        <v>41152</v>
      </c>
      <c r="B618" s="1" t="s">
        <v>3210</v>
      </c>
      <c r="C618" s="1" t="s">
        <v>3205</v>
      </c>
      <c r="D618" s="1" t="s">
        <v>3211</v>
      </c>
      <c r="E618" s="1" t="s">
        <v>3212</v>
      </c>
      <c r="F618" s="5">
        <v>5</v>
      </c>
      <c r="G618" s="1" t="s">
        <v>3213</v>
      </c>
      <c r="H618" s="234">
        <v>22</v>
      </c>
      <c r="I618" s="236">
        <f t="shared" si="38"/>
        <v>110</v>
      </c>
      <c r="K618" s="261">
        <f>13.91*F618</f>
        <v>69.55</v>
      </c>
      <c r="L618" s="237">
        <v>41152</v>
      </c>
      <c r="M618" s="1" t="s">
        <v>3214</v>
      </c>
      <c r="N618" s="235">
        <f t="shared" si="39"/>
        <v>110</v>
      </c>
      <c r="O618" s="235">
        <f t="shared" si="40"/>
        <v>0</v>
      </c>
      <c r="P618" s="238" t="s">
        <v>3215</v>
      </c>
      <c r="Q618" s="1" t="s">
        <v>3216</v>
      </c>
      <c r="R618" s="239" t="s">
        <v>3217</v>
      </c>
      <c r="S618" s="238" t="s">
        <v>3218</v>
      </c>
      <c r="T618" s="238" t="s">
        <v>3219</v>
      </c>
      <c r="U618" s="238" t="s">
        <v>3219</v>
      </c>
      <c r="Z618" s="255" t="s">
        <v>3220</v>
      </c>
      <c r="AB618" s="1" t="s">
        <v>3221</v>
      </c>
    </row>
    <row r="619" spans="1:28" ht="11.25" customHeight="1">
      <c r="A619" s="233">
        <v>41155</v>
      </c>
      <c r="B619" s="1" t="s">
        <v>3222</v>
      </c>
      <c r="C619" s="1" t="s">
        <v>3205</v>
      </c>
      <c r="D619" s="1" t="s">
        <v>1720</v>
      </c>
      <c r="E619" s="1">
        <v>8210</v>
      </c>
      <c r="F619" s="5">
        <v>12800</v>
      </c>
      <c r="G619" s="1" t="s">
        <v>3207</v>
      </c>
      <c r="H619" s="234">
        <v>3.8</v>
      </c>
      <c r="I619" s="236">
        <f t="shared" si="38"/>
        <v>48640</v>
      </c>
      <c r="K619" s="241">
        <f>3.63*F619</f>
        <v>46464</v>
      </c>
      <c r="L619" s="237">
        <v>41165</v>
      </c>
      <c r="M619" s="1" t="s">
        <v>3223</v>
      </c>
      <c r="N619" s="235">
        <f t="shared" si="39"/>
        <v>48640</v>
      </c>
      <c r="O619" s="235">
        <f t="shared" si="40"/>
        <v>0</v>
      </c>
      <c r="P619" s="238" t="s">
        <v>4918</v>
      </c>
      <c r="Q619" s="1" t="s">
        <v>3224</v>
      </c>
      <c r="R619" s="239" t="s">
        <v>3225</v>
      </c>
      <c r="S619" s="238" t="s">
        <v>3226</v>
      </c>
      <c r="T619" s="238" t="s">
        <v>3227</v>
      </c>
      <c r="U619" s="238" t="s">
        <v>3228</v>
      </c>
      <c r="V619" s="238" t="s">
        <v>3229</v>
      </c>
      <c r="W619" s="236" t="s">
        <v>3230</v>
      </c>
      <c r="X619" s="233" t="s">
        <v>3231</v>
      </c>
      <c r="Y619" s="238" t="s">
        <v>3232</v>
      </c>
      <c r="AB619" s="1" t="s">
        <v>3203</v>
      </c>
    </row>
    <row r="620" spans="1:28" ht="11.25" customHeight="1">
      <c r="A620" s="233">
        <v>41155</v>
      </c>
      <c r="B620" s="1" t="s">
        <v>3233</v>
      </c>
      <c r="C620" s="1" t="s">
        <v>3205</v>
      </c>
      <c r="D620" s="1" t="s">
        <v>267</v>
      </c>
      <c r="E620" s="1">
        <v>12308</v>
      </c>
      <c r="F620" s="5">
        <v>3</v>
      </c>
      <c r="G620" s="1" t="s">
        <v>3213</v>
      </c>
      <c r="H620" s="234">
        <v>26</v>
      </c>
      <c r="I620" s="236">
        <f t="shared" si="38"/>
        <v>78</v>
      </c>
      <c r="K620" s="261">
        <f>18.779*F620</f>
        <v>56.337000000000003</v>
      </c>
      <c r="L620" s="237">
        <v>41155</v>
      </c>
      <c r="M620" s="1" t="s">
        <v>3214</v>
      </c>
      <c r="N620" s="235">
        <f t="shared" si="39"/>
        <v>78</v>
      </c>
      <c r="O620" s="235">
        <f t="shared" si="40"/>
        <v>0</v>
      </c>
      <c r="P620" s="238" t="s">
        <v>3234</v>
      </c>
      <c r="Q620" s="1" t="s">
        <v>3216</v>
      </c>
      <c r="R620" s="238" t="s">
        <v>3235</v>
      </c>
      <c r="S620" s="238" t="s">
        <v>3236</v>
      </c>
      <c r="T620" s="238" t="s">
        <v>3219</v>
      </c>
      <c r="U620" s="238" t="s">
        <v>5502</v>
      </c>
      <c r="V620" s="238" t="s">
        <v>3202</v>
      </c>
      <c r="Z620" s="255" t="s">
        <v>3220</v>
      </c>
      <c r="AB620" s="225" t="s">
        <v>3237</v>
      </c>
    </row>
    <row r="621" spans="1:28" ht="11.25" customHeight="1">
      <c r="A621" s="233">
        <v>41155</v>
      </c>
      <c r="B621" s="1" t="s">
        <v>3233</v>
      </c>
      <c r="C621" s="1" t="s">
        <v>3205</v>
      </c>
      <c r="D621" s="1" t="s">
        <v>87</v>
      </c>
      <c r="E621" s="1">
        <v>9032</v>
      </c>
      <c r="F621" s="5">
        <v>20</v>
      </c>
      <c r="G621" s="1" t="s">
        <v>3207</v>
      </c>
      <c r="H621" s="234">
        <v>2.4</v>
      </c>
      <c r="I621" s="236">
        <f t="shared" si="38"/>
        <v>48</v>
      </c>
      <c r="K621" s="241">
        <f>1.4929*F621</f>
        <v>29.857999999999997</v>
      </c>
      <c r="L621" s="237">
        <v>41155</v>
      </c>
      <c r="M621" s="1" t="s">
        <v>3214</v>
      </c>
      <c r="N621" s="235">
        <f t="shared" si="39"/>
        <v>48</v>
      </c>
      <c r="O621" s="235">
        <f t="shared" si="40"/>
        <v>0</v>
      </c>
      <c r="P621" s="238" t="s">
        <v>3234</v>
      </c>
      <c r="Q621" s="1" t="s">
        <v>3216</v>
      </c>
      <c r="R621" s="238" t="s">
        <v>3235</v>
      </c>
      <c r="S621" s="238" t="s">
        <v>3236</v>
      </c>
      <c r="T621" s="238" t="s">
        <v>3219</v>
      </c>
      <c r="U621" s="238" t="s">
        <v>5502</v>
      </c>
      <c r="V621" s="238" t="s">
        <v>3202</v>
      </c>
      <c r="AB621" s="225" t="s">
        <v>3237</v>
      </c>
    </row>
    <row r="622" spans="1:28" ht="11.25" customHeight="1">
      <c r="A622" s="233">
        <v>41156</v>
      </c>
      <c r="B622" s="1" t="s">
        <v>3238</v>
      </c>
      <c r="C622" s="1" t="s">
        <v>3205</v>
      </c>
      <c r="D622" s="1" t="s">
        <v>3239</v>
      </c>
      <c r="E622" s="1">
        <v>11329</v>
      </c>
      <c r="F622" s="5">
        <v>4</v>
      </c>
      <c r="G622" s="1" t="s">
        <v>3213</v>
      </c>
      <c r="H622" s="234">
        <v>23.1</v>
      </c>
      <c r="I622" s="236">
        <f t="shared" si="38"/>
        <v>92.4</v>
      </c>
      <c r="K622" s="261">
        <f>22.11*F622</f>
        <v>88.44</v>
      </c>
      <c r="L622" s="237">
        <v>41156</v>
      </c>
      <c r="M622" s="1" t="s">
        <v>3214</v>
      </c>
      <c r="N622" s="235">
        <f t="shared" si="39"/>
        <v>92.4</v>
      </c>
      <c r="O622" s="235">
        <f t="shared" si="40"/>
        <v>0</v>
      </c>
      <c r="P622" s="238" t="s">
        <v>4918</v>
      </c>
      <c r="Q622" s="1" t="s">
        <v>3216</v>
      </c>
      <c r="R622" s="238" t="s">
        <v>3219</v>
      </c>
      <c r="S622" s="238" t="s">
        <v>3219</v>
      </c>
      <c r="T622" s="238" t="s">
        <v>3219</v>
      </c>
      <c r="U622" s="238" t="s">
        <v>3219</v>
      </c>
      <c r="V622" s="238" t="s">
        <v>3240</v>
      </c>
      <c r="W622" s="236">
        <v>4884.3999999999996</v>
      </c>
      <c r="X622" s="233">
        <v>41156</v>
      </c>
      <c r="Z622" s="255" t="s">
        <v>3220</v>
      </c>
      <c r="AB622" s="1" t="s">
        <v>3203</v>
      </c>
    </row>
    <row r="623" spans="1:28" ht="11.25" customHeight="1">
      <c r="A623" s="233">
        <v>41156</v>
      </c>
      <c r="B623" s="1" t="s">
        <v>3241</v>
      </c>
      <c r="C623" s="1" t="s">
        <v>3205</v>
      </c>
      <c r="D623" s="1" t="s">
        <v>70</v>
      </c>
      <c r="E623" s="1">
        <v>1100</v>
      </c>
      <c r="F623" s="5">
        <v>100</v>
      </c>
      <c r="G623" s="1" t="s">
        <v>3213</v>
      </c>
      <c r="H623" s="234">
        <v>0.45</v>
      </c>
      <c r="I623" s="236">
        <f t="shared" si="38"/>
        <v>45</v>
      </c>
      <c r="K623" s="261">
        <f>0.375*F623</f>
        <v>37.5</v>
      </c>
      <c r="L623" s="237">
        <v>41156</v>
      </c>
      <c r="M623" s="1" t="s">
        <v>3214</v>
      </c>
      <c r="N623" s="235">
        <f t="shared" si="39"/>
        <v>45</v>
      </c>
      <c r="O623" s="235">
        <f t="shared" si="40"/>
        <v>0</v>
      </c>
      <c r="P623" s="238" t="s">
        <v>3242</v>
      </c>
      <c r="Q623" s="1" t="s">
        <v>3216</v>
      </c>
      <c r="R623" s="239" t="s">
        <v>3243</v>
      </c>
      <c r="S623" s="238" t="s">
        <v>3244</v>
      </c>
      <c r="T623" s="1" t="s">
        <v>3216</v>
      </c>
      <c r="U623" s="238" t="s">
        <v>3219</v>
      </c>
      <c r="V623" s="238" t="s">
        <v>3245</v>
      </c>
      <c r="W623" s="236">
        <v>1077</v>
      </c>
      <c r="X623" s="233">
        <v>41256</v>
      </c>
      <c r="Y623" s="255">
        <v>23000504124</v>
      </c>
      <c r="Z623" s="255" t="s">
        <v>3220</v>
      </c>
      <c r="AB623" s="1" t="s">
        <v>3203</v>
      </c>
    </row>
    <row r="624" spans="1:28" ht="11.25" customHeight="1">
      <c r="A624" s="233">
        <v>41156</v>
      </c>
      <c r="B624" s="1" t="s">
        <v>3241</v>
      </c>
      <c r="C624" s="1" t="s">
        <v>3205</v>
      </c>
      <c r="D624" s="1" t="s">
        <v>309</v>
      </c>
      <c r="E624" s="1">
        <v>1110</v>
      </c>
      <c r="F624" s="5">
        <v>100</v>
      </c>
      <c r="G624" s="1" t="s">
        <v>3213</v>
      </c>
      <c r="H624" s="234">
        <v>0.86</v>
      </c>
      <c r="I624" s="236">
        <f t="shared" si="38"/>
        <v>86</v>
      </c>
      <c r="K624" s="241">
        <f>0.77*F624</f>
        <v>77</v>
      </c>
      <c r="L624" s="237">
        <v>41156</v>
      </c>
      <c r="M624" s="1" t="s">
        <v>3214</v>
      </c>
      <c r="N624" s="235">
        <f t="shared" si="39"/>
        <v>86</v>
      </c>
      <c r="O624" s="235">
        <f t="shared" si="40"/>
        <v>0</v>
      </c>
      <c r="P624" s="238" t="s">
        <v>3242</v>
      </c>
      <c r="Q624" s="1" t="s">
        <v>3216</v>
      </c>
      <c r="R624" s="239" t="s">
        <v>3243</v>
      </c>
      <c r="S624" s="238" t="s">
        <v>3246</v>
      </c>
      <c r="T624" s="1" t="s">
        <v>3216</v>
      </c>
      <c r="U624" s="238" t="s">
        <v>3219</v>
      </c>
      <c r="V624" s="238" t="s">
        <v>3245</v>
      </c>
      <c r="W624" s="236">
        <v>1077</v>
      </c>
      <c r="X624" s="233">
        <v>41256</v>
      </c>
      <c r="Y624" s="255">
        <v>23000504124</v>
      </c>
      <c r="AB624" s="1" t="s">
        <v>3203</v>
      </c>
    </row>
    <row r="625" spans="1:28" s="5" customFormat="1" ht="11.25" customHeight="1">
      <c r="A625" s="233">
        <v>41156</v>
      </c>
      <c r="B625" s="1" t="s">
        <v>877</v>
      </c>
      <c r="C625" s="1" t="s">
        <v>3205</v>
      </c>
      <c r="D625" s="1" t="s">
        <v>87</v>
      </c>
      <c r="E625" s="1">
        <v>9032</v>
      </c>
      <c r="F625" s="5">
        <v>200</v>
      </c>
      <c r="G625" s="1" t="s">
        <v>3207</v>
      </c>
      <c r="H625" s="234">
        <v>2.5</v>
      </c>
      <c r="I625" s="236">
        <f t="shared" si="38"/>
        <v>500</v>
      </c>
      <c r="J625" s="352"/>
      <c r="K625" s="241">
        <f>1.4929*F625</f>
        <v>298.58</v>
      </c>
      <c r="L625" s="237">
        <v>41164</v>
      </c>
      <c r="M625" s="1" t="s">
        <v>3223</v>
      </c>
      <c r="N625" s="235">
        <f t="shared" si="39"/>
        <v>500</v>
      </c>
      <c r="O625" s="235">
        <f t="shared" si="40"/>
        <v>0</v>
      </c>
      <c r="P625" s="238" t="s">
        <v>3247</v>
      </c>
      <c r="Q625" s="1" t="s">
        <v>3216</v>
      </c>
      <c r="R625" s="239" t="s">
        <v>3248</v>
      </c>
      <c r="S625" s="238" t="s">
        <v>3246</v>
      </c>
      <c r="T625" s="1" t="s">
        <v>3216</v>
      </c>
      <c r="U625" s="238" t="s">
        <v>3219</v>
      </c>
      <c r="V625" s="238" t="s">
        <v>3249</v>
      </c>
      <c r="W625" s="236">
        <v>1160</v>
      </c>
      <c r="X625" s="233">
        <v>41164</v>
      </c>
      <c r="Y625" s="238" t="s">
        <v>3250</v>
      </c>
      <c r="Z625" s="255"/>
      <c r="AA625" s="240"/>
      <c r="AB625" s="1" t="s">
        <v>3221</v>
      </c>
    </row>
    <row r="626" spans="1:28" ht="11.25" customHeight="1">
      <c r="A626" s="7">
        <v>41156</v>
      </c>
      <c r="B626" s="5" t="s">
        <v>877</v>
      </c>
      <c r="C626" s="5" t="s">
        <v>3205</v>
      </c>
      <c r="D626" s="5" t="s">
        <v>674</v>
      </c>
      <c r="E626" s="5" t="s">
        <v>3251</v>
      </c>
      <c r="F626" s="5">
        <v>100</v>
      </c>
      <c r="G626" s="5" t="s">
        <v>240</v>
      </c>
      <c r="H626" s="243">
        <v>0.8</v>
      </c>
      <c r="I626" s="235">
        <f t="shared" si="38"/>
        <v>80</v>
      </c>
      <c r="J626" s="361"/>
      <c r="K626" s="272">
        <f>0.53*F626</f>
        <v>53</v>
      </c>
      <c r="L626" s="245">
        <v>41164</v>
      </c>
      <c r="M626" s="5" t="s">
        <v>3223</v>
      </c>
      <c r="N626" s="235">
        <f t="shared" si="39"/>
        <v>80</v>
      </c>
      <c r="O626" s="235">
        <f t="shared" si="40"/>
        <v>0</v>
      </c>
      <c r="P626" s="246" t="s">
        <v>3247</v>
      </c>
      <c r="Q626" s="5" t="s">
        <v>3216</v>
      </c>
      <c r="R626" s="247" t="s">
        <v>3248</v>
      </c>
      <c r="S626" s="246" t="s">
        <v>3246</v>
      </c>
      <c r="T626" s="5" t="s">
        <v>3216</v>
      </c>
      <c r="U626" s="246" t="s">
        <v>3219</v>
      </c>
      <c r="V626" s="246" t="s">
        <v>3249</v>
      </c>
      <c r="W626" s="235">
        <v>1160</v>
      </c>
      <c r="X626" s="7">
        <v>41164</v>
      </c>
      <c r="Y626" s="246" t="s">
        <v>3250</v>
      </c>
      <c r="Z626" s="273" t="s">
        <v>3220</v>
      </c>
      <c r="AA626" s="248"/>
      <c r="AB626" s="5" t="s">
        <v>3221</v>
      </c>
    </row>
    <row r="627" spans="1:28" ht="11.25" customHeight="1">
      <c r="A627" s="233">
        <v>41156</v>
      </c>
      <c r="B627" s="1" t="s">
        <v>877</v>
      </c>
      <c r="C627" s="1" t="s">
        <v>3205</v>
      </c>
      <c r="D627" s="1" t="s">
        <v>1219</v>
      </c>
      <c r="E627" s="1" t="s">
        <v>3252</v>
      </c>
      <c r="F627" s="5">
        <v>5</v>
      </c>
      <c r="G627" s="1" t="s">
        <v>3213</v>
      </c>
      <c r="H627" s="234">
        <v>23</v>
      </c>
      <c r="I627" s="236">
        <f t="shared" si="38"/>
        <v>115</v>
      </c>
      <c r="K627" s="250">
        <f>13*F627</f>
        <v>65</v>
      </c>
      <c r="L627" s="237">
        <v>41164</v>
      </c>
      <c r="M627" s="1" t="s">
        <v>3223</v>
      </c>
      <c r="N627" s="235">
        <f t="shared" si="39"/>
        <v>115</v>
      </c>
      <c r="O627" s="235">
        <f t="shared" si="40"/>
        <v>0</v>
      </c>
      <c r="P627" s="238" t="s">
        <v>3247</v>
      </c>
      <c r="Q627" s="1" t="s">
        <v>3216</v>
      </c>
      <c r="R627" s="239" t="s">
        <v>3248</v>
      </c>
      <c r="S627" s="238" t="s">
        <v>3246</v>
      </c>
      <c r="T627" s="1" t="s">
        <v>3216</v>
      </c>
      <c r="U627" s="238" t="s">
        <v>3219</v>
      </c>
      <c r="V627" s="238" t="s">
        <v>3249</v>
      </c>
      <c r="W627" s="236">
        <v>1160</v>
      </c>
      <c r="X627" s="233">
        <v>41164</v>
      </c>
      <c r="Y627" s="238" t="s">
        <v>3250</v>
      </c>
      <c r="AB627" s="1" t="s">
        <v>3221</v>
      </c>
    </row>
    <row r="628" spans="1:28" ht="11.25" customHeight="1">
      <c r="A628" s="233">
        <v>41156</v>
      </c>
      <c r="B628" s="1" t="s">
        <v>877</v>
      </c>
      <c r="C628" s="1" t="s">
        <v>3205</v>
      </c>
      <c r="D628" s="1" t="s">
        <v>241</v>
      </c>
      <c r="E628" s="1">
        <v>6200</v>
      </c>
      <c r="F628" s="5">
        <v>1</v>
      </c>
      <c r="G628" s="1" t="s">
        <v>3207</v>
      </c>
      <c r="H628" s="234">
        <v>65</v>
      </c>
      <c r="I628" s="236">
        <f t="shared" si="38"/>
        <v>65</v>
      </c>
      <c r="J628" s="352">
        <v>45</v>
      </c>
      <c r="K628" s="241" t="e">
        <f>#REF!*F628</f>
        <v>#REF!</v>
      </c>
      <c r="L628" s="237">
        <v>41164</v>
      </c>
      <c r="M628" s="1" t="s">
        <v>3223</v>
      </c>
      <c r="N628" s="235">
        <f t="shared" si="39"/>
        <v>65</v>
      </c>
      <c r="O628" s="235">
        <f t="shared" si="40"/>
        <v>0</v>
      </c>
      <c r="P628" s="238" t="s">
        <v>3247</v>
      </c>
      <c r="Q628" s="1" t="s">
        <v>3216</v>
      </c>
      <c r="R628" s="239" t="s">
        <v>3248</v>
      </c>
      <c r="S628" s="238" t="s">
        <v>3246</v>
      </c>
      <c r="T628" s="1" t="s">
        <v>3216</v>
      </c>
      <c r="U628" s="238" t="s">
        <v>3219</v>
      </c>
      <c r="V628" s="238" t="s">
        <v>3249</v>
      </c>
      <c r="W628" s="236">
        <v>1160</v>
      </c>
      <c r="X628" s="233">
        <v>41164</v>
      </c>
      <c r="Y628" s="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</v>
      </c>
      <c r="C629" s="1" t="s">
        <v>3205</v>
      </c>
      <c r="D629" s="1" t="s">
        <v>274</v>
      </c>
      <c r="E629" s="1" t="s">
        <v>3253</v>
      </c>
      <c r="F629" s="5">
        <v>2</v>
      </c>
      <c r="G629" s="1" t="s">
        <v>3207</v>
      </c>
      <c r="H629" s="234">
        <v>45</v>
      </c>
      <c r="I629" s="236">
        <f t="shared" si="38"/>
        <v>90</v>
      </c>
      <c r="J629" s="352">
        <v>32</v>
      </c>
      <c r="K629" s="241">
        <f>32*F629</f>
        <v>64</v>
      </c>
      <c r="L629" s="237">
        <v>41164</v>
      </c>
      <c r="M629" s="1" t="s">
        <v>3223</v>
      </c>
      <c r="N629" s="235">
        <f t="shared" si="39"/>
        <v>90</v>
      </c>
      <c r="O629" s="235">
        <f t="shared" si="40"/>
        <v>0</v>
      </c>
      <c r="P629" s="238" t="s">
        <v>3247</v>
      </c>
      <c r="Q629" s="1" t="s">
        <v>3216</v>
      </c>
      <c r="R629" s="239" t="s">
        <v>3248</v>
      </c>
      <c r="S629" s="238" t="s">
        <v>3246</v>
      </c>
      <c r="T629" s="1" t="s">
        <v>3216</v>
      </c>
      <c r="U629" s="238" t="s">
        <v>3219</v>
      </c>
      <c r="V629" s="238" t="s">
        <v>3249</v>
      </c>
      <c r="W629" s="236">
        <v>1160</v>
      </c>
      <c r="X629" s="233">
        <v>41164</v>
      </c>
      <c r="Y629" s="238" t="s">
        <v>3250</v>
      </c>
      <c r="AB629" s="1" t="s">
        <v>3221</v>
      </c>
    </row>
    <row r="630" spans="1:28" ht="11.25" customHeight="1">
      <c r="A630" s="233">
        <v>41156</v>
      </c>
      <c r="B630" s="1" t="s">
        <v>3254</v>
      </c>
      <c r="C630" s="1" t="s">
        <v>3205</v>
      </c>
      <c r="D630" s="1" t="s">
        <v>1720</v>
      </c>
      <c r="E630" s="1">
        <v>8210</v>
      </c>
      <c r="F630" s="5">
        <v>60</v>
      </c>
      <c r="G630" s="1" t="s">
        <v>3207</v>
      </c>
      <c r="H630" s="234">
        <v>6</v>
      </c>
      <c r="I630" s="236">
        <f t="shared" si="38"/>
        <v>360</v>
      </c>
      <c r="K630" s="241">
        <f>3.78*F630</f>
        <v>226.79999999999998</v>
      </c>
      <c r="L630" s="237">
        <v>41177</v>
      </c>
      <c r="M630" s="1" t="s">
        <v>3223</v>
      </c>
      <c r="N630" s="235">
        <f t="shared" si="39"/>
        <v>360</v>
      </c>
      <c r="O630" s="235">
        <f t="shared" si="40"/>
        <v>0</v>
      </c>
      <c r="P630" s="238" t="s">
        <v>4918</v>
      </c>
      <c r="Q630" s="1" t="s">
        <v>3255</v>
      </c>
      <c r="R630" s="239" t="s">
        <v>3256</v>
      </c>
      <c r="S630" s="238" t="s">
        <v>3257</v>
      </c>
      <c r="T630" s="238" t="s">
        <v>3258</v>
      </c>
      <c r="U630" s="238" t="s">
        <v>3259</v>
      </c>
      <c r="V630" s="238" t="s">
        <v>3260</v>
      </c>
      <c r="W630" s="236">
        <v>860</v>
      </c>
      <c r="X630" s="233">
        <v>41164</v>
      </c>
      <c r="Y630" s="238" t="s">
        <v>3261</v>
      </c>
      <c r="AB630" s="1" t="s">
        <v>3221</v>
      </c>
    </row>
    <row r="631" spans="1:28" ht="11.25" customHeight="1">
      <c r="A631" s="233">
        <v>41156</v>
      </c>
      <c r="B631" s="1" t="s">
        <v>3254</v>
      </c>
      <c r="C631" s="1" t="s">
        <v>3205</v>
      </c>
      <c r="D631" s="5" t="s">
        <v>674</v>
      </c>
      <c r="E631" s="1" t="s">
        <v>3251</v>
      </c>
      <c r="F631" s="5">
        <v>200</v>
      </c>
      <c r="G631" s="1" t="s">
        <v>3213</v>
      </c>
      <c r="H631" s="234">
        <v>2.5</v>
      </c>
      <c r="I631" s="236">
        <f t="shared" si="38"/>
        <v>500</v>
      </c>
      <c r="K631" s="241">
        <f>1.488*F631</f>
        <v>297.60000000000002</v>
      </c>
      <c r="L631" s="237">
        <v>41177</v>
      </c>
      <c r="M631" s="1" t="s">
        <v>3223</v>
      </c>
      <c r="N631" s="235">
        <f t="shared" si="39"/>
        <v>500</v>
      </c>
      <c r="O631" s="235">
        <f t="shared" si="40"/>
        <v>0</v>
      </c>
      <c r="P631" s="238" t="s">
        <v>4918</v>
      </c>
      <c r="Q631" s="1" t="s">
        <v>3255</v>
      </c>
      <c r="R631" s="239" t="s">
        <v>3256</v>
      </c>
      <c r="S631" s="238" t="s">
        <v>3257</v>
      </c>
      <c r="T631" s="238" t="s">
        <v>3258</v>
      </c>
      <c r="U631" s="238" t="s">
        <v>3259</v>
      </c>
      <c r="V631" s="238" t="s">
        <v>3260</v>
      </c>
      <c r="W631" s="236">
        <v>860</v>
      </c>
      <c r="X631" s="233">
        <v>41164</v>
      </c>
      <c r="Y631" s="238" t="s">
        <v>3261</v>
      </c>
      <c r="AB631" s="1" t="s">
        <v>3221</v>
      </c>
    </row>
    <row r="632" spans="1:28" ht="11.25" customHeight="1">
      <c r="A632" s="233">
        <v>41156</v>
      </c>
      <c r="B632" s="1" t="s">
        <v>3262</v>
      </c>
      <c r="C632" s="1" t="s">
        <v>3205</v>
      </c>
      <c r="D632" s="1" t="s">
        <v>666</v>
      </c>
      <c r="E632" s="1">
        <v>8246</v>
      </c>
      <c r="F632" s="5">
        <v>30</v>
      </c>
      <c r="G632" s="1" t="s">
        <v>5641</v>
      </c>
      <c r="H632" s="234">
        <v>19</v>
      </c>
      <c r="I632" s="236">
        <f t="shared" si="38"/>
        <v>570</v>
      </c>
      <c r="K632" s="241">
        <f>13.72*F632</f>
        <v>411.6</v>
      </c>
      <c r="L632" s="237">
        <v>41165</v>
      </c>
      <c r="M632" s="1" t="s">
        <v>3223</v>
      </c>
      <c r="N632" s="235">
        <f t="shared" si="39"/>
        <v>570</v>
      </c>
      <c r="O632" s="235">
        <f t="shared" si="40"/>
        <v>0</v>
      </c>
      <c r="P632" s="238" t="s">
        <v>3219</v>
      </c>
      <c r="Q632" s="1" t="s">
        <v>3263</v>
      </c>
      <c r="R632" s="239" t="s">
        <v>3264</v>
      </c>
      <c r="S632" s="238" t="s">
        <v>3265</v>
      </c>
      <c r="T632" s="238" t="s">
        <v>3266</v>
      </c>
      <c r="U632" s="238" t="s">
        <v>3267</v>
      </c>
      <c r="V632" s="238" t="s">
        <v>3268</v>
      </c>
      <c r="W632" s="236">
        <v>630</v>
      </c>
      <c r="X632" s="233">
        <v>41157</v>
      </c>
      <c r="AA632" s="240" t="s">
        <v>3269</v>
      </c>
      <c r="AB632" s="1" t="s">
        <v>3221</v>
      </c>
    </row>
    <row r="633" spans="1:28" ht="13.5" customHeight="1">
      <c r="A633" s="233">
        <v>41156</v>
      </c>
      <c r="B633" s="1" t="s">
        <v>3262</v>
      </c>
      <c r="C633" s="1" t="s">
        <v>3205</v>
      </c>
      <c r="D633" s="1" t="s">
        <v>3270</v>
      </c>
      <c r="E633" s="1">
        <v>40661</v>
      </c>
      <c r="F633" s="5">
        <v>3</v>
      </c>
      <c r="G633" s="1" t="s">
        <v>3213</v>
      </c>
      <c r="H633" s="234">
        <v>20</v>
      </c>
      <c r="I633" s="236">
        <f t="shared" si="38"/>
        <v>60</v>
      </c>
      <c r="K633" s="261">
        <f>16.08*F633</f>
        <v>48.239999999999995</v>
      </c>
      <c r="L633" s="237">
        <v>41165</v>
      </c>
      <c r="M633" s="1" t="s">
        <v>3223</v>
      </c>
      <c r="N633" s="235">
        <f t="shared" si="39"/>
        <v>60</v>
      </c>
      <c r="O633" s="235">
        <f t="shared" si="40"/>
        <v>0</v>
      </c>
      <c r="P633" s="238" t="s">
        <v>3219</v>
      </c>
      <c r="Q633" s="1" t="s">
        <v>3263</v>
      </c>
      <c r="R633" s="239" t="s">
        <v>3264</v>
      </c>
      <c r="S633" s="238" t="s">
        <v>3265</v>
      </c>
      <c r="T633" s="238" t="s">
        <v>3266</v>
      </c>
      <c r="U633" s="238" t="s">
        <v>3267</v>
      </c>
      <c r="V633" s="238" t="s">
        <v>3268</v>
      </c>
      <c r="W633" s="236">
        <v>630</v>
      </c>
      <c r="X633" s="233">
        <v>41157</v>
      </c>
      <c r="Z633" s="255" t="s">
        <v>3220</v>
      </c>
      <c r="AA633" s="240" t="s">
        <v>3269</v>
      </c>
      <c r="AB633" s="1" t="s">
        <v>3221</v>
      </c>
    </row>
    <row r="634" spans="1:28" ht="11.25" customHeight="1">
      <c r="A634" s="233">
        <v>41156</v>
      </c>
      <c r="B634" s="1" t="s">
        <v>3271</v>
      </c>
      <c r="C634" s="1" t="s">
        <v>3205</v>
      </c>
      <c r="D634" s="1" t="s">
        <v>9</v>
      </c>
      <c r="E634" s="1">
        <v>2096</v>
      </c>
      <c r="F634" s="5">
        <v>100</v>
      </c>
      <c r="G634" s="1" t="s">
        <v>3272</v>
      </c>
      <c r="H634" s="234">
        <v>13.64</v>
      </c>
      <c r="I634" s="236">
        <f t="shared" si="38"/>
        <v>1364</v>
      </c>
      <c r="K634" s="241">
        <f>12.65*F634</f>
        <v>1265</v>
      </c>
      <c r="L634" s="237">
        <v>41156</v>
      </c>
      <c r="M634" s="1" t="s">
        <v>3223</v>
      </c>
      <c r="N634" s="235">
        <f t="shared" si="39"/>
        <v>1364</v>
      </c>
      <c r="O634" s="235">
        <f t="shared" si="40"/>
        <v>0</v>
      </c>
      <c r="P634" s="238" t="s">
        <v>3273</v>
      </c>
      <c r="Q634" s="1" t="s">
        <v>3274</v>
      </c>
      <c r="R634" s="239" t="s">
        <v>3275</v>
      </c>
      <c r="S634" s="238" t="s">
        <v>3276</v>
      </c>
      <c r="T634" s="10" t="s">
        <v>3277</v>
      </c>
      <c r="U634" s="238" t="s">
        <v>3278</v>
      </c>
      <c r="V634" s="238" t="s">
        <v>3279</v>
      </c>
      <c r="W634" s="236">
        <v>1364</v>
      </c>
      <c r="X634" s="233">
        <v>41234</v>
      </c>
      <c r="Y634" s="238" t="s">
        <v>3280</v>
      </c>
      <c r="AB634" s="1" t="s">
        <v>3203</v>
      </c>
    </row>
    <row r="635" spans="1:28" ht="11.25" customHeight="1">
      <c r="A635" s="233">
        <v>41157</v>
      </c>
      <c r="B635" s="1" t="s">
        <v>3281</v>
      </c>
      <c r="C635" s="1" t="s">
        <v>3205</v>
      </c>
      <c r="D635" s="1" t="s">
        <v>87</v>
      </c>
      <c r="E635" s="1">
        <v>9032</v>
      </c>
      <c r="F635" s="5">
        <v>1000</v>
      </c>
      <c r="G635" s="1" t="s">
        <v>3207</v>
      </c>
      <c r="H635" s="234">
        <v>2.4</v>
      </c>
      <c r="I635" s="236">
        <f t="shared" si="38"/>
        <v>2400</v>
      </c>
      <c r="K635" s="241">
        <f>1.4929*F635</f>
        <v>1492.8999999999999</v>
      </c>
      <c r="L635" s="237">
        <v>41158</v>
      </c>
      <c r="M635" s="1" t="s">
        <v>3223</v>
      </c>
      <c r="N635" s="235">
        <f t="shared" si="39"/>
        <v>2400</v>
      </c>
      <c r="O635" s="235">
        <f t="shared" si="40"/>
        <v>0</v>
      </c>
      <c r="P635" s="238" t="s">
        <v>3282</v>
      </c>
      <c r="Q635" s="1" t="s">
        <v>3283</v>
      </c>
      <c r="R635" s="239" t="s">
        <v>3284</v>
      </c>
      <c r="S635" s="238" t="s">
        <v>3285</v>
      </c>
      <c r="T635" s="238" t="s">
        <v>3286</v>
      </c>
      <c r="U635" s="238" t="s">
        <v>3287</v>
      </c>
      <c r="V635" s="238" t="s">
        <v>3288</v>
      </c>
      <c r="W635" s="236">
        <v>2400</v>
      </c>
      <c r="X635" s="233">
        <v>41201</v>
      </c>
      <c r="Y635" s="238" t="s">
        <v>3289</v>
      </c>
      <c r="AB635" s="1" t="s">
        <v>3221</v>
      </c>
    </row>
    <row r="636" spans="1:28" ht="12" customHeight="1">
      <c r="A636" s="233">
        <v>41157</v>
      </c>
      <c r="B636" s="1" t="s">
        <v>3290</v>
      </c>
      <c r="C636" s="1" t="s">
        <v>3205</v>
      </c>
      <c r="D636" s="1" t="s">
        <v>87</v>
      </c>
      <c r="E636" s="1">
        <v>9032</v>
      </c>
      <c r="F636" s="5">
        <v>100</v>
      </c>
      <c r="G636" s="1" t="s">
        <v>3207</v>
      </c>
      <c r="H636" s="234">
        <v>2.2999999999999998</v>
      </c>
      <c r="I636" s="236">
        <f t="shared" si="38"/>
        <v>229.99999999999997</v>
      </c>
      <c r="K636" s="241">
        <f>1.4929*F636</f>
        <v>149.29</v>
      </c>
      <c r="L636" s="237">
        <v>41158</v>
      </c>
      <c r="M636" s="1" t="s">
        <v>3208</v>
      </c>
      <c r="N636" s="235">
        <f t="shared" si="39"/>
        <v>229.99999999999997</v>
      </c>
      <c r="O636" s="235">
        <f t="shared" si="40"/>
        <v>0</v>
      </c>
      <c r="P636" s="238" t="s">
        <v>3291</v>
      </c>
      <c r="Q636" s="1" t="s">
        <v>3283</v>
      </c>
      <c r="R636" s="239" t="s">
        <v>3292</v>
      </c>
      <c r="S636" s="238" t="s">
        <v>3293</v>
      </c>
      <c r="T636" s="238" t="s">
        <v>3294</v>
      </c>
      <c r="U636" s="238" t="s">
        <v>3295</v>
      </c>
      <c r="V636" s="238" t="s">
        <v>3202</v>
      </c>
      <c r="AB636" s="1" t="s">
        <v>3221</v>
      </c>
    </row>
    <row r="637" spans="1:28" ht="11.25" customHeight="1">
      <c r="A637" s="233">
        <v>41158</v>
      </c>
      <c r="B637" s="1" t="s">
        <v>3296</v>
      </c>
      <c r="C637" s="1" t="s">
        <v>3205</v>
      </c>
      <c r="D637" s="5" t="s">
        <v>3297</v>
      </c>
      <c r="E637" s="1" t="s">
        <v>3298</v>
      </c>
      <c r="F637" s="5">
        <v>5000</v>
      </c>
      <c r="G637" s="1" t="s">
        <v>5002</v>
      </c>
      <c r="H637" s="234">
        <v>1.65</v>
      </c>
      <c r="I637" s="236">
        <f t="shared" ref="I637:I667" si="41">H637*F637</f>
        <v>8250</v>
      </c>
      <c r="J637" s="360">
        <v>1.46</v>
      </c>
      <c r="K637" s="241">
        <f>1.46*F637</f>
        <v>7300</v>
      </c>
      <c r="L637" s="237">
        <v>41158</v>
      </c>
      <c r="M637" s="1" t="s">
        <v>3223</v>
      </c>
      <c r="N637" s="235">
        <f t="shared" si="39"/>
        <v>8250</v>
      </c>
      <c r="O637" s="235">
        <f t="shared" si="40"/>
        <v>0</v>
      </c>
      <c r="P637" s="238" t="s">
        <v>3299</v>
      </c>
      <c r="Q637" s="1" t="s">
        <v>3216</v>
      </c>
      <c r="R637" s="239" t="s">
        <v>3300</v>
      </c>
      <c r="S637" s="238" t="s">
        <v>3301</v>
      </c>
      <c r="T637" s="238" t="s">
        <v>3219</v>
      </c>
      <c r="U637" s="238" t="s">
        <v>3219</v>
      </c>
      <c r="V637" s="238" t="s">
        <v>3302</v>
      </c>
      <c r="W637" s="236">
        <v>11698.5</v>
      </c>
      <c r="X637" s="233">
        <v>41177</v>
      </c>
      <c r="Y637" s="238" t="s">
        <v>3219</v>
      </c>
      <c r="AB637" s="1" t="s">
        <v>3203</v>
      </c>
    </row>
    <row r="638" spans="1:28" ht="11.25" customHeight="1">
      <c r="A638" s="233">
        <v>41159</v>
      </c>
      <c r="B638" s="1" t="s">
        <v>3303</v>
      </c>
      <c r="C638" s="1" t="s">
        <v>3205</v>
      </c>
      <c r="D638" s="1" t="s">
        <v>3304</v>
      </c>
      <c r="E638" s="1" t="s">
        <v>3305</v>
      </c>
      <c r="F638" s="5">
        <v>100</v>
      </c>
      <c r="G638" s="1" t="s">
        <v>3207</v>
      </c>
      <c r="H638" s="234">
        <v>1.88</v>
      </c>
      <c r="I638" s="236">
        <f t="shared" si="41"/>
        <v>188</v>
      </c>
      <c r="K638" s="254">
        <f>1.65*F638</f>
        <v>165</v>
      </c>
      <c r="L638" s="237">
        <v>41159</v>
      </c>
      <c r="M638" s="1" t="s">
        <v>3208</v>
      </c>
      <c r="N638" s="235">
        <f t="shared" si="39"/>
        <v>188</v>
      </c>
      <c r="O638" s="235">
        <f t="shared" si="40"/>
        <v>0</v>
      </c>
      <c r="P638" s="238" t="s">
        <v>3219</v>
      </c>
      <c r="Q638" s="1" t="s">
        <v>3255</v>
      </c>
      <c r="R638" s="239" t="s">
        <v>3306</v>
      </c>
      <c r="S638" s="238" t="s">
        <v>3307</v>
      </c>
      <c r="T638" s="238" t="s">
        <v>3308</v>
      </c>
      <c r="U638" s="238" t="s">
        <v>3309</v>
      </c>
      <c r="V638" s="238" t="s">
        <v>3310</v>
      </c>
      <c r="W638" s="236">
        <v>8672.4</v>
      </c>
      <c r="X638" s="233">
        <v>41172</v>
      </c>
      <c r="Z638" s="255" t="s">
        <v>3220</v>
      </c>
      <c r="AB638" s="1" t="s">
        <v>3203</v>
      </c>
    </row>
    <row r="639" spans="1:28" ht="11.25" customHeight="1">
      <c r="A639" s="233">
        <v>41159</v>
      </c>
      <c r="B639" s="1" t="s">
        <v>3303</v>
      </c>
      <c r="C639" s="1" t="s">
        <v>3205</v>
      </c>
      <c r="D639" s="1" t="s">
        <v>3311</v>
      </c>
      <c r="E639" s="1" t="s">
        <v>3312</v>
      </c>
      <c r="F639" s="5">
        <v>50</v>
      </c>
      <c r="G639" s="1" t="s">
        <v>232</v>
      </c>
      <c r="H639" s="234">
        <v>4.3</v>
      </c>
      <c r="I639" s="236">
        <f t="shared" si="41"/>
        <v>215</v>
      </c>
      <c r="K639" s="254">
        <f>4.08*F639</f>
        <v>204</v>
      </c>
      <c r="L639" s="237">
        <v>41159</v>
      </c>
      <c r="M639" s="1" t="s">
        <v>3208</v>
      </c>
      <c r="N639" s="235">
        <f t="shared" si="39"/>
        <v>215</v>
      </c>
      <c r="O639" s="235">
        <f t="shared" si="40"/>
        <v>0</v>
      </c>
      <c r="P639" s="238" t="s">
        <v>3219</v>
      </c>
      <c r="Q639" s="1" t="s">
        <v>3255</v>
      </c>
      <c r="R639" s="239" t="s">
        <v>3306</v>
      </c>
      <c r="S639" s="238" t="s">
        <v>3307</v>
      </c>
      <c r="T639" s="238" t="s">
        <v>3308</v>
      </c>
      <c r="U639" s="238" t="s">
        <v>3309</v>
      </c>
      <c r="V639" s="238" t="s">
        <v>3310</v>
      </c>
      <c r="W639" s="236">
        <v>8672.4</v>
      </c>
      <c r="X639" s="233">
        <v>41172</v>
      </c>
      <c r="Z639" s="255" t="s">
        <v>3313</v>
      </c>
      <c r="AB639" s="1" t="s">
        <v>3203</v>
      </c>
    </row>
    <row r="640" spans="1:28" ht="11.25" customHeight="1">
      <c r="A640" s="233">
        <v>41159</v>
      </c>
      <c r="B640" s="1" t="s">
        <v>3303</v>
      </c>
      <c r="C640" s="1" t="s">
        <v>3205</v>
      </c>
      <c r="D640" s="1" t="s">
        <v>853</v>
      </c>
      <c r="E640" s="1" t="s">
        <v>3314</v>
      </c>
      <c r="F640" s="5">
        <v>10</v>
      </c>
      <c r="G640" s="1" t="s">
        <v>3213</v>
      </c>
      <c r="H640" s="234">
        <v>48.5</v>
      </c>
      <c r="I640" s="236">
        <f t="shared" si="41"/>
        <v>485</v>
      </c>
      <c r="K640" s="254">
        <f>46.9*F640</f>
        <v>469</v>
      </c>
      <c r="L640" s="237">
        <v>41159</v>
      </c>
      <c r="M640" s="1" t="s">
        <v>3208</v>
      </c>
      <c r="N640" s="235">
        <f t="shared" si="39"/>
        <v>485</v>
      </c>
      <c r="O640" s="235">
        <f t="shared" si="40"/>
        <v>0</v>
      </c>
      <c r="P640" s="238" t="s">
        <v>3219</v>
      </c>
      <c r="Q640" s="1" t="s">
        <v>3255</v>
      </c>
      <c r="R640" s="239" t="s">
        <v>3306</v>
      </c>
      <c r="S640" s="238" t="s">
        <v>3307</v>
      </c>
      <c r="T640" s="238" t="s">
        <v>3308</v>
      </c>
      <c r="U640" s="238" t="s">
        <v>3309</v>
      </c>
      <c r="V640" s="238" t="s">
        <v>3310</v>
      </c>
      <c r="W640" s="236">
        <v>8672.4</v>
      </c>
      <c r="X640" s="233">
        <v>41172</v>
      </c>
      <c r="Z640" s="255" t="s">
        <v>3315</v>
      </c>
      <c r="AB640" s="1" t="s">
        <v>3203</v>
      </c>
    </row>
    <row r="641" spans="1:28" ht="11.25" customHeight="1">
      <c r="A641" s="233">
        <v>41159</v>
      </c>
      <c r="B641" s="1" t="s">
        <v>3316</v>
      </c>
      <c r="C641" s="1" t="s">
        <v>3205</v>
      </c>
      <c r="D641" s="1" t="s">
        <v>1219</v>
      </c>
      <c r="E641" s="1" t="s">
        <v>3252</v>
      </c>
      <c r="F641" s="5">
        <v>100</v>
      </c>
      <c r="G641" s="1" t="s">
        <v>3213</v>
      </c>
      <c r="H641" s="234">
        <v>19.5</v>
      </c>
      <c r="I641" s="236">
        <f t="shared" si="41"/>
        <v>1950</v>
      </c>
      <c r="K641" s="250">
        <f>13*F641</f>
        <v>1300</v>
      </c>
      <c r="L641" s="237">
        <v>41159</v>
      </c>
      <c r="M641" s="1" t="s">
        <v>3214</v>
      </c>
      <c r="N641" s="235">
        <f t="shared" si="39"/>
        <v>1950</v>
      </c>
      <c r="O641" s="235">
        <f t="shared" si="40"/>
        <v>0</v>
      </c>
      <c r="P641" s="238" t="s">
        <v>3317</v>
      </c>
      <c r="Q641" s="1" t="s">
        <v>3216</v>
      </c>
      <c r="R641" s="239" t="s">
        <v>3318</v>
      </c>
      <c r="S641" s="238" t="s">
        <v>3319</v>
      </c>
      <c r="T641" s="1" t="s">
        <v>3216</v>
      </c>
      <c r="V641" s="238" t="s">
        <v>3320</v>
      </c>
      <c r="W641" s="236">
        <v>2238</v>
      </c>
      <c r="X641" s="233">
        <v>41172</v>
      </c>
      <c r="AA641" s="240" t="s">
        <v>3269</v>
      </c>
      <c r="AB641" s="1" t="s">
        <v>3203</v>
      </c>
    </row>
    <row r="642" spans="1:28" ht="11.25" customHeight="1">
      <c r="A642" s="233">
        <v>41159</v>
      </c>
      <c r="B642" s="1" t="s">
        <v>3321</v>
      </c>
      <c r="C642" s="1" t="s">
        <v>3205</v>
      </c>
      <c r="D642" s="1" t="s">
        <v>3322</v>
      </c>
      <c r="E642" s="1" t="s">
        <v>3323</v>
      </c>
      <c r="F642" s="5">
        <v>2</v>
      </c>
      <c r="G642" s="232" t="s">
        <v>3324</v>
      </c>
      <c r="H642" s="234">
        <v>30.15</v>
      </c>
      <c r="I642" s="236">
        <f t="shared" si="41"/>
        <v>60.3</v>
      </c>
      <c r="J642" s="351">
        <v>29.25</v>
      </c>
      <c r="K642" s="266">
        <f>29.25*2</f>
        <v>58.5</v>
      </c>
      <c r="L642" s="237">
        <v>41215</v>
      </c>
      <c r="M642" s="1" t="s">
        <v>3208</v>
      </c>
      <c r="N642" s="235">
        <f t="shared" si="39"/>
        <v>60.3</v>
      </c>
      <c r="O642" s="235">
        <f t="shared" si="40"/>
        <v>0</v>
      </c>
      <c r="P642" s="238" t="s">
        <v>3325</v>
      </c>
      <c r="Q642" s="1" t="s">
        <v>3326</v>
      </c>
      <c r="R642" s="10" t="s">
        <v>3327</v>
      </c>
      <c r="S642" s="10">
        <v>13452102967</v>
      </c>
      <c r="T642" s="10" t="s">
        <v>775</v>
      </c>
      <c r="U642" s="238" t="s">
        <v>3328</v>
      </c>
      <c r="V642" s="28" t="s">
        <v>3202</v>
      </c>
      <c r="Z642" s="268"/>
      <c r="AB642" s="1" t="s">
        <v>3203</v>
      </c>
    </row>
    <row r="643" spans="1:28" ht="11.25" customHeight="1">
      <c r="A643" s="233">
        <v>41159</v>
      </c>
      <c r="B643" s="1" t="s">
        <v>3321</v>
      </c>
      <c r="C643" s="1" t="s">
        <v>3205</v>
      </c>
      <c r="D643" s="1" t="s">
        <v>1221</v>
      </c>
      <c r="E643" s="1">
        <v>4690</v>
      </c>
      <c r="F643" s="5">
        <v>2</v>
      </c>
      <c r="G643" s="1" t="s">
        <v>3329</v>
      </c>
      <c r="H643" s="234">
        <v>221.97</v>
      </c>
      <c r="I643" s="236">
        <f t="shared" si="41"/>
        <v>443.94</v>
      </c>
      <c r="J643" s="351">
        <v>30.15</v>
      </c>
      <c r="K643" s="266">
        <f>212.43*0.96*F643</f>
        <v>407.86559999999997</v>
      </c>
      <c r="L643" s="237">
        <v>41215</v>
      </c>
      <c r="M643" s="1" t="s">
        <v>3208</v>
      </c>
      <c r="N643" s="235">
        <f t="shared" ref="N643:N706" si="42">I643</f>
        <v>443.94</v>
      </c>
      <c r="O643" s="235">
        <f t="shared" ref="O643:O706" si="43">I643-N643</f>
        <v>0</v>
      </c>
      <c r="P643" s="238" t="s">
        <v>3325</v>
      </c>
      <c r="Q643" s="1" t="s">
        <v>3326</v>
      </c>
      <c r="R643" s="10" t="s">
        <v>3327</v>
      </c>
      <c r="S643" s="10">
        <v>13452102967</v>
      </c>
      <c r="T643" s="10" t="s">
        <v>775</v>
      </c>
      <c r="U643" s="238" t="s">
        <v>3328</v>
      </c>
      <c r="V643" s="28" t="s">
        <v>3202</v>
      </c>
      <c r="Z643" s="268" t="s">
        <v>3330</v>
      </c>
      <c r="AB643" s="1" t="s">
        <v>3203</v>
      </c>
    </row>
    <row r="644" spans="1:28" ht="12" customHeight="1">
      <c r="A644" s="233">
        <v>41159</v>
      </c>
      <c r="B644" s="1" t="s">
        <v>3331</v>
      </c>
      <c r="C644" s="1" t="s">
        <v>3205</v>
      </c>
      <c r="D644" s="1" t="s">
        <v>3332</v>
      </c>
      <c r="E644" s="1" t="s">
        <v>3333</v>
      </c>
      <c r="F644" s="5">
        <v>2</v>
      </c>
      <c r="G644" s="1" t="s">
        <v>3329</v>
      </c>
      <c r="H644" s="234">
        <v>30</v>
      </c>
      <c r="I644" s="236">
        <f t="shared" si="41"/>
        <v>60</v>
      </c>
      <c r="K644" s="266">
        <f>17.7885*F644</f>
        <v>35.576999999999998</v>
      </c>
      <c r="L644" s="237">
        <v>41163</v>
      </c>
      <c r="M644" s="1" t="s">
        <v>3208</v>
      </c>
      <c r="N644" s="235">
        <f t="shared" si="42"/>
        <v>60</v>
      </c>
      <c r="O644" s="235">
        <f t="shared" si="43"/>
        <v>0</v>
      </c>
      <c r="P644" s="238" t="s">
        <v>3334</v>
      </c>
      <c r="Q644" s="1" t="s">
        <v>3283</v>
      </c>
      <c r="R644" s="10" t="s">
        <v>3335</v>
      </c>
      <c r="S644" s="10">
        <v>18723588777</v>
      </c>
      <c r="T644" s="10" t="s">
        <v>3336</v>
      </c>
      <c r="U644" s="238" t="s">
        <v>3337</v>
      </c>
      <c r="V644" s="96" t="s">
        <v>3338</v>
      </c>
      <c r="W644" s="236">
        <v>763</v>
      </c>
      <c r="X644" s="233">
        <v>41177</v>
      </c>
      <c r="Y644" s="238" t="s">
        <v>3339</v>
      </c>
      <c r="Z644" s="268"/>
      <c r="AA644" s="240" t="s">
        <v>3269</v>
      </c>
      <c r="AB644" s="1" t="s">
        <v>3221</v>
      </c>
    </row>
    <row r="645" spans="1:28" ht="11.25" customHeight="1">
      <c r="A645" s="233">
        <v>41159</v>
      </c>
      <c r="B645" s="1" t="s">
        <v>3331</v>
      </c>
      <c r="C645" s="1" t="s">
        <v>3205</v>
      </c>
      <c r="D645" s="5" t="s">
        <v>857</v>
      </c>
      <c r="E645" s="1">
        <v>9031</v>
      </c>
      <c r="F645" s="5">
        <v>100</v>
      </c>
      <c r="G645" s="232" t="s">
        <v>3340</v>
      </c>
      <c r="H645" s="234">
        <v>2.4</v>
      </c>
      <c r="I645" s="236">
        <f t="shared" si="41"/>
        <v>240</v>
      </c>
      <c r="K645" s="266">
        <f>1.4929*F645</f>
        <v>149.29</v>
      </c>
      <c r="L645" s="237">
        <v>41163</v>
      </c>
      <c r="M645" s="1" t="s">
        <v>3208</v>
      </c>
      <c r="N645" s="235">
        <f t="shared" si="42"/>
        <v>240</v>
      </c>
      <c r="O645" s="235">
        <f t="shared" si="43"/>
        <v>0</v>
      </c>
      <c r="P645" s="238" t="s">
        <v>3334</v>
      </c>
      <c r="Q645" s="1" t="s">
        <v>3283</v>
      </c>
      <c r="R645" s="10" t="s">
        <v>3335</v>
      </c>
      <c r="S645" s="10">
        <v>18723588777</v>
      </c>
      <c r="T645" s="10" t="s">
        <v>3336</v>
      </c>
      <c r="U645" s="238" t="s">
        <v>3337</v>
      </c>
      <c r="V645" s="96" t="s">
        <v>3338</v>
      </c>
      <c r="W645" s="236">
        <v>763</v>
      </c>
      <c r="X645" s="233">
        <v>41177</v>
      </c>
      <c r="Y645" s="238" t="s">
        <v>3339</v>
      </c>
      <c r="Z645" s="268"/>
      <c r="AA645" s="240" t="s">
        <v>3269</v>
      </c>
      <c r="AB645" s="1" t="s">
        <v>3221</v>
      </c>
    </row>
    <row r="646" spans="1:28" ht="11.25" customHeight="1">
      <c r="A646" s="233">
        <v>41159</v>
      </c>
      <c r="B646" s="1" t="s">
        <v>3331</v>
      </c>
      <c r="C646" s="1" t="s">
        <v>3205</v>
      </c>
      <c r="D646" s="1" t="s">
        <v>3341</v>
      </c>
      <c r="E646" s="1" t="s">
        <v>3342</v>
      </c>
      <c r="F646" s="5">
        <v>2</v>
      </c>
      <c r="G646" s="1" t="s">
        <v>3343</v>
      </c>
      <c r="H646" s="234">
        <v>70</v>
      </c>
      <c r="I646" s="236">
        <f t="shared" si="41"/>
        <v>140</v>
      </c>
      <c r="K646" s="266">
        <f>42.939*F646</f>
        <v>85.878</v>
      </c>
      <c r="L646" s="237">
        <v>41163</v>
      </c>
      <c r="M646" s="1" t="s">
        <v>3208</v>
      </c>
      <c r="N646" s="235">
        <f t="shared" si="42"/>
        <v>140</v>
      </c>
      <c r="O646" s="235">
        <f t="shared" si="43"/>
        <v>0</v>
      </c>
      <c r="P646" s="238" t="s">
        <v>3334</v>
      </c>
      <c r="Q646" s="1" t="s">
        <v>3283</v>
      </c>
      <c r="R646" s="10" t="s">
        <v>3335</v>
      </c>
      <c r="S646" s="10">
        <v>18723588777</v>
      </c>
      <c r="T646" s="10" t="s">
        <v>3336</v>
      </c>
      <c r="U646" s="238" t="s">
        <v>3337</v>
      </c>
      <c r="V646" s="96" t="s">
        <v>3338</v>
      </c>
      <c r="W646" s="236">
        <v>763</v>
      </c>
      <c r="X646" s="233">
        <v>41177</v>
      </c>
      <c r="Y646" s="238" t="s">
        <v>3339</v>
      </c>
      <c r="Z646" s="268"/>
      <c r="AA646" s="240" t="s">
        <v>3269</v>
      </c>
      <c r="AB646" s="1" t="s">
        <v>3221</v>
      </c>
    </row>
    <row r="647" spans="1:28" ht="11.25" customHeight="1">
      <c r="A647" s="233">
        <v>41159</v>
      </c>
      <c r="B647" s="1" t="s">
        <v>3331</v>
      </c>
      <c r="C647" s="1" t="s">
        <v>3205</v>
      </c>
      <c r="D647" s="1" t="s">
        <v>355</v>
      </c>
      <c r="E647" s="1" t="s">
        <v>3344</v>
      </c>
      <c r="F647" s="5">
        <v>5</v>
      </c>
      <c r="G647" s="1" t="s">
        <v>3207</v>
      </c>
      <c r="H647" s="234">
        <v>19</v>
      </c>
      <c r="I647" s="236">
        <f t="shared" si="41"/>
        <v>95</v>
      </c>
      <c r="J647" s="352">
        <v>12.74</v>
      </c>
      <c r="K647" s="266">
        <f>12.74*F647</f>
        <v>63.7</v>
      </c>
      <c r="L647" s="237">
        <v>41163</v>
      </c>
      <c r="M647" s="1" t="s">
        <v>3208</v>
      </c>
      <c r="N647" s="235">
        <f t="shared" si="42"/>
        <v>95</v>
      </c>
      <c r="O647" s="235">
        <f t="shared" si="43"/>
        <v>0</v>
      </c>
      <c r="P647" s="238" t="s">
        <v>3334</v>
      </c>
      <c r="Q647" s="1" t="s">
        <v>3283</v>
      </c>
      <c r="R647" s="10" t="s">
        <v>3335</v>
      </c>
      <c r="S647" s="10">
        <v>18723588777</v>
      </c>
      <c r="T647" s="10" t="s">
        <v>3336</v>
      </c>
      <c r="U647" s="238" t="s">
        <v>3337</v>
      </c>
      <c r="V647" s="96" t="s">
        <v>3338</v>
      </c>
      <c r="W647" s="236">
        <v>763</v>
      </c>
      <c r="X647" s="233">
        <v>41177</v>
      </c>
      <c r="Y647" s="238" t="s">
        <v>3339</v>
      </c>
      <c r="Z647" s="268"/>
      <c r="AA647" s="240" t="s">
        <v>3269</v>
      </c>
      <c r="AB647" s="1" t="s">
        <v>3221</v>
      </c>
    </row>
    <row r="648" spans="1:28" ht="12" customHeight="1">
      <c r="A648" s="233">
        <v>41159</v>
      </c>
      <c r="B648" s="1" t="s">
        <v>3331</v>
      </c>
      <c r="C648" s="1" t="s">
        <v>3205</v>
      </c>
      <c r="D648" s="1" t="s">
        <v>269</v>
      </c>
      <c r="E648" s="1" t="s">
        <v>3345</v>
      </c>
      <c r="F648" s="5">
        <v>50</v>
      </c>
      <c r="G648" s="1" t="s">
        <v>3272</v>
      </c>
      <c r="H648" s="234">
        <v>2</v>
      </c>
      <c r="I648" s="236">
        <f t="shared" si="41"/>
        <v>100</v>
      </c>
      <c r="J648" s="352">
        <v>1.43</v>
      </c>
      <c r="K648" s="266">
        <f>1.43*F648</f>
        <v>71.5</v>
      </c>
      <c r="L648" s="237">
        <v>41163</v>
      </c>
      <c r="M648" s="1" t="s">
        <v>3208</v>
      </c>
      <c r="N648" s="235">
        <f t="shared" si="42"/>
        <v>100</v>
      </c>
      <c r="O648" s="235">
        <f t="shared" si="43"/>
        <v>0</v>
      </c>
      <c r="P648" s="238" t="s">
        <v>3334</v>
      </c>
      <c r="Q648" s="1" t="s">
        <v>3283</v>
      </c>
      <c r="R648" s="10" t="s">
        <v>3335</v>
      </c>
      <c r="S648" s="10">
        <v>18723588777</v>
      </c>
      <c r="T648" s="10" t="s">
        <v>3336</v>
      </c>
      <c r="U648" s="238" t="s">
        <v>3337</v>
      </c>
      <c r="V648" s="96" t="s">
        <v>3338</v>
      </c>
      <c r="W648" s="236">
        <v>763</v>
      </c>
      <c r="X648" s="233">
        <v>41177</v>
      </c>
      <c r="Y648" s="238" t="s">
        <v>3339</v>
      </c>
      <c r="Z648" s="268"/>
      <c r="AA648" s="240" t="s">
        <v>3269</v>
      </c>
      <c r="AB648" s="1" t="s">
        <v>3221</v>
      </c>
    </row>
    <row r="649" spans="1:28" ht="11.25" customHeight="1">
      <c r="A649" s="233">
        <v>41159</v>
      </c>
      <c r="B649" s="1" t="s">
        <v>3331</v>
      </c>
      <c r="C649" s="225" t="s">
        <v>3346</v>
      </c>
      <c r="D649" s="303" t="s">
        <v>5043</v>
      </c>
      <c r="E649" s="1" t="s">
        <v>3347</v>
      </c>
      <c r="F649" s="5">
        <v>2</v>
      </c>
      <c r="G649" s="1" t="s">
        <v>3348</v>
      </c>
      <c r="H649" s="234">
        <v>15</v>
      </c>
      <c r="I649" s="236">
        <f t="shared" si="41"/>
        <v>30</v>
      </c>
      <c r="K649" s="266">
        <f>9.8*F649</f>
        <v>19.600000000000001</v>
      </c>
      <c r="L649" s="237">
        <v>41163</v>
      </c>
      <c r="M649" s="1" t="s">
        <v>3208</v>
      </c>
      <c r="N649" s="235">
        <f t="shared" si="42"/>
        <v>30</v>
      </c>
      <c r="O649" s="235">
        <f t="shared" si="43"/>
        <v>0</v>
      </c>
      <c r="P649" s="238" t="s">
        <v>3334</v>
      </c>
      <c r="Q649" s="1" t="s">
        <v>3283</v>
      </c>
      <c r="R649" s="10" t="s">
        <v>3335</v>
      </c>
      <c r="S649" s="10">
        <v>18723588777</v>
      </c>
      <c r="T649" s="10" t="s">
        <v>3336</v>
      </c>
      <c r="U649" s="238" t="s">
        <v>3337</v>
      </c>
      <c r="V649" s="96" t="s">
        <v>3338</v>
      </c>
      <c r="W649" s="236">
        <v>763</v>
      </c>
      <c r="X649" s="233">
        <v>41177</v>
      </c>
      <c r="Y649" s="238" t="s">
        <v>3339</v>
      </c>
      <c r="Z649" s="268"/>
      <c r="AA649" s="240" t="s">
        <v>3269</v>
      </c>
      <c r="AB649" s="1" t="s">
        <v>3221</v>
      </c>
    </row>
    <row r="650" spans="1:28" ht="11.25" customHeight="1">
      <c r="A650" s="233">
        <v>41159</v>
      </c>
      <c r="B650" s="1" t="s">
        <v>3331</v>
      </c>
      <c r="C650" s="1" t="s">
        <v>3205</v>
      </c>
      <c r="D650" s="1" t="s">
        <v>694</v>
      </c>
      <c r="E650" s="1" t="s">
        <v>3349</v>
      </c>
      <c r="F650" s="5">
        <v>20</v>
      </c>
      <c r="G650" s="1" t="s">
        <v>3213</v>
      </c>
      <c r="H650" s="234">
        <v>2.5</v>
      </c>
      <c r="I650" s="236">
        <f t="shared" si="41"/>
        <v>50</v>
      </c>
      <c r="K650" s="266">
        <f>1.5376*F650</f>
        <v>30.752000000000002</v>
      </c>
      <c r="L650" s="237">
        <v>41163</v>
      </c>
      <c r="M650" s="1" t="s">
        <v>3208</v>
      </c>
      <c r="N650" s="235">
        <f t="shared" si="42"/>
        <v>50</v>
      </c>
      <c r="O650" s="235">
        <f t="shared" si="43"/>
        <v>0</v>
      </c>
      <c r="P650" s="238" t="s">
        <v>3334</v>
      </c>
      <c r="Q650" s="1" t="s">
        <v>3283</v>
      </c>
      <c r="R650" s="10" t="s">
        <v>3335</v>
      </c>
      <c r="S650" s="10">
        <v>18723588777</v>
      </c>
      <c r="T650" s="10" t="s">
        <v>3336</v>
      </c>
      <c r="U650" s="238" t="s">
        <v>3337</v>
      </c>
      <c r="V650" s="96" t="s">
        <v>3338</v>
      </c>
      <c r="W650" s="236">
        <v>763</v>
      </c>
      <c r="X650" s="233">
        <v>41177</v>
      </c>
      <c r="Y650" s="238" t="s">
        <v>3339</v>
      </c>
      <c r="Z650" s="268" t="s">
        <v>3220</v>
      </c>
      <c r="AA650" s="240" t="s">
        <v>3269</v>
      </c>
      <c r="AB650" s="1" t="s">
        <v>3221</v>
      </c>
    </row>
    <row r="651" spans="1:28" ht="11.25" customHeight="1">
      <c r="A651" s="233">
        <v>41159</v>
      </c>
      <c r="B651" s="1" t="s">
        <v>3331</v>
      </c>
      <c r="C651" s="1" t="s">
        <v>3205</v>
      </c>
      <c r="D651" s="1" t="s">
        <v>3270</v>
      </c>
      <c r="E651" s="1">
        <v>40661</v>
      </c>
      <c r="F651" s="5">
        <v>2</v>
      </c>
      <c r="G651" s="1" t="s">
        <v>3213</v>
      </c>
      <c r="H651" s="234">
        <v>24</v>
      </c>
      <c r="I651" s="236">
        <f t="shared" si="41"/>
        <v>48</v>
      </c>
      <c r="K651" s="266">
        <f>16.08*F651</f>
        <v>32.159999999999997</v>
      </c>
      <c r="L651" s="237">
        <v>41163</v>
      </c>
      <c r="M651" s="1" t="s">
        <v>3208</v>
      </c>
      <c r="N651" s="235">
        <f t="shared" si="42"/>
        <v>48</v>
      </c>
      <c r="O651" s="235">
        <f t="shared" si="43"/>
        <v>0</v>
      </c>
      <c r="P651" s="238" t="s">
        <v>3334</v>
      </c>
      <c r="Q651" s="1" t="s">
        <v>3283</v>
      </c>
      <c r="R651" s="10" t="s">
        <v>3335</v>
      </c>
      <c r="S651" s="10">
        <v>18723588777</v>
      </c>
      <c r="T651" s="10" t="s">
        <v>3336</v>
      </c>
      <c r="U651" s="238" t="s">
        <v>3337</v>
      </c>
      <c r="V651" s="96" t="s">
        <v>3338</v>
      </c>
      <c r="W651" s="236">
        <v>763</v>
      </c>
      <c r="X651" s="233">
        <v>41177</v>
      </c>
      <c r="Y651" s="238" t="s">
        <v>3339</v>
      </c>
      <c r="Z651" s="255" t="s">
        <v>3220</v>
      </c>
      <c r="AA651" s="240" t="s">
        <v>3269</v>
      </c>
      <c r="AB651" s="1" t="s">
        <v>3221</v>
      </c>
    </row>
    <row r="652" spans="1:28" ht="11.25" customHeight="1">
      <c r="A652" s="233">
        <v>41160</v>
      </c>
      <c r="B652" s="1" t="s">
        <v>974</v>
      </c>
      <c r="C652" s="1" t="s">
        <v>3205</v>
      </c>
      <c r="D652" s="1" t="s">
        <v>87</v>
      </c>
      <c r="E652" s="1">
        <v>9032</v>
      </c>
      <c r="F652" s="5">
        <v>50</v>
      </c>
      <c r="G652" s="1" t="s">
        <v>3207</v>
      </c>
      <c r="H652" s="234">
        <v>2.4</v>
      </c>
      <c r="I652" s="235">
        <f t="shared" si="41"/>
        <v>120</v>
      </c>
      <c r="K652" s="266">
        <f>1.4929*F652</f>
        <v>74.644999999999996</v>
      </c>
      <c r="L652" s="237">
        <v>41204</v>
      </c>
      <c r="M652" s="1" t="s">
        <v>3223</v>
      </c>
      <c r="N652" s="235">
        <f t="shared" si="42"/>
        <v>120</v>
      </c>
      <c r="O652" s="235">
        <f t="shared" si="43"/>
        <v>0</v>
      </c>
      <c r="P652" s="238" t="s">
        <v>3350</v>
      </c>
      <c r="Q652" s="1" t="s">
        <v>3216</v>
      </c>
      <c r="R652" s="247" t="s">
        <v>3609</v>
      </c>
      <c r="S652" s="238" t="s">
        <v>3351</v>
      </c>
      <c r="T652" s="238" t="s">
        <v>5550</v>
      </c>
      <c r="U652" s="238" t="s">
        <v>3216</v>
      </c>
      <c r="V652" s="246" t="s">
        <v>3352</v>
      </c>
      <c r="W652" s="236">
        <v>3968</v>
      </c>
      <c r="X652" s="233">
        <v>41199</v>
      </c>
      <c r="Y652" s="246" t="s">
        <v>3353</v>
      </c>
      <c r="AB652" s="1" t="s">
        <v>3221</v>
      </c>
    </row>
    <row r="653" spans="1:28" ht="11.25" customHeight="1">
      <c r="A653" s="233">
        <v>41160</v>
      </c>
      <c r="B653" s="1" t="s">
        <v>974</v>
      </c>
      <c r="C653" s="1" t="s">
        <v>3205</v>
      </c>
      <c r="D653" s="5" t="s">
        <v>857</v>
      </c>
      <c r="E653" s="1">
        <v>9031</v>
      </c>
      <c r="F653" s="5">
        <v>50</v>
      </c>
      <c r="G653" s="232" t="s">
        <v>3340</v>
      </c>
      <c r="H653" s="234">
        <v>2.4</v>
      </c>
      <c r="I653" s="235">
        <f t="shared" si="41"/>
        <v>120</v>
      </c>
      <c r="K653" s="266">
        <f>1.4929*F653</f>
        <v>74.644999999999996</v>
      </c>
      <c r="L653" s="237">
        <v>41204</v>
      </c>
      <c r="M653" s="1" t="s">
        <v>3223</v>
      </c>
      <c r="N653" s="235">
        <f t="shared" si="42"/>
        <v>120</v>
      </c>
      <c r="O653" s="235">
        <f t="shared" si="43"/>
        <v>0</v>
      </c>
      <c r="P653" s="238" t="s">
        <v>3350</v>
      </c>
      <c r="Q653" s="1" t="s">
        <v>3216</v>
      </c>
      <c r="R653" s="247" t="s">
        <v>3609</v>
      </c>
      <c r="S653" s="238" t="s">
        <v>3351</v>
      </c>
      <c r="T653" s="238" t="s">
        <v>5550</v>
      </c>
      <c r="U653" s="238" t="s">
        <v>3216</v>
      </c>
      <c r="V653" s="246" t="s">
        <v>3352</v>
      </c>
      <c r="W653" s="236">
        <v>3968</v>
      </c>
      <c r="X653" s="233">
        <v>41199</v>
      </c>
      <c r="Y653" s="246" t="s">
        <v>3353</v>
      </c>
      <c r="AB653" s="1" t="s">
        <v>3221</v>
      </c>
    </row>
    <row r="654" spans="1:28" ht="11.25" customHeight="1">
      <c r="A654" s="233">
        <v>41160</v>
      </c>
      <c r="B654" s="1" t="s">
        <v>974</v>
      </c>
      <c r="C654" s="1" t="s">
        <v>3205</v>
      </c>
      <c r="D654" s="1" t="s">
        <v>241</v>
      </c>
      <c r="E654" s="1">
        <v>6200</v>
      </c>
      <c r="F654" s="5">
        <v>2</v>
      </c>
      <c r="G654" s="1" t="s">
        <v>230</v>
      </c>
      <c r="H654" s="234">
        <v>68</v>
      </c>
      <c r="I654" s="235">
        <f t="shared" si="41"/>
        <v>136</v>
      </c>
      <c r="J654" s="352">
        <v>45</v>
      </c>
      <c r="K654" s="266" t="e">
        <f>#REF!*F654</f>
        <v>#REF!</v>
      </c>
      <c r="L654" s="237">
        <v>41204</v>
      </c>
      <c r="M654" s="1" t="s">
        <v>3223</v>
      </c>
      <c r="N654" s="235">
        <f t="shared" si="42"/>
        <v>136</v>
      </c>
      <c r="O654" s="235">
        <f t="shared" si="43"/>
        <v>0</v>
      </c>
      <c r="P654" s="238" t="s">
        <v>3350</v>
      </c>
      <c r="Q654" s="1" t="s">
        <v>3216</v>
      </c>
      <c r="R654" s="247" t="s">
        <v>3609</v>
      </c>
      <c r="S654" s="238" t="s">
        <v>3351</v>
      </c>
      <c r="T654" s="238" t="s">
        <v>5550</v>
      </c>
      <c r="U654" s="238" t="s">
        <v>3216</v>
      </c>
      <c r="V654" s="246" t="s">
        <v>3352</v>
      </c>
      <c r="W654" s="236">
        <v>3968</v>
      </c>
      <c r="X654" s="233">
        <v>41199</v>
      </c>
      <c r="Y654" s="246" t="s">
        <v>3353</v>
      </c>
      <c r="AB654" s="1" t="s">
        <v>3221</v>
      </c>
    </row>
    <row r="655" spans="1:28" ht="11.25" customHeight="1">
      <c r="A655" s="233">
        <v>41160</v>
      </c>
      <c r="B655" s="1" t="s">
        <v>974</v>
      </c>
      <c r="C655" s="1" t="s">
        <v>3205</v>
      </c>
      <c r="D655" s="1" t="s">
        <v>274</v>
      </c>
      <c r="E655" s="1" t="s">
        <v>3253</v>
      </c>
      <c r="F655" s="5">
        <v>4</v>
      </c>
      <c r="G655" s="1" t="s">
        <v>230</v>
      </c>
      <c r="H655" s="234">
        <v>48</v>
      </c>
      <c r="I655" s="235">
        <f t="shared" si="41"/>
        <v>192</v>
      </c>
      <c r="J655" s="352">
        <v>32</v>
      </c>
      <c r="K655" s="266">
        <f>32*F655</f>
        <v>128</v>
      </c>
      <c r="L655" s="237">
        <v>41204</v>
      </c>
      <c r="M655" s="1" t="s">
        <v>3223</v>
      </c>
      <c r="N655" s="235">
        <f t="shared" si="42"/>
        <v>192</v>
      </c>
      <c r="O655" s="235">
        <f t="shared" si="43"/>
        <v>0</v>
      </c>
      <c r="P655" s="238" t="s">
        <v>3350</v>
      </c>
      <c r="Q655" s="1" t="s">
        <v>3216</v>
      </c>
      <c r="R655" s="247" t="s">
        <v>3609</v>
      </c>
      <c r="S655" s="238" t="s">
        <v>3351</v>
      </c>
      <c r="T655" s="238" t="s">
        <v>5550</v>
      </c>
      <c r="U655" s="238" t="s">
        <v>3216</v>
      </c>
      <c r="V655" s="246" t="s">
        <v>3352</v>
      </c>
      <c r="W655" s="236">
        <v>3968</v>
      </c>
      <c r="X655" s="233">
        <v>41199</v>
      </c>
      <c r="Y655" s="246" t="s">
        <v>3353</v>
      </c>
      <c r="AB655" s="1" t="s">
        <v>3221</v>
      </c>
    </row>
    <row r="656" spans="1:28" ht="11.25" customHeight="1">
      <c r="A656" s="233">
        <v>41160</v>
      </c>
      <c r="B656" s="1" t="s">
        <v>974</v>
      </c>
      <c r="C656" s="1" t="s">
        <v>3205</v>
      </c>
      <c r="D656" s="1" t="s">
        <v>1219</v>
      </c>
      <c r="E656" s="1" t="s">
        <v>3252</v>
      </c>
      <c r="F656" s="5">
        <v>2</v>
      </c>
      <c r="G656" s="1" t="s">
        <v>3213</v>
      </c>
      <c r="H656" s="234">
        <v>21</v>
      </c>
      <c r="I656" s="235">
        <f t="shared" si="41"/>
        <v>42</v>
      </c>
      <c r="K656" s="274">
        <f>13*F656</f>
        <v>26</v>
      </c>
      <c r="L656" s="237">
        <v>41204</v>
      </c>
      <c r="M656" s="1" t="s">
        <v>3223</v>
      </c>
      <c r="N656" s="235">
        <f t="shared" si="42"/>
        <v>42</v>
      </c>
      <c r="O656" s="235">
        <f t="shared" si="43"/>
        <v>0</v>
      </c>
      <c r="P656" s="238" t="s">
        <v>3350</v>
      </c>
      <c r="Q656" s="1" t="s">
        <v>3216</v>
      </c>
      <c r="R656" s="247" t="s">
        <v>3609</v>
      </c>
      <c r="S656" s="238" t="s">
        <v>3351</v>
      </c>
      <c r="T656" s="238" t="s">
        <v>5550</v>
      </c>
      <c r="U656" s="238" t="s">
        <v>3216</v>
      </c>
      <c r="V656" s="246" t="s">
        <v>3352</v>
      </c>
      <c r="W656" s="236">
        <v>3968</v>
      </c>
      <c r="X656" s="233">
        <v>41199</v>
      </c>
      <c r="Y656" s="246" t="s">
        <v>3353</v>
      </c>
      <c r="Z656" s="255" t="s">
        <v>3220</v>
      </c>
      <c r="AB656" s="1" t="s">
        <v>3221</v>
      </c>
    </row>
    <row r="657" spans="1:28" ht="11.25" customHeight="1">
      <c r="A657" s="233">
        <v>41160</v>
      </c>
      <c r="B657" s="1" t="s">
        <v>974</v>
      </c>
      <c r="C657" s="1" t="s">
        <v>3205</v>
      </c>
      <c r="D657" s="1" t="s">
        <v>247</v>
      </c>
      <c r="E657" s="1">
        <v>4515</v>
      </c>
      <c r="F657" s="5">
        <v>2</v>
      </c>
      <c r="G657" s="1" t="s">
        <v>244</v>
      </c>
      <c r="H657" s="234">
        <v>26</v>
      </c>
      <c r="I657" s="235">
        <f t="shared" si="41"/>
        <v>52</v>
      </c>
      <c r="K657" s="266">
        <f>12.6*F657</f>
        <v>25.2</v>
      </c>
      <c r="L657" s="237">
        <v>41204</v>
      </c>
      <c r="M657" s="1" t="s">
        <v>3223</v>
      </c>
      <c r="N657" s="235">
        <f t="shared" si="42"/>
        <v>52</v>
      </c>
      <c r="O657" s="235">
        <f t="shared" si="43"/>
        <v>0</v>
      </c>
      <c r="P657" s="238" t="s">
        <v>3350</v>
      </c>
      <c r="Q657" s="1" t="s">
        <v>3216</v>
      </c>
      <c r="R657" s="247" t="s">
        <v>3609</v>
      </c>
      <c r="S657" s="238" t="s">
        <v>3351</v>
      </c>
      <c r="T657" s="238" t="s">
        <v>5550</v>
      </c>
      <c r="U657" s="238" t="s">
        <v>3216</v>
      </c>
      <c r="V657" s="246" t="s">
        <v>3352</v>
      </c>
      <c r="W657" s="236">
        <v>3968</v>
      </c>
      <c r="X657" s="233">
        <v>41199</v>
      </c>
      <c r="Y657" s="246" t="s">
        <v>3353</v>
      </c>
      <c r="Z657" s="255" t="s">
        <v>3220</v>
      </c>
      <c r="AB657" s="1" t="s">
        <v>3221</v>
      </c>
    </row>
    <row r="658" spans="1:28" ht="11.25" customHeight="1">
      <c r="A658" s="233">
        <v>41160</v>
      </c>
      <c r="B658" s="1" t="s">
        <v>974</v>
      </c>
      <c r="C658" s="1" t="s">
        <v>3205</v>
      </c>
      <c r="D658" s="1" t="s">
        <v>1720</v>
      </c>
      <c r="E658" s="1">
        <v>8210</v>
      </c>
      <c r="F658" s="5">
        <v>20</v>
      </c>
      <c r="G658" s="1" t="s">
        <v>3207</v>
      </c>
      <c r="H658" s="234">
        <v>6</v>
      </c>
      <c r="I658" s="235">
        <f t="shared" si="41"/>
        <v>120</v>
      </c>
      <c r="K658" s="266">
        <f>3.78*F658</f>
        <v>75.599999999999994</v>
      </c>
      <c r="L658" s="237">
        <v>41204</v>
      </c>
      <c r="M658" s="1" t="s">
        <v>3223</v>
      </c>
      <c r="N658" s="235">
        <f t="shared" si="42"/>
        <v>120</v>
      </c>
      <c r="O658" s="235">
        <f t="shared" si="43"/>
        <v>0</v>
      </c>
      <c r="P658" s="238" t="s">
        <v>3350</v>
      </c>
      <c r="Q658" s="1" t="s">
        <v>3216</v>
      </c>
      <c r="R658" s="247" t="s">
        <v>3609</v>
      </c>
      <c r="S658" s="238" t="s">
        <v>3351</v>
      </c>
      <c r="T658" s="238" t="s">
        <v>5550</v>
      </c>
      <c r="U658" s="238" t="s">
        <v>3216</v>
      </c>
      <c r="V658" s="246" t="s">
        <v>3352</v>
      </c>
      <c r="W658" s="236">
        <v>3968</v>
      </c>
      <c r="X658" s="233">
        <v>41199</v>
      </c>
      <c r="Y658" s="246" t="s">
        <v>3353</v>
      </c>
      <c r="AB658" s="1" t="s">
        <v>3221</v>
      </c>
    </row>
    <row r="659" spans="1:28" ht="11.25" customHeight="1">
      <c r="A659" s="233">
        <v>41160</v>
      </c>
      <c r="B659" s="1" t="s">
        <v>974</v>
      </c>
      <c r="C659" s="1" t="s">
        <v>1335</v>
      </c>
      <c r="D659" s="95" t="s">
        <v>5040</v>
      </c>
      <c r="E659" s="1" t="s">
        <v>3354</v>
      </c>
      <c r="F659" s="5">
        <v>1</v>
      </c>
      <c r="G659" s="1" t="s">
        <v>3348</v>
      </c>
      <c r="H659" s="234">
        <v>16</v>
      </c>
      <c r="I659" s="235">
        <f t="shared" si="41"/>
        <v>16</v>
      </c>
      <c r="K659" s="266">
        <f>10.05*F659</f>
        <v>10.050000000000001</v>
      </c>
      <c r="L659" s="237">
        <v>41204</v>
      </c>
      <c r="M659" s="1" t="s">
        <v>3223</v>
      </c>
      <c r="N659" s="235">
        <f t="shared" si="42"/>
        <v>16</v>
      </c>
      <c r="O659" s="235">
        <f t="shared" si="43"/>
        <v>0</v>
      </c>
      <c r="P659" s="238" t="s">
        <v>3350</v>
      </c>
      <c r="Q659" s="1" t="s">
        <v>3216</v>
      </c>
      <c r="R659" s="247" t="s">
        <v>3609</v>
      </c>
      <c r="S659" s="238" t="s">
        <v>3351</v>
      </c>
      <c r="T659" s="238" t="s">
        <v>5550</v>
      </c>
      <c r="U659" s="238" t="s">
        <v>3216</v>
      </c>
      <c r="V659" s="246" t="s">
        <v>3352</v>
      </c>
      <c r="W659" s="236">
        <v>3968</v>
      </c>
      <c r="X659" s="233">
        <v>41199</v>
      </c>
      <c r="Y659" s="246" t="s">
        <v>3353</v>
      </c>
      <c r="AB659" s="1" t="s">
        <v>3221</v>
      </c>
    </row>
    <row r="660" spans="1:28" ht="13.5" customHeight="1">
      <c r="A660" s="233">
        <v>41162</v>
      </c>
      <c r="B660" s="1" t="s">
        <v>3355</v>
      </c>
      <c r="C660" s="1" t="s">
        <v>3205</v>
      </c>
      <c r="D660" s="1" t="s">
        <v>355</v>
      </c>
      <c r="E660" s="1" t="s">
        <v>3206</v>
      </c>
      <c r="F660" s="5">
        <v>20</v>
      </c>
      <c r="G660" s="1" t="s">
        <v>230</v>
      </c>
      <c r="H660" s="234">
        <v>25</v>
      </c>
      <c r="I660" s="236">
        <f t="shared" si="41"/>
        <v>500</v>
      </c>
      <c r="J660" s="352">
        <v>17.5</v>
      </c>
      <c r="K660" s="266">
        <f>17.5*F660</f>
        <v>350</v>
      </c>
      <c r="L660" s="237">
        <v>41162</v>
      </c>
      <c r="M660" s="1" t="s">
        <v>3214</v>
      </c>
      <c r="N660" s="235">
        <f t="shared" si="42"/>
        <v>500</v>
      </c>
      <c r="O660" s="235">
        <f t="shared" si="43"/>
        <v>0</v>
      </c>
      <c r="P660" s="238" t="s">
        <v>3356</v>
      </c>
      <c r="Q660" s="1" t="s">
        <v>3216</v>
      </c>
      <c r="R660" s="239" t="s">
        <v>3357</v>
      </c>
      <c r="S660" s="238" t="s">
        <v>3358</v>
      </c>
      <c r="T660" s="238" t="s">
        <v>3359</v>
      </c>
      <c r="U660" s="238" t="s">
        <v>3216</v>
      </c>
      <c r="V660" s="238" t="s">
        <v>3360</v>
      </c>
      <c r="W660" s="236">
        <v>2200</v>
      </c>
      <c r="X660" s="233">
        <v>41164</v>
      </c>
      <c r="AB660" s="1" t="s">
        <v>3221</v>
      </c>
    </row>
    <row r="661" spans="1:28" ht="11.25" customHeight="1">
      <c r="A661" s="233">
        <v>41162</v>
      </c>
      <c r="B661" s="1" t="s">
        <v>3355</v>
      </c>
      <c r="C661" s="1" t="s">
        <v>3205</v>
      </c>
      <c r="D661" s="1" t="s">
        <v>233</v>
      </c>
      <c r="E661" s="1" t="s">
        <v>3361</v>
      </c>
      <c r="F661" s="5">
        <v>40</v>
      </c>
      <c r="G661" s="1" t="s">
        <v>232</v>
      </c>
      <c r="H661" s="234">
        <v>8.5</v>
      </c>
      <c r="I661" s="236">
        <f t="shared" si="41"/>
        <v>340</v>
      </c>
      <c r="K661" s="266">
        <f>4.78*F661</f>
        <v>191.20000000000002</v>
      </c>
      <c r="L661" s="237">
        <v>41162</v>
      </c>
      <c r="M661" s="1" t="s">
        <v>3214</v>
      </c>
      <c r="N661" s="235">
        <f t="shared" si="42"/>
        <v>340</v>
      </c>
      <c r="O661" s="235">
        <f t="shared" si="43"/>
        <v>0</v>
      </c>
      <c r="P661" s="238" t="s">
        <v>3356</v>
      </c>
      <c r="Q661" s="1" t="s">
        <v>3216</v>
      </c>
      <c r="R661" s="239" t="s">
        <v>3357</v>
      </c>
      <c r="S661" s="238" t="s">
        <v>3358</v>
      </c>
      <c r="T661" s="238" t="s">
        <v>3359</v>
      </c>
      <c r="U661" s="238" t="s">
        <v>3216</v>
      </c>
      <c r="V661" s="238" t="s">
        <v>3360</v>
      </c>
      <c r="W661" s="236">
        <v>2200</v>
      </c>
      <c r="X661" s="233">
        <v>41164</v>
      </c>
      <c r="AB661" s="1" t="s">
        <v>3221</v>
      </c>
    </row>
    <row r="662" spans="1:28" ht="11.25" customHeight="1">
      <c r="A662" s="233">
        <v>41162</v>
      </c>
      <c r="B662" s="1" t="s">
        <v>3355</v>
      </c>
      <c r="C662" s="1" t="s">
        <v>3205</v>
      </c>
      <c r="D662" s="1" t="s">
        <v>264</v>
      </c>
      <c r="E662" s="1">
        <v>501</v>
      </c>
      <c r="F662" s="5">
        <v>20</v>
      </c>
      <c r="G662" s="1" t="s">
        <v>2101</v>
      </c>
      <c r="H662" s="234">
        <v>1.8</v>
      </c>
      <c r="I662" s="236">
        <f t="shared" si="41"/>
        <v>36</v>
      </c>
      <c r="K662" s="266">
        <f>1.39*F662</f>
        <v>27.799999999999997</v>
      </c>
      <c r="L662" s="237">
        <v>41162</v>
      </c>
      <c r="M662" s="1" t="s">
        <v>2412</v>
      </c>
      <c r="N662" s="235">
        <f t="shared" si="42"/>
        <v>36</v>
      </c>
      <c r="O662" s="235">
        <f t="shared" si="43"/>
        <v>0</v>
      </c>
      <c r="P662" s="238" t="s">
        <v>3362</v>
      </c>
      <c r="Q662" s="1" t="s">
        <v>2230</v>
      </c>
      <c r="R662" s="239" t="s">
        <v>3157</v>
      </c>
      <c r="S662" s="238" t="s">
        <v>3158</v>
      </c>
      <c r="T662" s="238" t="s">
        <v>3159</v>
      </c>
      <c r="U662" s="238" t="s">
        <v>2230</v>
      </c>
      <c r="V662" s="238" t="s">
        <v>3363</v>
      </c>
      <c r="W662" s="236">
        <v>2200</v>
      </c>
      <c r="X662" s="233">
        <v>41164</v>
      </c>
      <c r="AB662" s="1" t="s">
        <v>2094</v>
      </c>
    </row>
    <row r="663" spans="1:28" ht="11.25" customHeight="1">
      <c r="A663" s="233">
        <v>41162</v>
      </c>
      <c r="B663" s="1" t="s">
        <v>3161</v>
      </c>
      <c r="C663" s="1" t="s">
        <v>2095</v>
      </c>
      <c r="D663" s="5" t="s">
        <v>2029</v>
      </c>
      <c r="E663" s="1">
        <v>7502</v>
      </c>
      <c r="F663" s="5">
        <v>10</v>
      </c>
      <c r="G663" s="1" t="s">
        <v>230</v>
      </c>
      <c r="H663" s="234">
        <v>132.4</v>
      </c>
      <c r="I663" s="236">
        <f t="shared" si="41"/>
        <v>1324</v>
      </c>
      <c r="J663" s="352">
        <v>105</v>
      </c>
      <c r="K663" s="266">
        <f>105*F663</f>
        <v>1050</v>
      </c>
      <c r="L663" s="237">
        <v>41162</v>
      </c>
      <c r="M663" s="1" t="s">
        <v>2412</v>
      </c>
      <c r="N663" s="235">
        <f t="shared" si="42"/>
        <v>1324</v>
      </c>
      <c r="O663" s="235">
        <f t="shared" si="43"/>
        <v>0</v>
      </c>
      <c r="P663" s="238" t="s">
        <v>3362</v>
      </c>
      <c r="Q663" s="1" t="s">
        <v>2230</v>
      </c>
      <c r="R663" s="239" t="s">
        <v>3157</v>
      </c>
      <c r="S663" s="238" t="s">
        <v>3158</v>
      </c>
      <c r="T663" s="238" t="s">
        <v>3159</v>
      </c>
      <c r="U663" s="238" t="s">
        <v>2230</v>
      </c>
      <c r="V663" s="238" t="s">
        <v>3363</v>
      </c>
      <c r="W663" s="236">
        <v>2200</v>
      </c>
      <c r="X663" s="233">
        <v>41164</v>
      </c>
      <c r="AB663" s="1" t="s">
        <v>2094</v>
      </c>
    </row>
    <row r="664" spans="1:28" ht="11.25" customHeight="1">
      <c r="A664" s="233">
        <v>41162</v>
      </c>
      <c r="B664" s="1" t="s">
        <v>1015</v>
      </c>
      <c r="C664" s="1" t="s">
        <v>2095</v>
      </c>
      <c r="D664" s="1" t="s">
        <v>694</v>
      </c>
      <c r="E664" s="1" t="s">
        <v>2568</v>
      </c>
      <c r="F664" s="5">
        <v>200</v>
      </c>
      <c r="G664" s="1" t="s">
        <v>2420</v>
      </c>
      <c r="H664" s="234">
        <v>2.5</v>
      </c>
      <c r="I664" s="236">
        <f t="shared" si="41"/>
        <v>500</v>
      </c>
      <c r="K664" s="266">
        <f>1.5376*F664</f>
        <v>307.52000000000004</v>
      </c>
      <c r="L664" s="237">
        <v>41162</v>
      </c>
      <c r="M664" s="1" t="s">
        <v>2412</v>
      </c>
      <c r="N664" s="235">
        <f t="shared" si="42"/>
        <v>500</v>
      </c>
      <c r="O664" s="235">
        <f t="shared" si="43"/>
        <v>0</v>
      </c>
      <c r="P664" s="238" t="s">
        <v>3364</v>
      </c>
      <c r="Q664" s="1" t="s">
        <v>2230</v>
      </c>
      <c r="R664" s="239" t="s">
        <v>2097</v>
      </c>
      <c r="S664" s="239" t="s">
        <v>2097</v>
      </c>
      <c r="T664" s="238" t="s">
        <v>3365</v>
      </c>
      <c r="U664" s="238" t="s">
        <v>2230</v>
      </c>
      <c r="V664" s="238" t="s">
        <v>3366</v>
      </c>
      <c r="W664" s="236">
        <v>1150</v>
      </c>
      <c r="X664" s="233">
        <v>41199</v>
      </c>
      <c r="Y664" s="238" t="s">
        <v>2230</v>
      </c>
      <c r="Z664" s="255" t="s">
        <v>2573</v>
      </c>
      <c r="AB664" s="1" t="s">
        <v>2094</v>
      </c>
    </row>
    <row r="665" spans="1:28" ht="11.25" customHeight="1">
      <c r="A665" s="233">
        <v>41162</v>
      </c>
      <c r="B665" s="1" t="s">
        <v>1015</v>
      </c>
      <c r="C665" s="1" t="s">
        <v>2095</v>
      </c>
      <c r="D665" s="1" t="s">
        <v>2045</v>
      </c>
      <c r="E665" s="1" t="s">
        <v>3367</v>
      </c>
      <c r="F665" s="5">
        <v>10</v>
      </c>
      <c r="G665" s="1" t="s">
        <v>237</v>
      </c>
      <c r="H665" s="234">
        <v>65</v>
      </c>
      <c r="I665" s="236">
        <f t="shared" si="41"/>
        <v>650</v>
      </c>
      <c r="K665" s="266">
        <f>42.939*F665</f>
        <v>429.39</v>
      </c>
      <c r="L665" s="237">
        <v>41162</v>
      </c>
      <c r="M665" s="1" t="s">
        <v>2412</v>
      </c>
      <c r="N665" s="235">
        <f t="shared" si="42"/>
        <v>650</v>
      </c>
      <c r="O665" s="235">
        <f t="shared" si="43"/>
        <v>0</v>
      </c>
      <c r="P665" s="238" t="s">
        <v>3364</v>
      </c>
      <c r="Q665" s="1" t="s">
        <v>2230</v>
      </c>
      <c r="R665" s="239" t="s">
        <v>2097</v>
      </c>
      <c r="S665" s="239" t="s">
        <v>2097</v>
      </c>
      <c r="T665" s="238" t="s">
        <v>3365</v>
      </c>
      <c r="U665" s="238" t="s">
        <v>2230</v>
      </c>
      <c r="V665" s="238" t="s">
        <v>3366</v>
      </c>
      <c r="W665" s="236">
        <v>1150</v>
      </c>
      <c r="X665" s="233">
        <v>41199</v>
      </c>
      <c r="Y665" s="238" t="s">
        <v>2230</v>
      </c>
      <c r="AB665" s="1" t="s">
        <v>2094</v>
      </c>
    </row>
    <row r="666" spans="1:28" ht="11.25" customHeight="1">
      <c r="A666" s="233">
        <v>41162</v>
      </c>
      <c r="B666" s="1" t="s">
        <v>3368</v>
      </c>
      <c r="C666" s="1" t="s">
        <v>2095</v>
      </c>
      <c r="D666" s="1" t="s">
        <v>241</v>
      </c>
      <c r="E666" s="1">
        <v>6200</v>
      </c>
      <c r="F666" s="5">
        <v>1</v>
      </c>
      <c r="G666" s="1" t="s">
        <v>230</v>
      </c>
      <c r="H666" s="234">
        <v>80</v>
      </c>
      <c r="I666" s="236">
        <f t="shared" si="41"/>
        <v>80</v>
      </c>
      <c r="J666" s="352">
        <v>45</v>
      </c>
      <c r="K666" s="266" t="e">
        <f>#REF!*F666</f>
        <v>#REF!</v>
      </c>
      <c r="L666" s="237">
        <v>41162</v>
      </c>
      <c r="M666" s="1" t="s">
        <v>2412</v>
      </c>
      <c r="N666" s="235">
        <f t="shared" si="42"/>
        <v>80</v>
      </c>
      <c r="O666" s="235">
        <f t="shared" si="43"/>
        <v>0</v>
      </c>
      <c r="P666" s="238" t="s">
        <v>3369</v>
      </c>
      <c r="Q666" s="1" t="s">
        <v>2230</v>
      </c>
      <c r="R666" s="239" t="s">
        <v>2097</v>
      </c>
      <c r="S666" s="1">
        <v>13883116868</v>
      </c>
      <c r="T666" s="238" t="s">
        <v>3370</v>
      </c>
      <c r="U666" s="238" t="s">
        <v>2230</v>
      </c>
      <c r="V666" s="238" t="s">
        <v>2512</v>
      </c>
      <c r="AB666" s="1" t="s">
        <v>2094</v>
      </c>
    </row>
    <row r="667" spans="1:28" ht="11.25" customHeight="1">
      <c r="A667" s="233">
        <v>41162</v>
      </c>
      <c r="B667" s="1" t="s">
        <v>3368</v>
      </c>
      <c r="C667" s="1" t="s">
        <v>2095</v>
      </c>
      <c r="D667" s="1" t="s">
        <v>2046</v>
      </c>
      <c r="E667" s="1" t="s">
        <v>3371</v>
      </c>
      <c r="F667" s="5">
        <v>2</v>
      </c>
      <c r="G667" s="1" t="s">
        <v>2514</v>
      </c>
      <c r="H667" s="234">
        <v>15</v>
      </c>
      <c r="I667" s="236">
        <f t="shared" si="41"/>
        <v>30</v>
      </c>
      <c r="K667" s="266">
        <f>8.8*F667</f>
        <v>17.600000000000001</v>
      </c>
      <c r="L667" s="237">
        <v>41162</v>
      </c>
      <c r="M667" s="1" t="s">
        <v>2412</v>
      </c>
      <c r="N667" s="235">
        <f t="shared" si="42"/>
        <v>30</v>
      </c>
      <c r="O667" s="235">
        <f t="shared" si="43"/>
        <v>0</v>
      </c>
      <c r="P667" s="238" t="s">
        <v>3369</v>
      </c>
      <c r="Q667" s="1" t="s">
        <v>2230</v>
      </c>
      <c r="R667" s="239" t="s">
        <v>2097</v>
      </c>
      <c r="S667" s="1">
        <v>13883116868</v>
      </c>
      <c r="T667" s="238" t="s">
        <v>3370</v>
      </c>
      <c r="U667" s="238" t="s">
        <v>2230</v>
      </c>
      <c r="V667" s="238" t="s">
        <v>2512</v>
      </c>
      <c r="AB667" s="1" t="s">
        <v>2094</v>
      </c>
    </row>
    <row r="668" spans="1:28" ht="11.25" customHeight="1">
      <c r="A668" s="233">
        <v>41163</v>
      </c>
      <c r="B668" s="1" t="s">
        <v>3372</v>
      </c>
      <c r="C668" s="1" t="s">
        <v>2095</v>
      </c>
      <c r="D668" s="1" t="s">
        <v>2027</v>
      </c>
      <c r="E668" s="1" t="s">
        <v>3163</v>
      </c>
      <c r="F668" s="5">
        <v>150</v>
      </c>
      <c r="G668" s="1" t="s">
        <v>237</v>
      </c>
      <c r="H668" s="234">
        <v>38.26</v>
      </c>
      <c r="I668" s="236">
        <f t="shared" ref="I668:I699" si="44">H668*F668</f>
        <v>5739</v>
      </c>
      <c r="K668" s="266">
        <f>33.111*F668</f>
        <v>4966.6499999999996</v>
      </c>
      <c r="L668" s="237">
        <v>41163</v>
      </c>
      <c r="M668" s="1" t="s">
        <v>2349</v>
      </c>
      <c r="N668" s="235">
        <f t="shared" si="42"/>
        <v>5739</v>
      </c>
      <c r="O668" s="235">
        <f t="shared" si="43"/>
        <v>0</v>
      </c>
      <c r="P668" s="238" t="s">
        <v>2097</v>
      </c>
      <c r="Q668" s="1" t="s">
        <v>3373</v>
      </c>
      <c r="R668" s="10" t="s">
        <v>3374</v>
      </c>
      <c r="S668" s="10">
        <v>13896055976</v>
      </c>
      <c r="T668" s="238" t="s">
        <v>3375</v>
      </c>
      <c r="U668" s="238" t="s">
        <v>3376</v>
      </c>
      <c r="V668" s="238" t="s">
        <v>2512</v>
      </c>
      <c r="AB668" s="1" t="s">
        <v>2551</v>
      </c>
    </row>
    <row r="669" spans="1:28" ht="11.25" customHeight="1">
      <c r="A669" s="233">
        <v>41163</v>
      </c>
      <c r="B669" s="1" t="s">
        <v>3372</v>
      </c>
      <c r="C669" s="1" t="s">
        <v>2095</v>
      </c>
      <c r="D669" s="1" t="s">
        <v>233</v>
      </c>
      <c r="E669" s="1" t="s">
        <v>2639</v>
      </c>
      <c r="F669" s="5">
        <v>500</v>
      </c>
      <c r="G669" s="1" t="s">
        <v>232</v>
      </c>
      <c r="H669" s="234">
        <v>1.9</v>
      </c>
      <c r="I669" s="236">
        <f t="shared" si="44"/>
        <v>950</v>
      </c>
      <c r="J669" s="359">
        <v>1.7</v>
      </c>
      <c r="K669" s="266">
        <f>1.7*F669</f>
        <v>850</v>
      </c>
      <c r="L669" s="237">
        <v>41163</v>
      </c>
      <c r="M669" s="1" t="s">
        <v>2349</v>
      </c>
      <c r="N669" s="235">
        <f t="shared" si="42"/>
        <v>950</v>
      </c>
      <c r="O669" s="235">
        <f t="shared" si="43"/>
        <v>0</v>
      </c>
      <c r="P669" s="238" t="s">
        <v>2097</v>
      </c>
      <c r="Q669" s="1" t="s">
        <v>3373</v>
      </c>
      <c r="R669" s="10" t="s">
        <v>3374</v>
      </c>
      <c r="S669" s="10">
        <v>13896055976</v>
      </c>
      <c r="T669" s="238" t="s">
        <v>3375</v>
      </c>
      <c r="U669" s="238" t="s">
        <v>3376</v>
      </c>
      <c r="V669" s="238" t="s">
        <v>2512</v>
      </c>
      <c r="AB669" s="1" t="s">
        <v>2551</v>
      </c>
    </row>
    <row r="670" spans="1:28" ht="11.25" customHeight="1">
      <c r="A670" s="233">
        <v>41163</v>
      </c>
      <c r="B670" s="1" t="s">
        <v>877</v>
      </c>
      <c r="C670" s="1" t="s">
        <v>862</v>
      </c>
      <c r="D670" s="1" t="s">
        <v>1913</v>
      </c>
      <c r="E670" s="1" t="s">
        <v>3377</v>
      </c>
      <c r="F670" s="5">
        <v>1</v>
      </c>
      <c r="G670" s="1" t="s">
        <v>2420</v>
      </c>
      <c r="H670" s="234">
        <v>310</v>
      </c>
      <c r="I670" s="236">
        <f t="shared" si="44"/>
        <v>310</v>
      </c>
      <c r="K670" s="266">
        <f>97*F670</f>
        <v>97</v>
      </c>
      <c r="L670" s="237">
        <v>41132</v>
      </c>
      <c r="M670" s="1" t="s">
        <v>2412</v>
      </c>
      <c r="N670" s="235">
        <f t="shared" si="42"/>
        <v>310</v>
      </c>
      <c r="O670" s="235">
        <f t="shared" si="43"/>
        <v>0</v>
      </c>
      <c r="P670" s="238" t="s">
        <v>3378</v>
      </c>
      <c r="Q670" s="1" t="s">
        <v>2230</v>
      </c>
      <c r="R670" s="239" t="s">
        <v>3379</v>
      </c>
      <c r="S670" s="238" t="s">
        <v>3380</v>
      </c>
      <c r="T670" s="1" t="s">
        <v>2230</v>
      </c>
      <c r="U670" s="238" t="s">
        <v>2097</v>
      </c>
      <c r="V670" s="238" t="s">
        <v>3381</v>
      </c>
      <c r="W670" s="236">
        <v>1160</v>
      </c>
      <c r="X670" s="233">
        <v>41164</v>
      </c>
      <c r="Y670" s="238" t="s">
        <v>3382</v>
      </c>
      <c r="AB670" s="1" t="s">
        <v>2094</v>
      </c>
    </row>
    <row r="671" spans="1:28" ht="11.25" customHeight="1">
      <c r="A671" s="233">
        <v>41163</v>
      </c>
      <c r="B671" s="1" t="s">
        <v>3383</v>
      </c>
      <c r="C671" s="1" t="s">
        <v>2095</v>
      </c>
      <c r="D671" s="1" t="s">
        <v>1720</v>
      </c>
      <c r="E671" s="1">
        <v>8210</v>
      </c>
      <c r="F671" s="5">
        <v>1600</v>
      </c>
      <c r="G671" s="1" t="s">
        <v>2101</v>
      </c>
      <c r="H671" s="234">
        <v>4.3899999999999997</v>
      </c>
      <c r="I671" s="236">
        <f t="shared" si="44"/>
        <v>7023.9999999999991</v>
      </c>
      <c r="K671" s="266">
        <f>3.63*F671</f>
        <v>5808</v>
      </c>
      <c r="L671" s="237">
        <v>41163</v>
      </c>
      <c r="M671" s="1" t="s">
        <v>2349</v>
      </c>
      <c r="N671" s="235">
        <f t="shared" si="42"/>
        <v>7023.9999999999991</v>
      </c>
      <c r="O671" s="235">
        <f t="shared" si="43"/>
        <v>0</v>
      </c>
      <c r="P671" s="238" t="s">
        <v>4918</v>
      </c>
      <c r="Q671" s="1" t="s">
        <v>2248</v>
      </c>
      <c r="R671" s="239" t="s">
        <v>3384</v>
      </c>
      <c r="S671" s="238" t="s">
        <v>3385</v>
      </c>
      <c r="T671" s="238" t="s">
        <v>3386</v>
      </c>
      <c r="U671" s="238" t="s">
        <v>3387</v>
      </c>
      <c r="V671" s="238" t="s">
        <v>3388</v>
      </c>
      <c r="W671" s="236">
        <v>7024</v>
      </c>
      <c r="X671" s="233">
        <v>41198</v>
      </c>
      <c r="Y671" s="238" t="s">
        <v>3389</v>
      </c>
      <c r="AB671" s="1" t="s">
        <v>2551</v>
      </c>
    </row>
    <row r="672" spans="1:28" ht="12" customHeight="1">
      <c r="A672" s="233">
        <v>41164</v>
      </c>
      <c r="B672" s="1" t="s">
        <v>3390</v>
      </c>
      <c r="C672" s="1" t="s">
        <v>2095</v>
      </c>
      <c r="D672" s="1" t="s">
        <v>1720</v>
      </c>
      <c r="E672" s="1">
        <v>8210</v>
      </c>
      <c r="F672" s="5">
        <v>4960</v>
      </c>
      <c r="G672" s="1" t="s">
        <v>2101</v>
      </c>
      <c r="H672" s="234">
        <v>3.8</v>
      </c>
      <c r="I672" s="236">
        <f t="shared" si="44"/>
        <v>18848</v>
      </c>
      <c r="K672" s="266">
        <f>3.63*F672</f>
        <v>18004.8</v>
      </c>
      <c r="L672" s="237">
        <v>41165</v>
      </c>
      <c r="M672" s="1" t="s">
        <v>2092</v>
      </c>
      <c r="N672" s="235">
        <f t="shared" si="42"/>
        <v>18848</v>
      </c>
      <c r="O672" s="235">
        <f t="shared" si="43"/>
        <v>0</v>
      </c>
      <c r="P672" s="238" t="s">
        <v>4918</v>
      </c>
      <c r="Q672" s="1" t="s">
        <v>2248</v>
      </c>
      <c r="R672" s="239" t="s">
        <v>3391</v>
      </c>
      <c r="S672" s="238" t="s">
        <v>3392</v>
      </c>
      <c r="T672" s="238" t="s">
        <v>3393</v>
      </c>
      <c r="U672" s="238" t="s">
        <v>3394</v>
      </c>
      <c r="V672" s="238" t="s">
        <v>3395</v>
      </c>
      <c r="W672" s="236" t="s">
        <v>3396</v>
      </c>
      <c r="X672" s="233">
        <v>41164</v>
      </c>
      <c r="Y672" s="238" t="s">
        <v>3397</v>
      </c>
      <c r="AB672" s="1" t="s">
        <v>2551</v>
      </c>
    </row>
    <row r="673" spans="1:28" ht="11.25" customHeight="1">
      <c r="A673" s="233">
        <v>41165</v>
      </c>
      <c r="B673" s="1" t="s">
        <v>2965</v>
      </c>
      <c r="C673" s="225" t="s">
        <v>2845</v>
      </c>
      <c r="D673" s="303" t="s">
        <v>5043</v>
      </c>
      <c r="E673" s="1" t="s">
        <v>3398</v>
      </c>
      <c r="F673" s="5">
        <v>25</v>
      </c>
      <c r="G673" s="1" t="s">
        <v>2847</v>
      </c>
      <c r="H673" s="234">
        <v>15</v>
      </c>
      <c r="I673" s="236">
        <f t="shared" si="44"/>
        <v>375</v>
      </c>
      <c r="K673" s="266">
        <f>9.8*F673</f>
        <v>245.00000000000003</v>
      </c>
      <c r="L673" s="237">
        <v>41165</v>
      </c>
      <c r="M673" s="1" t="s">
        <v>2412</v>
      </c>
      <c r="N673" s="235">
        <f t="shared" si="42"/>
        <v>375</v>
      </c>
      <c r="O673" s="235">
        <f t="shared" si="43"/>
        <v>0</v>
      </c>
      <c r="P673" s="238" t="s">
        <v>3399</v>
      </c>
      <c r="Q673" s="1" t="s">
        <v>2230</v>
      </c>
      <c r="S673" s="238" t="s">
        <v>2968</v>
      </c>
      <c r="T673" s="238" t="s">
        <v>3400</v>
      </c>
      <c r="U673" s="238" t="s">
        <v>2230</v>
      </c>
      <c r="AB673" s="1" t="s">
        <v>2094</v>
      </c>
    </row>
    <row r="674" spans="1:28" ht="11.25" customHeight="1">
      <c r="A674" s="233">
        <v>41166</v>
      </c>
      <c r="B674" s="5" t="s">
        <v>3401</v>
      </c>
      <c r="C674" s="1" t="s">
        <v>2095</v>
      </c>
      <c r="D674" s="1" t="s">
        <v>1219</v>
      </c>
      <c r="E674" s="1" t="s">
        <v>2533</v>
      </c>
      <c r="F674" s="5">
        <v>50</v>
      </c>
      <c r="G674" s="1" t="s">
        <v>2420</v>
      </c>
      <c r="H674" s="234">
        <v>21</v>
      </c>
      <c r="I674" s="236">
        <f t="shared" si="44"/>
        <v>1050</v>
      </c>
      <c r="K674" s="274">
        <f>13*F674</f>
        <v>650</v>
      </c>
      <c r="L674" s="237">
        <v>41166</v>
      </c>
      <c r="M674" s="1" t="s">
        <v>2092</v>
      </c>
      <c r="N674" s="235">
        <f t="shared" si="42"/>
        <v>1050</v>
      </c>
      <c r="O674" s="235">
        <f t="shared" si="43"/>
        <v>0</v>
      </c>
      <c r="P674" s="238" t="s">
        <v>3402</v>
      </c>
      <c r="Q674" s="1" t="s">
        <v>2535</v>
      </c>
      <c r="R674" s="239" t="s">
        <v>463</v>
      </c>
      <c r="S674" s="238" t="s">
        <v>2179</v>
      </c>
      <c r="T674" s="238" t="s">
        <v>2180</v>
      </c>
      <c r="U674" s="238" t="s">
        <v>3403</v>
      </c>
      <c r="V674" s="238" t="s">
        <v>2918</v>
      </c>
      <c r="W674" s="236">
        <v>2100</v>
      </c>
      <c r="X674" s="233">
        <v>41166</v>
      </c>
      <c r="Y674" s="238">
        <v>23159123281</v>
      </c>
      <c r="AB674" s="1" t="s">
        <v>2183</v>
      </c>
    </row>
    <row r="675" spans="1:28" ht="11.25" customHeight="1">
      <c r="A675" s="233">
        <v>41166</v>
      </c>
      <c r="B675" s="1" t="s">
        <v>3404</v>
      </c>
      <c r="C675" s="1" t="s">
        <v>2184</v>
      </c>
      <c r="D675" s="5" t="s">
        <v>3405</v>
      </c>
      <c r="E675" s="1" t="s">
        <v>3406</v>
      </c>
      <c r="F675" s="5">
        <v>500</v>
      </c>
      <c r="G675" s="1" t="s">
        <v>5002</v>
      </c>
      <c r="H675" s="234">
        <v>1.75</v>
      </c>
      <c r="I675" s="236">
        <f t="shared" si="44"/>
        <v>875</v>
      </c>
      <c r="J675" s="360">
        <v>1.46</v>
      </c>
      <c r="K675" s="266">
        <f>1.46*F675</f>
        <v>730</v>
      </c>
      <c r="L675" s="237">
        <v>41166</v>
      </c>
      <c r="M675" s="1" t="s">
        <v>2931</v>
      </c>
      <c r="N675" s="235">
        <f t="shared" si="42"/>
        <v>875</v>
      </c>
      <c r="O675" s="235">
        <f t="shared" si="43"/>
        <v>0</v>
      </c>
      <c r="P675" s="238" t="s">
        <v>1577</v>
      </c>
      <c r="Q675" s="1" t="s">
        <v>1875</v>
      </c>
      <c r="V675" s="238" t="s">
        <v>3407</v>
      </c>
      <c r="W675" s="236">
        <v>875</v>
      </c>
      <c r="X675" s="233">
        <v>41198</v>
      </c>
      <c r="Y675" s="238" t="s">
        <v>3408</v>
      </c>
      <c r="AB675" s="1" t="s">
        <v>3409</v>
      </c>
    </row>
    <row r="676" spans="1:28" ht="11.25" customHeight="1">
      <c r="A676" s="233">
        <v>41166</v>
      </c>
      <c r="B676" s="1" t="s">
        <v>3410</v>
      </c>
      <c r="C676" s="1" t="s">
        <v>2184</v>
      </c>
      <c r="D676" s="1" t="s">
        <v>9</v>
      </c>
      <c r="E676" s="1">
        <v>2096</v>
      </c>
      <c r="F676" s="5">
        <v>100</v>
      </c>
      <c r="G676" s="1" t="s">
        <v>2921</v>
      </c>
      <c r="H676" s="234">
        <v>13.64</v>
      </c>
      <c r="I676" s="236">
        <f t="shared" si="44"/>
        <v>1364</v>
      </c>
      <c r="K676" s="266">
        <f>12.65*66+13*34</f>
        <v>1276.9000000000001</v>
      </c>
      <c r="L676" s="237">
        <v>41166</v>
      </c>
      <c r="M676" s="1" t="s">
        <v>2931</v>
      </c>
      <c r="N676" s="235">
        <f t="shared" si="42"/>
        <v>1364</v>
      </c>
      <c r="O676" s="235">
        <f t="shared" si="43"/>
        <v>0</v>
      </c>
      <c r="P676" s="238" t="s">
        <v>3403</v>
      </c>
      <c r="Q676" s="1" t="s">
        <v>3411</v>
      </c>
      <c r="R676" s="239" t="s">
        <v>5413</v>
      </c>
      <c r="S676" s="238" t="s">
        <v>3412</v>
      </c>
      <c r="T676" s="238" t="s">
        <v>3413</v>
      </c>
      <c r="U676" s="238" t="s">
        <v>3414</v>
      </c>
      <c r="V676" s="238" t="s">
        <v>3415</v>
      </c>
      <c r="W676" s="236">
        <v>1714.46</v>
      </c>
      <c r="X676" s="233">
        <v>41166</v>
      </c>
      <c r="AB676" s="1" t="s">
        <v>2183</v>
      </c>
    </row>
    <row r="677" spans="1:28" ht="11.25" customHeight="1">
      <c r="A677" s="233">
        <v>41166</v>
      </c>
      <c r="B677" s="1" t="s">
        <v>3410</v>
      </c>
      <c r="C677" s="1" t="s">
        <v>2184</v>
      </c>
      <c r="D677" s="1" t="s">
        <v>1228</v>
      </c>
      <c r="E677" s="1">
        <v>6057</v>
      </c>
      <c r="F677" s="5">
        <v>6</v>
      </c>
      <c r="G677" s="1" t="s">
        <v>230</v>
      </c>
      <c r="H677" s="234">
        <v>58.41</v>
      </c>
      <c r="I677" s="236">
        <f t="shared" si="44"/>
        <v>350.46</v>
      </c>
      <c r="K677" s="266">
        <f>55.2948*F677</f>
        <v>331.7688</v>
      </c>
      <c r="L677" s="237">
        <v>41166</v>
      </c>
      <c r="M677" s="1" t="s">
        <v>2931</v>
      </c>
      <c r="N677" s="235">
        <f t="shared" si="42"/>
        <v>350.46</v>
      </c>
      <c r="O677" s="235">
        <f t="shared" si="43"/>
        <v>0</v>
      </c>
      <c r="P677" s="238" t="s">
        <v>3403</v>
      </c>
      <c r="Q677" s="1" t="s">
        <v>3411</v>
      </c>
      <c r="R677" s="239" t="s">
        <v>5413</v>
      </c>
      <c r="S677" s="238" t="s">
        <v>3412</v>
      </c>
      <c r="T677" s="238" t="s">
        <v>3413</v>
      </c>
      <c r="U677" s="238" t="s">
        <v>3414</v>
      </c>
      <c r="V677" s="238" t="s">
        <v>3415</v>
      </c>
      <c r="W677" s="236">
        <v>1714.46</v>
      </c>
      <c r="X677" s="233">
        <v>41166</v>
      </c>
      <c r="AB677" s="1" t="s">
        <v>2183</v>
      </c>
    </row>
    <row r="678" spans="1:28" ht="11.25" customHeight="1">
      <c r="A678" s="233">
        <v>41166</v>
      </c>
      <c r="B678" s="1" t="s">
        <v>2946</v>
      </c>
      <c r="C678" s="1" t="s">
        <v>2184</v>
      </c>
      <c r="D678" s="1" t="s">
        <v>1216</v>
      </c>
      <c r="E678" s="1">
        <v>3200</v>
      </c>
      <c r="F678" s="5">
        <v>30</v>
      </c>
      <c r="G678" s="1" t="s">
        <v>230</v>
      </c>
      <c r="H678" s="234">
        <v>28.5</v>
      </c>
      <c r="I678" s="236">
        <f t="shared" si="44"/>
        <v>855</v>
      </c>
      <c r="K678" s="266">
        <f>26*F678</f>
        <v>780</v>
      </c>
      <c r="L678" s="237">
        <v>41227</v>
      </c>
      <c r="M678" s="1" t="s">
        <v>2931</v>
      </c>
      <c r="N678" s="235">
        <f t="shared" si="42"/>
        <v>855</v>
      </c>
      <c r="O678" s="235">
        <f t="shared" si="43"/>
        <v>0</v>
      </c>
      <c r="P678" s="238" t="s">
        <v>4918</v>
      </c>
      <c r="Q678" s="1" t="s">
        <v>1271</v>
      </c>
      <c r="R678" s="239" t="s">
        <v>3416</v>
      </c>
      <c r="S678" s="238" t="s">
        <v>2949</v>
      </c>
      <c r="T678" s="238" t="s">
        <v>3417</v>
      </c>
      <c r="U678" s="238" t="s">
        <v>3418</v>
      </c>
      <c r="V678" s="238" t="s">
        <v>3419</v>
      </c>
      <c r="W678" s="236">
        <v>11214</v>
      </c>
      <c r="X678" s="233">
        <v>41200</v>
      </c>
      <c r="Y678" s="238" t="s">
        <v>3420</v>
      </c>
      <c r="AB678" s="1" t="s">
        <v>2183</v>
      </c>
    </row>
    <row r="679" spans="1:28" ht="11.25" customHeight="1">
      <c r="A679" s="233">
        <v>41166</v>
      </c>
      <c r="B679" s="1" t="s">
        <v>2946</v>
      </c>
      <c r="C679" s="1" t="s">
        <v>2184</v>
      </c>
      <c r="D679" s="5" t="s">
        <v>1227</v>
      </c>
      <c r="E679" s="1" t="s">
        <v>3421</v>
      </c>
      <c r="F679" s="5">
        <v>30</v>
      </c>
      <c r="G679" s="1" t="s">
        <v>2947</v>
      </c>
      <c r="H679" s="234">
        <v>37.65</v>
      </c>
      <c r="I679" s="236">
        <f t="shared" si="44"/>
        <v>1129.5</v>
      </c>
      <c r="K679" s="266">
        <f>36*F679</f>
        <v>1080</v>
      </c>
      <c r="L679" s="237">
        <v>41227</v>
      </c>
      <c r="M679" s="1" t="s">
        <v>2931</v>
      </c>
      <c r="N679" s="235">
        <f t="shared" si="42"/>
        <v>1129.5</v>
      </c>
      <c r="O679" s="235">
        <f t="shared" si="43"/>
        <v>0</v>
      </c>
      <c r="P679" s="238" t="s">
        <v>4918</v>
      </c>
      <c r="Q679" s="1" t="s">
        <v>3422</v>
      </c>
      <c r="R679" s="239" t="s">
        <v>3416</v>
      </c>
      <c r="S679" s="238" t="s">
        <v>2949</v>
      </c>
      <c r="T679" s="238" t="s">
        <v>3417</v>
      </c>
      <c r="U679" s="238" t="s">
        <v>3418</v>
      </c>
      <c r="V679" s="238" t="s">
        <v>3423</v>
      </c>
      <c r="W679" s="236">
        <v>8966.2000000000007</v>
      </c>
      <c r="X679" s="233">
        <v>41200</v>
      </c>
      <c r="Y679" s="238" t="s">
        <v>3420</v>
      </c>
      <c r="AB679" s="1" t="s">
        <v>2183</v>
      </c>
    </row>
    <row r="680" spans="1:28" ht="11.25" customHeight="1">
      <c r="A680" s="233">
        <v>41166</v>
      </c>
      <c r="B680" s="1" t="s">
        <v>2946</v>
      </c>
      <c r="C680" s="1" t="s">
        <v>2184</v>
      </c>
      <c r="D680" s="1" t="s">
        <v>269</v>
      </c>
      <c r="E680" s="1" t="s">
        <v>2920</v>
      </c>
      <c r="F680" s="5">
        <v>30</v>
      </c>
      <c r="G680" s="1" t="s">
        <v>2921</v>
      </c>
      <c r="H680" s="234">
        <v>1.48</v>
      </c>
      <c r="I680" s="236">
        <f t="shared" si="44"/>
        <v>44.4</v>
      </c>
      <c r="J680" s="352">
        <v>1.43</v>
      </c>
      <c r="K680" s="266">
        <f>1.43*F680</f>
        <v>42.9</v>
      </c>
      <c r="L680" s="237">
        <v>41227</v>
      </c>
      <c r="M680" s="1" t="s">
        <v>2931</v>
      </c>
      <c r="N680" s="235">
        <f t="shared" si="42"/>
        <v>44.4</v>
      </c>
      <c r="O680" s="235">
        <f t="shared" si="43"/>
        <v>0</v>
      </c>
      <c r="P680" s="238" t="s">
        <v>4918</v>
      </c>
      <c r="Q680" s="1" t="s">
        <v>3422</v>
      </c>
      <c r="R680" s="239" t="s">
        <v>3416</v>
      </c>
      <c r="S680" s="238" t="s">
        <v>2949</v>
      </c>
      <c r="T680" s="238" t="s">
        <v>3417</v>
      </c>
      <c r="U680" s="238" t="s">
        <v>3418</v>
      </c>
      <c r="V680" s="238" t="s">
        <v>3423</v>
      </c>
      <c r="W680" s="236">
        <v>8966.2000000000007</v>
      </c>
      <c r="X680" s="233">
        <v>41200</v>
      </c>
      <c r="Y680" s="238" t="s">
        <v>3420</v>
      </c>
      <c r="AB680" s="1" t="s">
        <v>2183</v>
      </c>
    </row>
    <row r="681" spans="1:28" ht="11.25" customHeight="1">
      <c r="A681" s="233">
        <v>41166</v>
      </c>
      <c r="B681" s="1" t="s">
        <v>2946</v>
      </c>
      <c r="C681" s="1" t="s">
        <v>2184</v>
      </c>
      <c r="D681" s="1" t="s">
        <v>264</v>
      </c>
      <c r="E681" s="1" t="s">
        <v>2134</v>
      </c>
      <c r="F681" s="5">
        <v>30</v>
      </c>
      <c r="G681" s="1" t="s">
        <v>2101</v>
      </c>
      <c r="H681" s="234">
        <v>2.0099999999999998</v>
      </c>
      <c r="I681" s="236">
        <f t="shared" si="44"/>
        <v>60.3</v>
      </c>
      <c r="J681" s="352">
        <v>1.92</v>
      </c>
      <c r="K681" s="266">
        <f>1.92*F681</f>
        <v>57.599999999999994</v>
      </c>
      <c r="L681" s="237">
        <v>41227</v>
      </c>
      <c r="M681" s="1" t="s">
        <v>2092</v>
      </c>
      <c r="N681" s="235">
        <f t="shared" si="42"/>
        <v>60.3</v>
      </c>
      <c r="O681" s="235">
        <f t="shared" si="43"/>
        <v>0</v>
      </c>
      <c r="P681" s="238" t="s">
        <v>4918</v>
      </c>
      <c r="Q681" s="1" t="s">
        <v>3424</v>
      </c>
      <c r="R681" s="239" t="s">
        <v>3425</v>
      </c>
      <c r="S681" s="238" t="s">
        <v>2643</v>
      </c>
      <c r="T681" s="238" t="s">
        <v>2724</v>
      </c>
      <c r="U681" s="238" t="s">
        <v>3426</v>
      </c>
      <c r="V681" s="238" t="s">
        <v>3427</v>
      </c>
      <c r="W681" s="236">
        <v>8966.2000000000007</v>
      </c>
      <c r="X681" s="233">
        <v>41200</v>
      </c>
      <c r="Y681" s="238" t="s">
        <v>3188</v>
      </c>
      <c r="AB681" s="1" t="s">
        <v>2551</v>
      </c>
    </row>
    <row r="682" spans="1:28" ht="11.25" customHeight="1">
      <c r="A682" s="233">
        <v>41169</v>
      </c>
      <c r="B682" s="1" t="s">
        <v>3428</v>
      </c>
      <c r="C682" s="1" t="s">
        <v>2095</v>
      </c>
      <c r="D682" s="1" t="s">
        <v>2025</v>
      </c>
      <c r="E682" s="1" t="s">
        <v>2100</v>
      </c>
      <c r="F682" s="5">
        <v>150</v>
      </c>
      <c r="G682" s="1" t="s">
        <v>2101</v>
      </c>
      <c r="H682" s="234">
        <v>1.3</v>
      </c>
      <c r="I682" s="236">
        <f t="shared" si="44"/>
        <v>195</v>
      </c>
      <c r="K682" s="266">
        <f>1.12*F682</f>
        <v>168.00000000000003</v>
      </c>
      <c r="L682" s="237">
        <v>41169</v>
      </c>
      <c r="M682" s="1" t="s">
        <v>2412</v>
      </c>
      <c r="N682" s="235">
        <f t="shared" si="42"/>
        <v>195</v>
      </c>
      <c r="O682" s="235">
        <f t="shared" si="43"/>
        <v>0</v>
      </c>
      <c r="P682" s="238" t="s">
        <v>3429</v>
      </c>
      <c r="Q682" s="1" t="s">
        <v>2230</v>
      </c>
      <c r="R682" s="239" t="s">
        <v>2097</v>
      </c>
      <c r="S682" s="238" t="s">
        <v>2097</v>
      </c>
      <c r="T682" s="238" t="s">
        <v>2097</v>
      </c>
      <c r="U682" s="238" t="s">
        <v>2230</v>
      </c>
      <c r="AB682" s="1" t="s">
        <v>2551</v>
      </c>
    </row>
    <row r="683" spans="1:28" ht="11.25" customHeight="1">
      <c r="A683" s="233">
        <v>41169</v>
      </c>
      <c r="B683" s="1" t="s">
        <v>2589</v>
      </c>
      <c r="C683" s="1" t="s">
        <v>2095</v>
      </c>
      <c r="D683" s="1" t="s">
        <v>1720</v>
      </c>
      <c r="E683" s="1">
        <v>8210</v>
      </c>
      <c r="F683" s="5">
        <v>160</v>
      </c>
      <c r="G683" s="1" t="s">
        <v>2101</v>
      </c>
      <c r="H683" s="234">
        <v>4.18</v>
      </c>
      <c r="I683" s="236">
        <f t="shared" si="44"/>
        <v>668.8</v>
      </c>
      <c r="K683" s="266">
        <f>3.63*F683</f>
        <v>580.79999999999995</v>
      </c>
      <c r="L683" s="237">
        <v>41215</v>
      </c>
      <c r="M683" s="1" t="s">
        <v>2349</v>
      </c>
      <c r="N683" s="235">
        <f t="shared" si="42"/>
        <v>668.8</v>
      </c>
      <c r="O683" s="235">
        <f t="shared" si="43"/>
        <v>0</v>
      </c>
      <c r="P683" s="238" t="s">
        <v>3430</v>
      </c>
      <c r="Q683" s="1" t="s">
        <v>3431</v>
      </c>
      <c r="R683" s="10" t="s">
        <v>2591</v>
      </c>
      <c r="S683" s="10">
        <v>13452102967</v>
      </c>
      <c r="T683" s="10" t="s">
        <v>775</v>
      </c>
      <c r="U683" s="238" t="s">
        <v>3432</v>
      </c>
      <c r="V683" s="28" t="s">
        <v>2512</v>
      </c>
      <c r="AB683" s="1" t="s">
        <v>2551</v>
      </c>
    </row>
    <row r="684" spans="1:28" ht="11.25" customHeight="1">
      <c r="A684" s="233">
        <v>41169</v>
      </c>
      <c r="B684" s="1" t="s">
        <v>2589</v>
      </c>
      <c r="C684" s="1" t="s">
        <v>2095</v>
      </c>
      <c r="D684" s="1" t="s">
        <v>828</v>
      </c>
      <c r="E684" s="1" t="s">
        <v>2814</v>
      </c>
      <c r="F684" s="5">
        <v>300</v>
      </c>
      <c r="G684" s="1" t="s">
        <v>2514</v>
      </c>
      <c r="H684" s="234">
        <v>5.6</v>
      </c>
      <c r="I684" s="236">
        <f t="shared" si="44"/>
        <v>1680</v>
      </c>
      <c r="K684" s="266">
        <f>5*F684</f>
        <v>1500</v>
      </c>
      <c r="L684" s="237">
        <v>41215</v>
      </c>
      <c r="M684" s="1" t="s">
        <v>2349</v>
      </c>
      <c r="N684" s="235">
        <f t="shared" si="42"/>
        <v>1680</v>
      </c>
      <c r="O684" s="235">
        <f t="shared" si="43"/>
        <v>0</v>
      </c>
      <c r="P684" s="238" t="s">
        <v>3430</v>
      </c>
      <c r="Q684" s="1" t="s">
        <v>3431</v>
      </c>
      <c r="R684" s="10" t="s">
        <v>2591</v>
      </c>
      <c r="S684" s="10">
        <v>13452102967</v>
      </c>
      <c r="T684" s="10" t="s">
        <v>3433</v>
      </c>
      <c r="U684" s="238" t="s">
        <v>3432</v>
      </c>
      <c r="V684" s="28" t="s">
        <v>2512</v>
      </c>
      <c r="AB684" s="1" t="s">
        <v>2551</v>
      </c>
    </row>
    <row r="685" spans="1:28" ht="11.25" customHeight="1">
      <c r="A685" s="233">
        <v>41169</v>
      </c>
      <c r="B685" s="1" t="s">
        <v>3434</v>
      </c>
      <c r="C685" s="1" t="s">
        <v>2095</v>
      </c>
      <c r="D685" s="95" t="s">
        <v>1042</v>
      </c>
      <c r="E685" s="1">
        <v>52000183617</v>
      </c>
      <c r="F685" s="5">
        <v>2</v>
      </c>
      <c r="G685" s="1" t="s">
        <v>2101</v>
      </c>
      <c r="H685" s="234">
        <v>1050</v>
      </c>
      <c r="I685" s="236">
        <f t="shared" si="44"/>
        <v>2100</v>
      </c>
      <c r="K685" s="266">
        <f>938*F685</f>
        <v>1876</v>
      </c>
      <c r="L685" s="237">
        <v>41169</v>
      </c>
      <c r="M685" s="1" t="s">
        <v>2092</v>
      </c>
      <c r="N685" s="235">
        <f t="shared" si="42"/>
        <v>2100</v>
      </c>
      <c r="O685" s="235">
        <f t="shared" si="43"/>
        <v>0</v>
      </c>
      <c r="P685" s="238" t="s">
        <v>3435</v>
      </c>
      <c r="Q685" s="1" t="s">
        <v>2248</v>
      </c>
      <c r="R685" s="10" t="s">
        <v>3436</v>
      </c>
      <c r="S685" s="10">
        <v>15808899650</v>
      </c>
      <c r="T685" s="10" t="s">
        <v>3437</v>
      </c>
      <c r="U685" s="238" t="s">
        <v>3438</v>
      </c>
      <c r="V685" s="238" t="s">
        <v>3439</v>
      </c>
      <c r="W685" s="236">
        <v>2100</v>
      </c>
      <c r="X685" s="233">
        <v>41205</v>
      </c>
      <c r="Y685" s="238" t="s">
        <v>3440</v>
      </c>
      <c r="AB685" s="1" t="s">
        <v>2551</v>
      </c>
    </row>
    <row r="686" spans="1:28" ht="11.25" customHeight="1">
      <c r="A686" s="233">
        <v>41170</v>
      </c>
      <c r="B686" s="1" t="s">
        <v>3441</v>
      </c>
      <c r="C686" s="1" t="s">
        <v>2095</v>
      </c>
      <c r="D686" s="1" t="s">
        <v>1720</v>
      </c>
      <c r="E686" s="1">
        <v>8210</v>
      </c>
      <c r="F686" s="5">
        <v>100</v>
      </c>
      <c r="G686" s="1" t="s">
        <v>2101</v>
      </c>
      <c r="H686" s="234">
        <v>6.9</v>
      </c>
      <c r="I686" s="236">
        <f t="shared" si="44"/>
        <v>690</v>
      </c>
      <c r="K686" s="266">
        <f>3.78*41+3.63*59</f>
        <v>369.15</v>
      </c>
      <c r="L686" s="237">
        <v>41172</v>
      </c>
      <c r="M686" s="1" t="s">
        <v>2349</v>
      </c>
      <c r="N686" s="235">
        <f t="shared" si="42"/>
        <v>690</v>
      </c>
      <c r="O686" s="235">
        <f t="shared" si="43"/>
        <v>0</v>
      </c>
      <c r="P686" s="238" t="s">
        <v>3442</v>
      </c>
      <c r="Q686" s="1" t="s">
        <v>3443</v>
      </c>
      <c r="R686" s="239" t="s">
        <v>2097</v>
      </c>
      <c r="S686" s="238" t="s">
        <v>3444</v>
      </c>
      <c r="T686" s="238" t="s">
        <v>3445</v>
      </c>
      <c r="U686" s="238" t="s">
        <v>3446</v>
      </c>
      <c r="V686" s="246" t="s">
        <v>3447</v>
      </c>
      <c r="W686" s="236">
        <v>2365</v>
      </c>
      <c r="X686" s="233">
        <v>41234</v>
      </c>
      <c r="Y686" s="238" t="s">
        <v>3448</v>
      </c>
      <c r="AB686" s="1" t="s">
        <v>2094</v>
      </c>
    </row>
    <row r="687" spans="1:28" ht="11.25" customHeight="1">
      <c r="A687" s="233">
        <v>41170</v>
      </c>
      <c r="B687" s="1" t="s">
        <v>3441</v>
      </c>
      <c r="C687" s="1" t="s">
        <v>2095</v>
      </c>
      <c r="D687" s="1" t="s">
        <v>2039</v>
      </c>
      <c r="E687" s="1">
        <v>8514</v>
      </c>
      <c r="F687" s="5">
        <v>5</v>
      </c>
      <c r="G687" s="1" t="s">
        <v>2514</v>
      </c>
      <c r="H687" s="234">
        <v>84</v>
      </c>
      <c r="I687" s="236">
        <f t="shared" si="44"/>
        <v>420</v>
      </c>
      <c r="K687" s="266">
        <f>61.6*F687</f>
        <v>308</v>
      </c>
      <c r="L687" s="237">
        <v>41172</v>
      </c>
      <c r="M687" s="1" t="s">
        <v>2349</v>
      </c>
      <c r="N687" s="235">
        <f t="shared" si="42"/>
        <v>420</v>
      </c>
      <c r="O687" s="235">
        <f t="shared" si="43"/>
        <v>0</v>
      </c>
      <c r="P687" s="238" t="s">
        <v>3442</v>
      </c>
      <c r="Q687" s="1" t="s">
        <v>3443</v>
      </c>
      <c r="R687" s="239" t="s">
        <v>2097</v>
      </c>
      <c r="S687" s="238" t="s">
        <v>3444</v>
      </c>
      <c r="T687" s="238" t="s">
        <v>3445</v>
      </c>
      <c r="U687" s="238" t="s">
        <v>3446</v>
      </c>
      <c r="V687" s="246" t="s">
        <v>3447</v>
      </c>
      <c r="W687" s="236">
        <v>2365</v>
      </c>
      <c r="X687" s="233">
        <v>41234</v>
      </c>
      <c r="Y687" s="238" t="s">
        <v>3448</v>
      </c>
      <c r="Z687" s="255" t="s">
        <v>2573</v>
      </c>
      <c r="AB687" s="1" t="s">
        <v>2094</v>
      </c>
    </row>
    <row r="688" spans="1:28" ht="11.25" customHeight="1">
      <c r="A688" s="233">
        <v>41170</v>
      </c>
      <c r="B688" s="1" t="s">
        <v>3441</v>
      </c>
      <c r="C688" s="1" t="s">
        <v>2095</v>
      </c>
      <c r="D688" s="1" t="s">
        <v>694</v>
      </c>
      <c r="E688" s="1" t="s">
        <v>2568</v>
      </c>
      <c r="F688" s="5">
        <v>200</v>
      </c>
      <c r="G688" s="1" t="s">
        <v>2420</v>
      </c>
      <c r="H688" s="234">
        <v>2.48</v>
      </c>
      <c r="I688" s="236">
        <f t="shared" si="44"/>
        <v>496</v>
      </c>
      <c r="K688" s="266">
        <f>1.5376*F688</f>
        <v>307.52000000000004</v>
      </c>
      <c r="L688" s="237">
        <v>41172</v>
      </c>
      <c r="M688" s="1" t="s">
        <v>2349</v>
      </c>
      <c r="N688" s="235">
        <f t="shared" si="42"/>
        <v>496</v>
      </c>
      <c r="O688" s="235">
        <f t="shared" si="43"/>
        <v>0</v>
      </c>
      <c r="P688" s="238" t="s">
        <v>3442</v>
      </c>
      <c r="Q688" s="1" t="s">
        <v>3443</v>
      </c>
      <c r="R688" s="239" t="s">
        <v>2097</v>
      </c>
      <c r="S688" s="238" t="s">
        <v>3444</v>
      </c>
      <c r="T688" s="238" t="s">
        <v>3445</v>
      </c>
      <c r="U688" s="238" t="s">
        <v>3446</v>
      </c>
      <c r="V688" s="246" t="s">
        <v>3447</v>
      </c>
      <c r="W688" s="236">
        <v>2365</v>
      </c>
      <c r="X688" s="233">
        <v>41234</v>
      </c>
      <c r="Y688" s="238" t="s">
        <v>3448</v>
      </c>
      <c r="Z688" s="255" t="s">
        <v>2573</v>
      </c>
      <c r="AB688" s="1" t="s">
        <v>2094</v>
      </c>
    </row>
    <row r="689" spans="1:28" ht="11.25" customHeight="1">
      <c r="A689" s="233">
        <v>41170</v>
      </c>
      <c r="B689" s="1" t="s">
        <v>3441</v>
      </c>
      <c r="C689" s="1" t="s">
        <v>2095</v>
      </c>
      <c r="D689" s="1" t="s">
        <v>2047</v>
      </c>
      <c r="E689" s="1" t="s">
        <v>3449</v>
      </c>
      <c r="F689" s="5">
        <v>1</v>
      </c>
      <c r="G689" s="1" t="s">
        <v>2553</v>
      </c>
      <c r="H689" s="234">
        <v>27</v>
      </c>
      <c r="I689" s="236">
        <f t="shared" si="44"/>
        <v>27</v>
      </c>
      <c r="K689" s="266">
        <f>17.55*F689</f>
        <v>17.55</v>
      </c>
      <c r="L689" s="237">
        <v>41172</v>
      </c>
      <c r="M689" s="1" t="s">
        <v>2349</v>
      </c>
      <c r="N689" s="235">
        <f t="shared" si="42"/>
        <v>27</v>
      </c>
      <c r="O689" s="235">
        <f t="shared" si="43"/>
        <v>0</v>
      </c>
      <c r="P689" s="238" t="s">
        <v>3442</v>
      </c>
      <c r="Q689" s="1" t="s">
        <v>3443</v>
      </c>
      <c r="R689" s="239" t="s">
        <v>2097</v>
      </c>
      <c r="S689" s="238" t="s">
        <v>3444</v>
      </c>
      <c r="T689" s="238" t="s">
        <v>3445</v>
      </c>
      <c r="U689" s="238" t="s">
        <v>3446</v>
      </c>
      <c r="V689" s="246" t="s">
        <v>3447</v>
      </c>
      <c r="W689" s="236">
        <v>2365</v>
      </c>
      <c r="X689" s="233">
        <v>41234</v>
      </c>
      <c r="Y689" s="238" t="s">
        <v>3448</v>
      </c>
      <c r="Z689" s="255" t="s">
        <v>2573</v>
      </c>
      <c r="AB689" s="1" t="s">
        <v>2094</v>
      </c>
    </row>
    <row r="690" spans="1:28" ht="11.25" customHeight="1">
      <c r="A690" s="233">
        <v>41170</v>
      </c>
      <c r="B690" s="1" t="s">
        <v>3441</v>
      </c>
      <c r="C690" s="1" t="s">
        <v>2095</v>
      </c>
      <c r="D690" s="1" t="s">
        <v>2048</v>
      </c>
      <c r="E690" s="1" t="s">
        <v>3450</v>
      </c>
      <c r="F690" s="5">
        <v>1</v>
      </c>
      <c r="G690" s="1" t="s">
        <v>2553</v>
      </c>
      <c r="H690" s="234">
        <v>27</v>
      </c>
      <c r="I690" s="236">
        <f t="shared" si="44"/>
        <v>27</v>
      </c>
      <c r="K690" s="266">
        <f>17.55*F690</f>
        <v>17.55</v>
      </c>
      <c r="L690" s="237">
        <v>41172</v>
      </c>
      <c r="M690" s="1" t="s">
        <v>2349</v>
      </c>
      <c r="N690" s="235">
        <f t="shared" si="42"/>
        <v>27</v>
      </c>
      <c r="O690" s="235">
        <f t="shared" si="43"/>
        <v>0</v>
      </c>
      <c r="P690" s="238" t="s">
        <v>3442</v>
      </c>
      <c r="Q690" s="1" t="s">
        <v>3443</v>
      </c>
      <c r="R690" s="239" t="s">
        <v>2097</v>
      </c>
      <c r="S690" s="238" t="s">
        <v>3444</v>
      </c>
      <c r="T690" s="238" t="s">
        <v>3445</v>
      </c>
      <c r="U690" s="238" t="s">
        <v>3446</v>
      </c>
      <c r="V690" s="246" t="s">
        <v>3447</v>
      </c>
      <c r="W690" s="236">
        <v>2365</v>
      </c>
      <c r="X690" s="233">
        <v>41234</v>
      </c>
      <c r="Y690" s="238" t="s">
        <v>3448</v>
      </c>
      <c r="Z690" s="255" t="s">
        <v>2573</v>
      </c>
      <c r="AB690" s="1" t="s">
        <v>2094</v>
      </c>
    </row>
    <row r="691" spans="1:28" ht="11.25" customHeight="1">
      <c r="A691" s="233">
        <v>41170</v>
      </c>
      <c r="B691" s="1" t="s">
        <v>2716</v>
      </c>
      <c r="C691" s="1" t="s">
        <v>2095</v>
      </c>
      <c r="D691" s="1" t="s">
        <v>1216</v>
      </c>
      <c r="E691" s="1">
        <v>3200</v>
      </c>
      <c r="F691" s="5">
        <v>1000</v>
      </c>
      <c r="G691" s="1" t="s">
        <v>2101</v>
      </c>
      <c r="H691" s="234">
        <v>26.1</v>
      </c>
      <c r="I691" s="236">
        <f t="shared" si="44"/>
        <v>26100</v>
      </c>
      <c r="K691" s="266">
        <f>23.94*F691</f>
        <v>23940</v>
      </c>
      <c r="L691" s="237">
        <v>41170</v>
      </c>
      <c r="M691" s="1" t="s">
        <v>2092</v>
      </c>
      <c r="N691" s="235">
        <f t="shared" si="42"/>
        <v>26100</v>
      </c>
      <c r="O691" s="235">
        <f t="shared" si="43"/>
        <v>0</v>
      </c>
      <c r="P691" s="238" t="s">
        <v>3451</v>
      </c>
      <c r="Q691" s="1" t="s">
        <v>3452</v>
      </c>
      <c r="R691" s="239" t="s">
        <v>3453</v>
      </c>
      <c r="S691" s="238" t="s">
        <v>2713</v>
      </c>
      <c r="T691" s="238" t="s">
        <v>3454</v>
      </c>
      <c r="U691" s="238" t="s">
        <v>3455</v>
      </c>
      <c r="V691" s="238" t="s">
        <v>3456</v>
      </c>
      <c r="W691" s="236">
        <v>11692.8</v>
      </c>
      <c r="X691" s="233">
        <v>41172</v>
      </c>
      <c r="Y691" s="238" t="s">
        <v>3457</v>
      </c>
      <c r="AB691" s="1" t="s">
        <v>2551</v>
      </c>
    </row>
    <row r="692" spans="1:28" ht="11.25" customHeight="1">
      <c r="A692" s="233">
        <v>41170</v>
      </c>
      <c r="B692" s="1" t="s">
        <v>2716</v>
      </c>
      <c r="C692" s="1" t="s">
        <v>2095</v>
      </c>
      <c r="D692" s="1" t="s">
        <v>348</v>
      </c>
      <c r="E692" s="1">
        <v>3700</v>
      </c>
      <c r="F692" s="5">
        <v>1000</v>
      </c>
      <c r="G692" s="1" t="s">
        <v>2101</v>
      </c>
      <c r="H692" s="234">
        <v>3.36</v>
      </c>
      <c r="I692" s="236">
        <f t="shared" si="44"/>
        <v>3360</v>
      </c>
      <c r="J692" s="352">
        <v>3.09</v>
      </c>
      <c r="K692" s="266">
        <f>3.09*F692</f>
        <v>3090</v>
      </c>
      <c r="L692" s="237">
        <v>41170</v>
      </c>
      <c r="M692" s="1" t="s">
        <v>2092</v>
      </c>
      <c r="N692" s="235">
        <f t="shared" si="42"/>
        <v>3360</v>
      </c>
      <c r="O692" s="235">
        <f t="shared" si="43"/>
        <v>0</v>
      </c>
      <c r="P692" s="238" t="s">
        <v>3451</v>
      </c>
      <c r="Q692" s="1" t="s">
        <v>3452</v>
      </c>
      <c r="R692" s="239" t="s">
        <v>2712</v>
      </c>
      <c r="S692" s="238" t="s">
        <v>2713</v>
      </c>
      <c r="T692" s="238" t="s">
        <v>3454</v>
      </c>
      <c r="U692" s="238" t="s">
        <v>3455</v>
      </c>
      <c r="V692" s="238" t="s">
        <v>3458</v>
      </c>
      <c r="W692" s="236">
        <v>8672.4</v>
      </c>
      <c r="X692" s="233">
        <v>41172</v>
      </c>
      <c r="Y692" s="238" t="s">
        <v>3457</v>
      </c>
      <c r="AB692" s="1" t="s">
        <v>2551</v>
      </c>
    </row>
    <row r="693" spans="1:28" ht="11.25" customHeight="1">
      <c r="A693" s="233">
        <v>41170</v>
      </c>
      <c r="B693" s="1" t="s">
        <v>2716</v>
      </c>
      <c r="C693" s="1" t="s">
        <v>2095</v>
      </c>
      <c r="D693" s="1" t="s">
        <v>233</v>
      </c>
      <c r="E693" s="1" t="s">
        <v>2639</v>
      </c>
      <c r="F693" s="5">
        <v>1000</v>
      </c>
      <c r="G693" s="1" t="s">
        <v>2514</v>
      </c>
      <c r="H693" s="234">
        <v>1.71</v>
      </c>
      <c r="I693" s="236">
        <f t="shared" si="44"/>
        <v>1710</v>
      </c>
      <c r="J693" s="359">
        <v>1.54</v>
      </c>
      <c r="K693" s="266">
        <f>1.54*F693</f>
        <v>1540</v>
      </c>
      <c r="L693" s="237">
        <v>41170</v>
      </c>
      <c r="M693" s="1" t="s">
        <v>2092</v>
      </c>
      <c r="N693" s="235">
        <f t="shared" si="42"/>
        <v>1710</v>
      </c>
      <c r="O693" s="235">
        <f t="shared" si="43"/>
        <v>0</v>
      </c>
      <c r="P693" s="238" t="s">
        <v>3451</v>
      </c>
      <c r="Q693" s="1" t="s">
        <v>3452</v>
      </c>
      <c r="R693" s="239" t="s">
        <v>2712</v>
      </c>
      <c r="S693" s="238" t="s">
        <v>2713</v>
      </c>
      <c r="T693" s="238" t="s">
        <v>3454</v>
      </c>
      <c r="U693" s="238" t="s">
        <v>3455</v>
      </c>
      <c r="V693" s="238" t="s">
        <v>3458</v>
      </c>
      <c r="W693" s="236">
        <v>8672.4</v>
      </c>
      <c r="X693" s="233">
        <v>41172</v>
      </c>
      <c r="Y693" s="238" t="s">
        <v>3457</v>
      </c>
      <c r="AB693" s="1" t="s">
        <v>2551</v>
      </c>
    </row>
    <row r="694" spans="1:28" ht="11.25" customHeight="1">
      <c r="A694" s="233">
        <v>41170</v>
      </c>
      <c r="B694" s="1" t="s">
        <v>3459</v>
      </c>
      <c r="C694" s="1" t="s">
        <v>2095</v>
      </c>
      <c r="D694" s="1" t="s">
        <v>1219</v>
      </c>
      <c r="E694" s="1" t="s">
        <v>2533</v>
      </c>
      <c r="F694" s="5">
        <v>10</v>
      </c>
      <c r="G694" s="1" t="s">
        <v>2420</v>
      </c>
      <c r="H694" s="234">
        <v>20</v>
      </c>
      <c r="I694" s="236">
        <f t="shared" si="44"/>
        <v>200</v>
      </c>
      <c r="K694" s="274">
        <f>13*F694</f>
        <v>130</v>
      </c>
      <c r="L694" s="237">
        <v>41170</v>
      </c>
      <c r="M694" s="1" t="s">
        <v>2349</v>
      </c>
      <c r="N694" s="235">
        <f t="shared" si="42"/>
        <v>200</v>
      </c>
      <c r="O694" s="235">
        <f t="shared" si="43"/>
        <v>0</v>
      </c>
      <c r="P694" s="238" t="s">
        <v>3460</v>
      </c>
      <c r="Q694" s="1" t="s">
        <v>2586</v>
      </c>
      <c r="R694" s="239" t="s">
        <v>3461</v>
      </c>
      <c r="S694" s="238" t="s">
        <v>3462</v>
      </c>
      <c r="T694" s="238" t="s">
        <v>3463</v>
      </c>
      <c r="U694" s="238" t="s">
        <v>3464</v>
      </c>
      <c r="V694" s="238" t="s">
        <v>2512</v>
      </c>
      <c r="AB694" s="1" t="s">
        <v>2551</v>
      </c>
    </row>
    <row r="695" spans="1:28" ht="11.25" customHeight="1">
      <c r="A695" s="233">
        <v>41170</v>
      </c>
      <c r="B695" s="1" t="s">
        <v>2589</v>
      </c>
      <c r="C695" s="1" t="s">
        <v>2095</v>
      </c>
      <c r="D695" s="5" t="s">
        <v>2026</v>
      </c>
      <c r="E695" s="5" t="s">
        <v>3465</v>
      </c>
      <c r="F695" s="5">
        <v>500</v>
      </c>
      <c r="G695" s="1" t="s">
        <v>5002</v>
      </c>
      <c r="H695" s="234">
        <v>1.59</v>
      </c>
      <c r="I695" s="236">
        <f t="shared" si="44"/>
        <v>795</v>
      </c>
      <c r="J695" s="360">
        <v>1.46</v>
      </c>
      <c r="K695" s="266">
        <f>1.46*F695</f>
        <v>730</v>
      </c>
      <c r="L695" s="237">
        <v>41215</v>
      </c>
      <c r="M695" s="1" t="s">
        <v>2349</v>
      </c>
      <c r="N695" s="235">
        <f t="shared" si="42"/>
        <v>795</v>
      </c>
      <c r="O695" s="235">
        <f t="shared" si="43"/>
        <v>0</v>
      </c>
      <c r="P695" s="238" t="s">
        <v>3466</v>
      </c>
      <c r="Q695" s="1" t="s">
        <v>3467</v>
      </c>
      <c r="R695" s="239" t="s">
        <v>2591</v>
      </c>
      <c r="S695" s="238" t="s">
        <v>2592</v>
      </c>
      <c r="T695" s="238" t="s">
        <v>3433</v>
      </c>
      <c r="U695" s="238" t="s">
        <v>3468</v>
      </c>
      <c r="V695" s="238" t="s">
        <v>2512</v>
      </c>
      <c r="AB695" s="1" t="s">
        <v>2551</v>
      </c>
    </row>
    <row r="696" spans="1:28" ht="11.25" customHeight="1">
      <c r="A696" s="233">
        <v>41170</v>
      </c>
      <c r="B696" s="1" t="s">
        <v>2589</v>
      </c>
      <c r="C696" s="1" t="s">
        <v>2095</v>
      </c>
      <c r="D696" s="1" t="s">
        <v>1225</v>
      </c>
      <c r="E696" s="5" t="s">
        <v>3469</v>
      </c>
      <c r="F696" s="5">
        <v>50</v>
      </c>
      <c r="G696" s="1" t="s">
        <v>2101</v>
      </c>
      <c r="H696" s="234">
        <v>4.0999999999999996</v>
      </c>
      <c r="I696" s="236">
        <f t="shared" si="44"/>
        <v>204.99999999999997</v>
      </c>
      <c r="K696" s="275">
        <f>31*3.86+3.56*19</f>
        <v>187.3</v>
      </c>
      <c r="L696" s="237">
        <v>41215</v>
      </c>
      <c r="M696" s="1" t="s">
        <v>2349</v>
      </c>
      <c r="N696" s="235">
        <f t="shared" si="42"/>
        <v>204.99999999999997</v>
      </c>
      <c r="O696" s="235">
        <f t="shared" si="43"/>
        <v>0</v>
      </c>
      <c r="P696" s="238" t="s">
        <v>3466</v>
      </c>
      <c r="Q696" s="1" t="s">
        <v>3467</v>
      </c>
      <c r="R696" s="239" t="s">
        <v>2591</v>
      </c>
      <c r="S696" s="238" t="s">
        <v>2592</v>
      </c>
      <c r="T696" s="238" t="s">
        <v>3433</v>
      </c>
      <c r="U696" s="238" t="s">
        <v>3468</v>
      </c>
      <c r="V696" s="238" t="s">
        <v>2512</v>
      </c>
      <c r="Z696" s="255" t="s">
        <v>3470</v>
      </c>
      <c r="AB696" s="1" t="s">
        <v>2551</v>
      </c>
    </row>
    <row r="697" spans="1:28" ht="11.25" customHeight="1">
      <c r="A697" s="233">
        <v>41170</v>
      </c>
      <c r="B697" s="1" t="s">
        <v>2589</v>
      </c>
      <c r="C697" s="1" t="s">
        <v>2095</v>
      </c>
      <c r="D697" s="1" t="s">
        <v>2045</v>
      </c>
      <c r="E697" s="5" t="s">
        <v>3471</v>
      </c>
      <c r="F697" s="5">
        <v>20</v>
      </c>
      <c r="G697" s="1" t="s">
        <v>3155</v>
      </c>
      <c r="H697" s="234">
        <v>46</v>
      </c>
      <c r="I697" s="236">
        <f t="shared" si="44"/>
        <v>920</v>
      </c>
      <c r="K697" s="266">
        <f>42.939*F697</f>
        <v>858.78</v>
      </c>
      <c r="L697" s="237">
        <v>41215</v>
      </c>
      <c r="M697" s="1" t="s">
        <v>2349</v>
      </c>
      <c r="N697" s="235">
        <f t="shared" si="42"/>
        <v>920</v>
      </c>
      <c r="O697" s="235">
        <f t="shared" si="43"/>
        <v>0</v>
      </c>
      <c r="P697" s="238" t="s">
        <v>3466</v>
      </c>
      <c r="Q697" s="1" t="s">
        <v>3467</v>
      </c>
      <c r="R697" s="239" t="s">
        <v>2591</v>
      </c>
      <c r="S697" s="238" t="s">
        <v>2592</v>
      </c>
      <c r="T697" s="238" t="s">
        <v>3433</v>
      </c>
      <c r="U697" s="238" t="s">
        <v>3468</v>
      </c>
      <c r="V697" s="238" t="s">
        <v>2512</v>
      </c>
      <c r="AB697" s="1" t="s">
        <v>2551</v>
      </c>
    </row>
    <row r="698" spans="1:28" ht="11.25" customHeight="1">
      <c r="A698" s="233">
        <v>41172</v>
      </c>
      <c r="B698" s="5" t="s">
        <v>3472</v>
      </c>
      <c r="C698" s="5" t="s">
        <v>2095</v>
      </c>
      <c r="D698" s="1" t="s">
        <v>241</v>
      </c>
      <c r="E698" s="5">
        <v>6200</v>
      </c>
      <c r="F698" s="5">
        <v>30</v>
      </c>
      <c r="G698" s="1" t="s">
        <v>2101</v>
      </c>
      <c r="H698" s="234">
        <v>46</v>
      </c>
      <c r="I698" s="236">
        <f t="shared" si="44"/>
        <v>1380</v>
      </c>
      <c r="J698" s="352">
        <v>42.82</v>
      </c>
      <c r="K698" s="266" t="e">
        <f>#REF!*F698</f>
        <v>#REF!</v>
      </c>
      <c r="L698" s="237">
        <v>41172</v>
      </c>
      <c r="M698" s="1" t="s">
        <v>2092</v>
      </c>
      <c r="N698" s="235">
        <f t="shared" si="42"/>
        <v>1380</v>
      </c>
      <c r="O698" s="235">
        <f t="shared" si="43"/>
        <v>0</v>
      </c>
      <c r="P698" s="238" t="s">
        <v>3473</v>
      </c>
      <c r="Q698" s="1" t="s">
        <v>3474</v>
      </c>
      <c r="R698" s="239" t="s">
        <v>3475</v>
      </c>
      <c r="S698" s="238" t="s">
        <v>3476</v>
      </c>
      <c r="T698" s="238" t="s">
        <v>3477</v>
      </c>
      <c r="U698" s="238" t="s">
        <v>3478</v>
      </c>
      <c r="V698" s="238" t="s">
        <v>3479</v>
      </c>
      <c r="W698" s="236">
        <v>1380</v>
      </c>
      <c r="X698" s="233">
        <v>41234</v>
      </c>
      <c r="Y698" s="238" t="s">
        <v>3480</v>
      </c>
      <c r="AB698" s="1" t="s">
        <v>2551</v>
      </c>
    </row>
    <row r="699" spans="1:28" ht="11.25" customHeight="1">
      <c r="A699" s="233">
        <v>41172</v>
      </c>
      <c r="B699" s="1" t="s">
        <v>2589</v>
      </c>
      <c r="C699" s="1" t="s">
        <v>2095</v>
      </c>
      <c r="D699" s="1" t="s">
        <v>1915</v>
      </c>
      <c r="E699" s="5">
        <v>1270</v>
      </c>
      <c r="F699" s="5">
        <v>100</v>
      </c>
      <c r="G699" s="1" t="s">
        <v>2420</v>
      </c>
      <c r="H699" s="234">
        <v>4.3</v>
      </c>
      <c r="I699" s="236">
        <f t="shared" si="44"/>
        <v>430</v>
      </c>
      <c r="K699" s="266">
        <f>4.14*F699</f>
        <v>413.99999999999994</v>
      </c>
      <c r="L699" s="237">
        <v>41215</v>
      </c>
      <c r="M699" s="1" t="s">
        <v>2349</v>
      </c>
      <c r="N699" s="235">
        <f t="shared" si="42"/>
        <v>430</v>
      </c>
      <c r="O699" s="235">
        <f t="shared" si="43"/>
        <v>0</v>
      </c>
      <c r="P699" s="238" t="s">
        <v>3481</v>
      </c>
      <c r="Q699" s="1" t="s">
        <v>2586</v>
      </c>
      <c r="R699" s="239" t="s">
        <v>2591</v>
      </c>
      <c r="S699" s="238" t="s">
        <v>2592</v>
      </c>
      <c r="T699" s="238" t="s">
        <v>3433</v>
      </c>
      <c r="U699" s="238" t="s">
        <v>3482</v>
      </c>
      <c r="V699" s="238" t="s">
        <v>2512</v>
      </c>
      <c r="AB699" s="1" t="s">
        <v>2551</v>
      </c>
    </row>
    <row r="700" spans="1:28" ht="11.25" customHeight="1">
      <c r="A700" s="233">
        <v>41172</v>
      </c>
      <c r="B700" s="1" t="s">
        <v>3483</v>
      </c>
      <c r="C700" s="1" t="s">
        <v>2095</v>
      </c>
      <c r="D700" s="1" t="s">
        <v>1720</v>
      </c>
      <c r="E700" s="5">
        <v>8210</v>
      </c>
      <c r="F700" s="5">
        <v>60</v>
      </c>
      <c r="G700" s="1" t="s">
        <v>2101</v>
      </c>
      <c r="H700" s="234">
        <v>4.8</v>
      </c>
      <c r="I700" s="236">
        <f t="shared" ref="I700:I770" si="45">H700*F700</f>
        <v>288</v>
      </c>
      <c r="K700" s="266">
        <f>3.63*F700</f>
        <v>217.79999999999998</v>
      </c>
      <c r="L700" s="237">
        <v>41172</v>
      </c>
      <c r="M700" s="1" t="s">
        <v>2412</v>
      </c>
      <c r="N700" s="235">
        <f t="shared" si="42"/>
        <v>288</v>
      </c>
      <c r="O700" s="235">
        <f t="shared" si="43"/>
        <v>0</v>
      </c>
      <c r="P700" s="238" t="s">
        <v>3484</v>
      </c>
      <c r="Q700" s="1" t="s">
        <v>2230</v>
      </c>
      <c r="R700" s="239" t="s">
        <v>3485</v>
      </c>
      <c r="S700" s="238" t="s">
        <v>3486</v>
      </c>
      <c r="T700" s="1" t="s">
        <v>2230</v>
      </c>
      <c r="V700" s="238" t="s">
        <v>3487</v>
      </c>
      <c r="W700" s="236">
        <v>2238</v>
      </c>
      <c r="X700" s="233">
        <v>41172</v>
      </c>
      <c r="Y700" s="238" t="s">
        <v>2230</v>
      </c>
      <c r="AA700" s="240" t="s">
        <v>2692</v>
      </c>
      <c r="AB700" s="1" t="s">
        <v>2551</v>
      </c>
    </row>
    <row r="701" spans="1:28" ht="11.25" customHeight="1">
      <c r="A701" s="233">
        <v>41172</v>
      </c>
      <c r="B701" s="1" t="s">
        <v>3488</v>
      </c>
      <c r="C701" s="1" t="s">
        <v>2095</v>
      </c>
      <c r="D701" s="1" t="s">
        <v>919</v>
      </c>
      <c r="E701" s="5">
        <v>11228</v>
      </c>
      <c r="F701" s="5">
        <v>10</v>
      </c>
      <c r="G701" s="1" t="s">
        <v>2420</v>
      </c>
      <c r="H701" s="234">
        <v>17</v>
      </c>
      <c r="I701" s="236">
        <f t="shared" si="45"/>
        <v>170</v>
      </c>
      <c r="K701" s="266">
        <f>5.94*F701</f>
        <v>59.400000000000006</v>
      </c>
      <c r="L701" s="237">
        <v>41173</v>
      </c>
      <c r="M701" s="1" t="s">
        <v>2349</v>
      </c>
      <c r="N701" s="235">
        <f t="shared" si="42"/>
        <v>170</v>
      </c>
      <c r="O701" s="235">
        <f t="shared" si="43"/>
        <v>0</v>
      </c>
      <c r="P701" s="238" t="s">
        <v>3489</v>
      </c>
      <c r="Q701" s="1" t="s">
        <v>3490</v>
      </c>
      <c r="R701" s="239" t="s">
        <v>3491</v>
      </c>
      <c r="S701" s="238" t="s">
        <v>3492</v>
      </c>
      <c r="T701" s="238" t="s">
        <v>3493</v>
      </c>
      <c r="U701" s="238" t="s">
        <v>3494</v>
      </c>
      <c r="V701" s="238" t="s">
        <v>2512</v>
      </c>
      <c r="AB701" s="1" t="s">
        <v>2094</v>
      </c>
    </row>
    <row r="702" spans="1:28" ht="11.25" customHeight="1">
      <c r="A702" s="233">
        <v>41172</v>
      </c>
      <c r="B702" s="1" t="s">
        <v>3488</v>
      </c>
      <c r="C702" s="1" t="s">
        <v>2095</v>
      </c>
      <c r="D702" s="1" t="s">
        <v>290</v>
      </c>
      <c r="E702" s="5" t="s">
        <v>3495</v>
      </c>
      <c r="F702" s="5">
        <v>10</v>
      </c>
      <c r="G702" s="1" t="s">
        <v>2420</v>
      </c>
      <c r="H702" s="234">
        <v>2.5</v>
      </c>
      <c r="I702" s="236">
        <f t="shared" si="45"/>
        <v>25</v>
      </c>
      <c r="K702" s="266">
        <f>1.178*F702</f>
        <v>11.78</v>
      </c>
      <c r="L702" s="237">
        <v>41173</v>
      </c>
      <c r="M702" s="1" t="s">
        <v>2349</v>
      </c>
      <c r="N702" s="235">
        <f t="shared" si="42"/>
        <v>25</v>
      </c>
      <c r="O702" s="235">
        <f t="shared" si="43"/>
        <v>0</v>
      </c>
      <c r="P702" s="238" t="s">
        <v>3489</v>
      </c>
      <c r="Q702" s="1" t="s">
        <v>3490</v>
      </c>
      <c r="R702" s="239" t="s">
        <v>3491</v>
      </c>
      <c r="S702" s="238" t="s">
        <v>3492</v>
      </c>
      <c r="T702" s="238" t="s">
        <v>3493</v>
      </c>
      <c r="U702" s="238" t="s">
        <v>3494</v>
      </c>
      <c r="V702" s="238" t="s">
        <v>2512</v>
      </c>
      <c r="AB702" s="1" t="s">
        <v>2094</v>
      </c>
    </row>
    <row r="703" spans="1:28" ht="12" customHeight="1">
      <c r="A703" s="233">
        <v>41173</v>
      </c>
      <c r="B703" s="1" t="s">
        <v>3496</v>
      </c>
      <c r="C703" s="1" t="s">
        <v>2095</v>
      </c>
      <c r="D703" s="1" t="s">
        <v>2032</v>
      </c>
      <c r="E703" s="5">
        <v>4620</v>
      </c>
      <c r="F703" s="5">
        <v>10</v>
      </c>
      <c r="G703" s="1" t="s">
        <v>2553</v>
      </c>
      <c r="H703" s="234">
        <v>22.5</v>
      </c>
      <c r="I703" s="236">
        <f t="shared" si="45"/>
        <v>225</v>
      </c>
      <c r="K703" s="266">
        <f>17.79*F703</f>
        <v>177.89999999999998</v>
      </c>
      <c r="L703" s="237">
        <v>41243</v>
      </c>
      <c r="M703" s="1" t="s">
        <v>2092</v>
      </c>
      <c r="N703" s="235">
        <f t="shared" si="42"/>
        <v>225</v>
      </c>
      <c r="O703" s="235">
        <f t="shared" si="43"/>
        <v>0</v>
      </c>
      <c r="P703" s="238" t="s">
        <v>3497</v>
      </c>
      <c r="Q703" s="1" t="s">
        <v>2230</v>
      </c>
      <c r="R703" s="239" t="s">
        <v>3498</v>
      </c>
      <c r="S703" s="238" t="s">
        <v>3499</v>
      </c>
      <c r="T703" s="238" t="s">
        <v>2097</v>
      </c>
      <c r="U703" s="238" t="s">
        <v>2230</v>
      </c>
      <c r="V703" s="238" t="s">
        <v>3500</v>
      </c>
      <c r="W703" s="236">
        <v>5859</v>
      </c>
      <c r="X703" s="233">
        <v>41201</v>
      </c>
      <c r="Y703" s="238" t="s">
        <v>3501</v>
      </c>
      <c r="Z703" s="255" t="s">
        <v>3502</v>
      </c>
      <c r="AB703" s="1" t="s">
        <v>2094</v>
      </c>
    </row>
    <row r="704" spans="1:28" ht="12" customHeight="1">
      <c r="A704" s="233">
        <v>41176</v>
      </c>
      <c r="B704" s="225" t="s">
        <v>3503</v>
      </c>
      <c r="C704" s="225" t="s">
        <v>2095</v>
      </c>
      <c r="D704" s="1" t="s">
        <v>1229</v>
      </c>
      <c r="E704" s="5">
        <v>6009</v>
      </c>
      <c r="F704" s="5">
        <v>6</v>
      </c>
      <c r="G704" s="1" t="s">
        <v>2101</v>
      </c>
      <c r="H704" s="234">
        <v>44.6</v>
      </c>
      <c r="I704" s="236">
        <f t="shared" si="45"/>
        <v>267.60000000000002</v>
      </c>
      <c r="K704" s="266">
        <f>43.3872*F704</f>
        <v>260.32319999999999</v>
      </c>
      <c r="L704" s="237">
        <v>41178</v>
      </c>
      <c r="M704" s="1" t="s">
        <v>2092</v>
      </c>
      <c r="N704" s="235">
        <f t="shared" si="42"/>
        <v>267.60000000000002</v>
      </c>
      <c r="O704" s="235">
        <f t="shared" si="43"/>
        <v>0</v>
      </c>
      <c r="P704" s="238" t="s">
        <v>3504</v>
      </c>
      <c r="Q704" s="1" t="s">
        <v>2230</v>
      </c>
      <c r="R704" s="239" t="s">
        <v>3505</v>
      </c>
      <c r="S704" s="238" t="s">
        <v>2097</v>
      </c>
      <c r="T704" s="238" t="s">
        <v>2097</v>
      </c>
      <c r="U704" s="238" t="s">
        <v>2230</v>
      </c>
      <c r="V704" s="115" t="s">
        <v>3506</v>
      </c>
      <c r="W704" s="236">
        <v>267.60000000000002</v>
      </c>
      <c r="X704" s="233">
        <v>41236</v>
      </c>
      <c r="Y704" s="238" t="s">
        <v>2230</v>
      </c>
      <c r="AB704" s="1" t="s">
        <v>2551</v>
      </c>
    </row>
    <row r="705" spans="1:28" ht="12" customHeight="1">
      <c r="A705" s="233">
        <v>41176</v>
      </c>
      <c r="B705" s="1" t="s">
        <v>3401</v>
      </c>
      <c r="C705" s="1" t="s">
        <v>2095</v>
      </c>
      <c r="D705" s="1" t="s">
        <v>1720</v>
      </c>
      <c r="E705" s="5">
        <v>8210</v>
      </c>
      <c r="F705" s="5">
        <v>80</v>
      </c>
      <c r="G705" s="1" t="s">
        <v>2101</v>
      </c>
      <c r="H705" s="234">
        <v>6.9</v>
      </c>
      <c r="I705" s="31">
        <f t="shared" si="45"/>
        <v>552</v>
      </c>
      <c r="K705" s="266">
        <f>3.63*F705</f>
        <v>290.39999999999998</v>
      </c>
      <c r="L705" s="237">
        <v>41176</v>
      </c>
      <c r="M705" s="1" t="s">
        <v>2092</v>
      </c>
      <c r="N705" s="235">
        <f t="shared" si="42"/>
        <v>552</v>
      </c>
      <c r="O705" s="235">
        <f t="shared" si="43"/>
        <v>0</v>
      </c>
      <c r="P705" s="238" t="s">
        <v>3507</v>
      </c>
      <c r="Q705" s="1" t="s">
        <v>2586</v>
      </c>
      <c r="R705" s="239" t="s">
        <v>3508</v>
      </c>
      <c r="S705" s="238" t="s">
        <v>3509</v>
      </c>
      <c r="T705" s="238" t="s">
        <v>3510</v>
      </c>
      <c r="U705" s="238" t="s">
        <v>3511</v>
      </c>
      <c r="V705" s="238" t="s">
        <v>3512</v>
      </c>
      <c r="W705" s="236">
        <v>4752</v>
      </c>
      <c r="X705" s="233">
        <v>41219</v>
      </c>
      <c r="Y705" s="238" t="s">
        <v>3513</v>
      </c>
      <c r="AB705" s="1" t="s">
        <v>2551</v>
      </c>
    </row>
    <row r="706" spans="1:28" ht="12" customHeight="1">
      <c r="A706" s="233">
        <v>41176</v>
      </c>
      <c r="B706" s="1" t="s">
        <v>3514</v>
      </c>
      <c r="C706" s="1" t="s">
        <v>2095</v>
      </c>
      <c r="D706" s="1" t="s">
        <v>1216</v>
      </c>
      <c r="E706" s="5">
        <v>3200</v>
      </c>
      <c r="F706" s="5">
        <v>30</v>
      </c>
      <c r="G706" s="1" t="s">
        <v>2101</v>
      </c>
      <c r="H706" s="234">
        <v>40.5</v>
      </c>
      <c r="I706" s="31">
        <f t="shared" si="45"/>
        <v>1215</v>
      </c>
      <c r="K706" s="266">
        <f>23.94*F706</f>
        <v>718.2</v>
      </c>
      <c r="L706" s="237">
        <v>41176</v>
      </c>
      <c r="M706" s="1" t="s">
        <v>2412</v>
      </c>
      <c r="N706" s="235">
        <f t="shared" si="42"/>
        <v>1215</v>
      </c>
      <c r="O706" s="235">
        <f t="shared" si="43"/>
        <v>0</v>
      </c>
      <c r="P706" s="238" t="s">
        <v>3515</v>
      </c>
      <c r="Q706" s="1" t="s">
        <v>2230</v>
      </c>
      <c r="R706" s="239" t="s">
        <v>3516</v>
      </c>
      <c r="S706" s="238" t="s">
        <v>3517</v>
      </c>
      <c r="T706" s="238" t="s">
        <v>2230</v>
      </c>
      <c r="V706" s="238" t="s">
        <v>2512</v>
      </c>
      <c r="AB706" s="1" t="s">
        <v>2094</v>
      </c>
    </row>
    <row r="707" spans="1:28" ht="11.25" customHeight="1">
      <c r="A707" s="233">
        <v>41176</v>
      </c>
      <c r="B707" s="1" t="s">
        <v>3514</v>
      </c>
      <c r="C707" s="1" t="s">
        <v>2095</v>
      </c>
      <c r="D707" s="1" t="s">
        <v>355</v>
      </c>
      <c r="E707" s="5" t="s">
        <v>3518</v>
      </c>
      <c r="F707" s="5">
        <v>30</v>
      </c>
      <c r="G707" s="1" t="s">
        <v>2101</v>
      </c>
      <c r="H707" s="234">
        <v>18</v>
      </c>
      <c r="I707" s="31">
        <f t="shared" si="45"/>
        <v>540</v>
      </c>
      <c r="K707" s="266">
        <f>12.74*23+12.55*7</f>
        <v>380.87</v>
      </c>
      <c r="L707" s="237">
        <v>41176</v>
      </c>
      <c r="M707" s="1" t="s">
        <v>2412</v>
      </c>
      <c r="N707" s="235">
        <f t="shared" ref="N707:N770" si="46">I707</f>
        <v>540</v>
      </c>
      <c r="O707" s="235">
        <f t="shared" ref="O707:O770" si="47">I707-N707</f>
        <v>0</v>
      </c>
      <c r="P707" s="238" t="s">
        <v>3515</v>
      </c>
      <c r="Q707" s="1" t="s">
        <v>2230</v>
      </c>
      <c r="R707" s="239" t="s">
        <v>3516</v>
      </c>
      <c r="S707" s="238" t="s">
        <v>3517</v>
      </c>
      <c r="T707" s="238" t="s">
        <v>2230</v>
      </c>
      <c r="V707" s="238" t="s">
        <v>2512</v>
      </c>
      <c r="AB707" s="1" t="s">
        <v>2094</v>
      </c>
    </row>
    <row r="708" spans="1:28" ht="11.25" customHeight="1">
      <c r="A708" s="233">
        <v>41176</v>
      </c>
      <c r="B708" s="1" t="s">
        <v>3514</v>
      </c>
      <c r="C708" s="1" t="s">
        <v>2095</v>
      </c>
      <c r="D708" s="1" t="s">
        <v>269</v>
      </c>
      <c r="E708" s="5" t="s">
        <v>2136</v>
      </c>
      <c r="F708" s="5">
        <v>30</v>
      </c>
      <c r="G708" s="1" t="s">
        <v>2514</v>
      </c>
      <c r="H708" s="234">
        <v>2</v>
      </c>
      <c r="I708" s="236">
        <f t="shared" si="45"/>
        <v>60</v>
      </c>
      <c r="K708" s="266">
        <f>1.43*F708</f>
        <v>42.9</v>
      </c>
      <c r="L708" s="237">
        <v>41176</v>
      </c>
      <c r="M708" s="1" t="s">
        <v>2412</v>
      </c>
      <c r="N708" s="235">
        <f t="shared" si="46"/>
        <v>60</v>
      </c>
      <c r="O708" s="235">
        <f t="shared" si="47"/>
        <v>0</v>
      </c>
      <c r="P708" s="238" t="s">
        <v>3515</v>
      </c>
      <c r="Q708" s="1" t="s">
        <v>2230</v>
      </c>
      <c r="R708" s="239" t="s">
        <v>3516</v>
      </c>
      <c r="S708" s="238" t="s">
        <v>3517</v>
      </c>
      <c r="T708" s="238" t="s">
        <v>2230</v>
      </c>
      <c r="V708" s="238" t="s">
        <v>2512</v>
      </c>
      <c r="Z708" s="255" t="s">
        <v>2573</v>
      </c>
      <c r="AB708" s="1" t="s">
        <v>2094</v>
      </c>
    </row>
    <row r="709" spans="1:28" ht="11.25" customHeight="1">
      <c r="A709" s="233">
        <v>41176</v>
      </c>
      <c r="B709" s="1" t="s">
        <v>3514</v>
      </c>
      <c r="C709" s="1" t="s">
        <v>2095</v>
      </c>
      <c r="D709" s="1" t="s">
        <v>264</v>
      </c>
      <c r="E709" s="5" t="s">
        <v>3519</v>
      </c>
      <c r="F709" s="5">
        <v>30</v>
      </c>
      <c r="G709" s="1" t="s">
        <v>2101</v>
      </c>
      <c r="H709" s="234">
        <v>2.5</v>
      </c>
      <c r="I709" s="236">
        <f t="shared" si="45"/>
        <v>75</v>
      </c>
      <c r="J709" s="352">
        <v>1.88</v>
      </c>
      <c r="K709" s="266">
        <f>1.88*F709</f>
        <v>56.4</v>
      </c>
      <c r="L709" s="237">
        <v>41176</v>
      </c>
      <c r="M709" s="1" t="s">
        <v>2412</v>
      </c>
      <c r="N709" s="235">
        <f t="shared" si="46"/>
        <v>75</v>
      </c>
      <c r="O709" s="235">
        <f t="shared" si="47"/>
        <v>0</v>
      </c>
      <c r="P709" s="238" t="s">
        <v>3515</v>
      </c>
      <c r="Q709" s="1" t="s">
        <v>2230</v>
      </c>
      <c r="R709" s="239" t="s">
        <v>3516</v>
      </c>
      <c r="S709" s="238" t="s">
        <v>3517</v>
      </c>
      <c r="T709" s="238" t="s">
        <v>2230</v>
      </c>
      <c r="V709" s="238" t="s">
        <v>2512</v>
      </c>
      <c r="AB709" s="1" t="s">
        <v>2094</v>
      </c>
    </row>
    <row r="710" spans="1:28" ht="11.25" customHeight="1">
      <c r="A710" s="233">
        <v>41176</v>
      </c>
      <c r="B710" s="1" t="s">
        <v>3514</v>
      </c>
      <c r="C710" s="1" t="s">
        <v>2095</v>
      </c>
      <c r="D710" s="5" t="s">
        <v>857</v>
      </c>
      <c r="E710" s="5">
        <v>9031</v>
      </c>
      <c r="F710" s="5">
        <v>10</v>
      </c>
      <c r="G710" s="232" t="s">
        <v>2101</v>
      </c>
      <c r="H710" s="234">
        <v>2.4</v>
      </c>
      <c r="I710" s="236">
        <f t="shared" si="45"/>
        <v>24</v>
      </c>
      <c r="K710" s="266">
        <f>1.4929*F710</f>
        <v>14.928999999999998</v>
      </c>
      <c r="L710" s="237">
        <v>41176</v>
      </c>
      <c r="M710" s="1" t="s">
        <v>2412</v>
      </c>
      <c r="N710" s="235">
        <f t="shared" si="46"/>
        <v>24</v>
      </c>
      <c r="O710" s="235">
        <f t="shared" si="47"/>
        <v>0</v>
      </c>
      <c r="P710" s="238" t="s">
        <v>3515</v>
      </c>
      <c r="Q710" s="1" t="s">
        <v>2230</v>
      </c>
      <c r="R710" s="239" t="s">
        <v>3516</v>
      </c>
      <c r="S710" s="238" t="s">
        <v>3517</v>
      </c>
      <c r="T710" s="238" t="s">
        <v>2230</v>
      </c>
      <c r="V710" s="238" t="s">
        <v>2512</v>
      </c>
      <c r="AB710" s="1" t="s">
        <v>2094</v>
      </c>
    </row>
    <row r="711" spans="1:28" ht="11.25" customHeight="1">
      <c r="A711" s="233">
        <v>41176</v>
      </c>
      <c r="B711" s="1" t="s">
        <v>2738</v>
      </c>
      <c r="C711" s="1" t="s">
        <v>2095</v>
      </c>
      <c r="D711" s="1" t="s">
        <v>2043</v>
      </c>
      <c r="E711" s="5" t="s">
        <v>3194</v>
      </c>
      <c r="F711" s="5">
        <v>74</v>
      </c>
      <c r="G711" s="1" t="s">
        <v>3155</v>
      </c>
      <c r="H711" s="234">
        <v>172.8</v>
      </c>
      <c r="I711" s="236">
        <f t="shared" si="45"/>
        <v>12787.2</v>
      </c>
      <c r="K711" s="266">
        <f>107.64*F711</f>
        <v>7965.36</v>
      </c>
      <c r="L711" s="237">
        <v>41288</v>
      </c>
      <c r="M711" s="1" t="s">
        <v>2092</v>
      </c>
      <c r="N711" s="235">
        <f t="shared" si="46"/>
        <v>12787.2</v>
      </c>
      <c r="O711" s="235">
        <f t="shared" si="47"/>
        <v>0</v>
      </c>
      <c r="P711" s="238" t="s">
        <v>3520</v>
      </c>
      <c r="Q711" s="1" t="s">
        <v>2740</v>
      </c>
      <c r="R711" s="239" t="s">
        <v>2741</v>
      </c>
      <c r="S711" s="238" t="s">
        <v>3521</v>
      </c>
      <c r="T711" s="238" t="s">
        <v>799</v>
      </c>
      <c r="U711" s="238" t="s">
        <v>3522</v>
      </c>
      <c r="V711" s="238" t="s">
        <v>3523</v>
      </c>
      <c r="W711" s="236">
        <v>17020</v>
      </c>
      <c r="X711" s="233">
        <v>41205</v>
      </c>
      <c r="Y711" s="238" t="s">
        <v>3524</v>
      </c>
      <c r="AA711" s="240" t="s">
        <v>2746</v>
      </c>
      <c r="AB711" s="1" t="s">
        <v>2094</v>
      </c>
    </row>
    <row r="712" spans="1:28" ht="11.25" customHeight="1">
      <c r="A712" s="233">
        <v>41176</v>
      </c>
      <c r="B712" s="1" t="s">
        <v>2738</v>
      </c>
      <c r="C712" s="1" t="s">
        <v>2095</v>
      </c>
      <c r="D712" s="1" t="s">
        <v>355</v>
      </c>
      <c r="E712" s="5" t="s">
        <v>3525</v>
      </c>
      <c r="F712" s="5">
        <v>148</v>
      </c>
      <c r="G712" s="1" t="s">
        <v>2101</v>
      </c>
      <c r="H712" s="234">
        <v>28.6</v>
      </c>
      <c r="I712" s="236">
        <f t="shared" si="45"/>
        <v>4232.8</v>
      </c>
      <c r="J712" s="352" t="s">
        <v>6094</v>
      </c>
      <c r="K712" s="266">
        <f>17*2+146*17.5</f>
        <v>2589</v>
      </c>
      <c r="L712" s="237">
        <v>41288</v>
      </c>
      <c r="M712" s="1" t="s">
        <v>2092</v>
      </c>
      <c r="N712" s="235">
        <f t="shared" si="46"/>
        <v>4232.8</v>
      </c>
      <c r="O712" s="235">
        <f t="shared" si="47"/>
        <v>0</v>
      </c>
      <c r="P712" s="238" t="s">
        <v>3520</v>
      </c>
      <c r="Q712" s="1" t="s">
        <v>2740</v>
      </c>
      <c r="R712" s="239" t="s">
        <v>2741</v>
      </c>
      <c r="S712" s="238" t="s">
        <v>3521</v>
      </c>
      <c r="T712" s="238" t="s">
        <v>3526</v>
      </c>
      <c r="U712" s="238" t="s">
        <v>3522</v>
      </c>
      <c r="V712" s="238" t="s">
        <v>3523</v>
      </c>
      <c r="W712" s="236">
        <v>17020</v>
      </c>
      <c r="X712" s="233">
        <v>41205</v>
      </c>
      <c r="Y712" s="238" t="s">
        <v>3524</v>
      </c>
      <c r="AA712" s="240" t="s">
        <v>2746</v>
      </c>
      <c r="AB712" s="1" t="s">
        <v>2094</v>
      </c>
    </row>
    <row r="713" spans="1:28" ht="11.25" customHeight="1">
      <c r="A713" s="233">
        <v>41176</v>
      </c>
      <c r="B713" s="1" t="s">
        <v>2589</v>
      </c>
      <c r="C713" s="1" t="s">
        <v>2095</v>
      </c>
      <c r="D713" s="5" t="s">
        <v>2026</v>
      </c>
      <c r="E713" s="5" t="s">
        <v>3465</v>
      </c>
      <c r="F713" s="5">
        <v>700</v>
      </c>
      <c r="G713" s="1" t="s">
        <v>5002</v>
      </c>
      <c r="H713" s="234">
        <v>1.59</v>
      </c>
      <c r="I713" s="236">
        <f t="shared" si="45"/>
        <v>1113</v>
      </c>
      <c r="J713" s="360">
        <v>1.46</v>
      </c>
      <c r="K713" s="266">
        <f>1.46*F713</f>
        <v>1022</v>
      </c>
      <c r="L713" s="237">
        <v>41215</v>
      </c>
      <c r="M713" s="1" t="s">
        <v>2349</v>
      </c>
      <c r="N713" s="235">
        <f t="shared" si="46"/>
        <v>1113</v>
      </c>
      <c r="O713" s="235">
        <f t="shared" si="47"/>
        <v>0</v>
      </c>
      <c r="P713" s="238" t="s">
        <v>3527</v>
      </c>
      <c r="Q713" s="1" t="s">
        <v>2623</v>
      </c>
      <c r="R713" s="239" t="s">
        <v>2591</v>
      </c>
      <c r="S713" s="238" t="s">
        <v>2592</v>
      </c>
      <c r="T713" s="238" t="s">
        <v>3433</v>
      </c>
      <c r="U713" s="238" t="s">
        <v>3528</v>
      </c>
      <c r="V713" s="238" t="s">
        <v>2512</v>
      </c>
      <c r="AB713" s="1" t="s">
        <v>2551</v>
      </c>
    </row>
    <row r="714" spans="1:28" ht="11.25" customHeight="1">
      <c r="A714" s="233">
        <v>41176</v>
      </c>
      <c r="B714" s="1" t="s">
        <v>2589</v>
      </c>
      <c r="C714" s="1" t="s">
        <v>2095</v>
      </c>
      <c r="D714" s="1" t="s">
        <v>1943</v>
      </c>
      <c r="E714" s="5" t="s">
        <v>3529</v>
      </c>
      <c r="F714" s="5">
        <v>100</v>
      </c>
      <c r="G714" s="1" t="s">
        <v>2514</v>
      </c>
      <c r="H714" s="234">
        <v>5.6</v>
      </c>
      <c r="I714" s="236">
        <f t="shared" si="45"/>
        <v>560</v>
      </c>
      <c r="K714" s="266">
        <f>5*F714</f>
        <v>500</v>
      </c>
      <c r="L714" s="237">
        <v>41215</v>
      </c>
      <c r="M714" s="1" t="s">
        <v>2349</v>
      </c>
      <c r="N714" s="235">
        <f t="shared" si="46"/>
        <v>560</v>
      </c>
      <c r="O714" s="235">
        <f t="shared" si="47"/>
        <v>0</v>
      </c>
      <c r="P714" s="238" t="s">
        <v>3527</v>
      </c>
      <c r="Q714" s="1" t="s">
        <v>2623</v>
      </c>
      <c r="R714" s="239" t="s">
        <v>2591</v>
      </c>
      <c r="S714" s="238" t="s">
        <v>2592</v>
      </c>
      <c r="T714" s="238" t="s">
        <v>3433</v>
      </c>
      <c r="U714" s="238" t="s">
        <v>3528</v>
      </c>
      <c r="V714" s="238" t="s">
        <v>2512</v>
      </c>
      <c r="AB714" s="1" t="s">
        <v>2551</v>
      </c>
    </row>
    <row r="715" spans="1:28" ht="12" customHeight="1">
      <c r="A715" s="233">
        <v>41177</v>
      </c>
      <c r="B715" s="1" t="s">
        <v>3530</v>
      </c>
      <c r="C715" s="1" t="s">
        <v>2095</v>
      </c>
      <c r="D715" s="5" t="s">
        <v>857</v>
      </c>
      <c r="E715" s="5">
        <v>9031</v>
      </c>
      <c r="F715" s="5">
        <v>500</v>
      </c>
      <c r="G715" s="232" t="s">
        <v>2101</v>
      </c>
      <c r="H715" s="234">
        <v>2.2999999999999998</v>
      </c>
      <c r="I715" s="236">
        <f t="shared" si="45"/>
        <v>1150</v>
      </c>
      <c r="K715" s="266">
        <f>1.4929*F715</f>
        <v>746.44999999999993</v>
      </c>
      <c r="L715" s="237">
        <v>41177</v>
      </c>
      <c r="M715" s="1" t="s">
        <v>2092</v>
      </c>
      <c r="N715" s="235">
        <f t="shared" si="46"/>
        <v>1150</v>
      </c>
      <c r="O715" s="235">
        <f t="shared" si="47"/>
        <v>0</v>
      </c>
      <c r="P715" s="238" t="s">
        <v>3531</v>
      </c>
      <c r="Q715" s="1" t="s">
        <v>2586</v>
      </c>
      <c r="R715" s="239" t="s">
        <v>3532</v>
      </c>
      <c r="S715" s="238" t="s">
        <v>3533</v>
      </c>
      <c r="T715" s="238" t="s">
        <v>3534</v>
      </c>
      <c r="U715" s="238" t="s">
        <v>3535</v>
      </c>
      <c r="V715" s="238" t="s">
        <v>3536</v>
      </c>
      <c r="W715" s="236">
        <v>1150</v>
      </c>
      <c r="X715" s="233">
        <v>41201</v>
      </c>
      <c r="Y715" s="238" t="s">
        <v>3537</v>
      </c>
      <c r="AB715" s="1" t="s">
        <v>2094</v>
      </c>
    </row>
    <row r="716" spans="1:28" ht="12" customHeight="1">
      <c r="A716" s="233">
        <v>41178</v>
      </c>
      <c r="B716" s="1" t="s">
        <v>2673</v>
      </c>
      <c r="C716" s="1" t="s">
        <v>2095</v>
      </c>
      <c r="D716" s="225" t="s">
        <v>355</v>
      </c>
      <c r="E716" s="5" t="s">
        <v>3518</v>
      </c>
      <c r="F716" s="5">
        <v>30</v>
      </c>
      <c r="G716" s="1" t="s">
        <v>2101</v>
      </c>
      <c r="H716" s="234">
        <v>13.33</v>
      </c>
      <c r="I716" s="236">
        <f t="shared" si="45"/>
        <v>399.9</v>
      </c>
      <c r="K716" s="266">
        <f>10.94*F716</f>
        <v>328.2</v>
      </c>
      <c r="L716" s="237">
        <v>41352</v>
      </c>
      <c r="M716" s="1" t="s">
        <v>2092</v>
      </c>
      <c r="N716" s="235">
        <f t="shared" si="46"/>
        <v>399.9</v>
      </c>
      <c r="O716" s="235">
        <f t="shared" si="47"/>
        <v>0</v>
      </c>
      <c r="P716" s="238" t="s">
        <v>3538</v>
      </c>
      <c r="Q716" s="1" t="s">
        <v>2230</v>
      </c>
      <c r="R716" s="239" t="s">
        <v>3174</v>
      </c>
      <c r="S716" s="238" t="s">
        <v>3175</v>
      </c>
      <c r="T716" s="238" t="s">
        <v>2097</v>
      </c>
      <c r="U716" s="238" t="s">
        <v>2097</v>
      </c>
      <c r="V716" s="238" t="s">
        <v>3539</v>
      </c>
      <c r="W716" s="236">
        <v>6244.3</v>
      </c>
      <c r="X716" s="233">
        <v>41205</v>
      </c>
      <c r="Y716" s="238" t="s">
        <v>2097</v>
      </c>
      <c r="AB716" s="1" t="s">
        <v>2551</v>
      </c>
    </row>
    <row r="717" spans="1:28" ht="11.25" customHeight="1">
      <c r="A717" s="233">
        <v>41178</v>
      </c>
      <c r="B717" s="1" t="s">
        <v>2673</v>
      </c>
      <c r="C717" s="1" t="s">
        <v>2095</v>
      </c>
      <c r="D717" s="1" t="s">
        <v>269</v>
      </c>
      <c r="E717" s="5" t="s">
        <v>2136</v>
      </c>
      <c r="F717" s="5">
        <v>30</v>
      </c>
      <c r="G717" s="1" t="s">
        <v>2514</v>
      </c>
      <c r="H717" s="234">
        <v>1.46</v>
      </c>
      <c r="I717" s="236">
        <f t="shared" si="45"/>
        <v>43.8</v>
      </c>
      <c r="K717" s="266">
        <f>1.17*27+1.43*3</f>
        <v>35.879999999999995</v>
      </c>
      <c r="L717" s="237">
        <v>41352</v>
      </c>
      <c r="M717" s="1" t="s">
        <v>2092</v>
      </c>
      <c r="N717" s="235">
        <f t="shared" si="46"/>
        <v>43.8</v>
      </c>
      <c r="O717" s="235">
        <f t="shared" si="47"/>
        <v>0</v>
      </c>
      <c r="P717" s="238" t="s">
        <v>3538</v>
      </c>
      <c r="Q717" s="1" t="s">
        <v>2230</v>
      </c>
      <c r="R717" s="239" t="s">
        <v>3174</v>
      </c>
      <c r="S717" s="238" t="s">
        <v>3175</v>
      </c>
      <c r="T717" s="238" t="s">
        <v>2097</v>
      </c>
      <c r="U717" s="238" t="s">
        <v>2097</v>
      </c>
      <c r="V717" s="238" t="s">
        <v>3539</v>
      </c>
      <c r="W717" s="236">
        <v>6244.3</v>
      </c>
      <c r="X717" s="233">
        <v>41205</v>
      </c>
      <c r="Y717" s="238" t="s">
        <v>2097</v>
      </c>
      <c r="AB717" s="1" t="s">
        <v>2551</v>
      </c>
    </row>
    <row r="718" spans="1:28" ht="11.25" customHeight="1">
      <c r="A718" s="233">
        <v>41178</v>
      </c>
      <c r="B718" s="1" t="s">
        <v>2673</v>
      </c>
      <c r="C718" s="1" t="s">
        <v>2095</v>
      </c>
      <c r="D718" s="1" t="s">
        <v>264</v>
      </c>
      <c r="E718" s="5" t="s">
        <v>3540</v>
      </c>
      <c r="F718" s="5">
        <v>30</v>
      </c>
      <c r="G718" s="1" t="s">
        <v>2101</v>
      </c>
      <c r="H718" s="234">
        <v>1.98</v>
      </c>
      <c r="I718" s="236">
        <f t="shared" si="45"/>
        <v>59.4</v>
      </c>
      <c r="J718" s="352">
        <v>1.88</v>
      </c>
      <c r="K718" s="266">
        <f>1.88*F718</f>
        <v>56.4</v>
      </c>
      <c r="L718" s="237">
        <v>41352</v>
      </c>
      <c r="M718" s="1" t="s">
        <v>2092</v>
      </c>
      <c r="N718" s="235">
        <f t="shared" si="46"/>
        <v>59.4</v>
      </c>
      <c r="O718" s="235">
        <f t="shared" si="47"/>
        <v>0</v>
      </c>
      <c r="P718" s="238" t="s">
        <v>3538</v>
      </c>
      <c r="Q718" s="1" t="s">
        <v>2230</v>
      </c>
      <c r="R718" s="239" t="s">
        <v>3174</v>
      </c>
      <c r="S718" s="238" t="s">
        <v>3175</v>
      </c>
      <c r="T718" s="238" t="s">
        <v>2097</v>
      </c>
      <c r="U718" s="238" t="s">
        <v>2097</v>
      </c>
      <c r="V718" s="238" t="s">
        <v>3539</v>
      </c>
      <c r="W718" s="236">
        <v>6244.3</v>
      </c>
      <c r="X718" s="233">
        <v>41205</v>
      </c>
      <c r="Y718" s="238" t="s">
        <v>2097</v>
      </c>
      <c r="AB718" s="1" t="s">
        <v>2551</v>
      </c>
    </row>
    <row r="719" spans="1:28" ht="11.25" customHeight="1">
      <c r="A719" s="233">
        <v>41178</v>
      </c>
      <c r="B719" s="225" t="s">
        <v>3147</v>
      </c>
      <c r="C719" s="225" t="s">
        <v>2095</v>
      </c>
      <c r="D719" s="1" t="s">
        <v>87</v>
      </c>
      <c r="E719" s="5">
        <v>9032</v>
      </c>
      <c r="F719" s="5">
        <v>100</v>
      </c>
      <c r="G719" s="1" t="s">
        <v>2101</v>
      </c>
      <c r="H719" s="234">
        <v>2</v>
      </c>
      <c r="I719" s="236">
        <f t="shared" si="45"/>
        <v>200</v>
      </c>
      <c r="K719" s="266">
        <f>1.4929*F719</f>
        <v>149.29</v>
      </c>
      <c r="L719" s="237">
        <v>41178</v>
      </c>
      <c r="M719" s="233" t="s">
        <v>2412</v>
      </c>
      <c r="N719" s="235">
        <f t="shared" si="46"/>
        <v>200</v>
      </c>
      <c r="O719" s="235">
        <f t="shared" si="47"/>
        <v>0</v>
      </c>
      <c r="P719" s="238" t="s">
        <v>3541</v>
      </c>
      <c r="Q719" s="1" t="s">
        <v>2230</v>
      </c>
      <c r="R719" s="239" t="s">
        <v>3542</v>
      </c>
      <c r="S719" s="238" t="s">
        <v>3543</v>
      </c>
      <c r="T719" s="238" t="s">
        <v>2097</v>
      </c>
      <c r="U719" s="238" t="s">
        <v>2230</v>
      </c>
      <c r="V719" s="238" t="s">
        <v>2512</v>
      </c>
      <c r="AB719" s="1" t="s">
        <v>2094</v>
      </c>
    </row>
    <row r="720" spans="1:28" ht="11.25" customHeight="1">
      <c r="A720" s="233">
        <v>41178</v>
      </c>
      <c r="B720" s="225" t="s">
        <v>3147</v>
      </c>
      <c r="C720" s="225" t="s">
        <v>2095</v>
      </c>
      <c r="D720" s="5" t="s">
        <v>2026</v>
      </c>
      <c r="E720" s="5" t="s">
        <v>3465</v>
      </c>
      <c r="F720" s="5">
        <v>100</v>
      </c>
      <c r="G720" s="1" t="s">
        <v>5002</v>
      </c>
      <c r="H720" s="234">
        <v>2</v>
      </c>
      <c r="I720" s="236">
        <f t="shared" si="45"/>
        <v>200</v>
      </c>
      <c r="J720" s="360">
        <v>1.46</v>
      </c>
      <c r="K720" s="266">
        <f>1.46*F720</f>
        <v>146</v>
      </c>
      <c r="L720" s="237">
        <v>41178</v>
      </c>
      <c r="M720" s="233" t="s">
        <v>2412</v>
      </c>
      <c r="N720" s="235">
        <f t="shared" si="46"/>
        <v>200</v>
      </c>
      <c r="O720" s="235">
        <f t="shared" si="47"/>
        <v>0</v>
      </c>
      <c r="P720" s="238" t="s">
        <v>3541</v>
      </c>
      <c r="Q720" s="1" t="s">
        <v>2230</v>
      </c>
      <c r="R720" s="239" t="s">
        <v>3542</v>
      </c>
      <c r="S720" s="238" t="s">
        <v>3543</v>
      </c>
      <c r="T720" s="238" t="s">
        <v>2097</v>
      </c>
      <c r="U720" s="238" t="s">
        <v>2230</v>
      </c>
      <c r="V720" s="238" t="s">
        <v>2512</v>
      </c>
      <c r="AB720" s="1" t="s">
        <v>2094</v>
      </c>
    </row>
    <row r="721" spans="1:28" ht="11.25" customHeight="1">
      <c r="A721" s="233">
        <v>41178</v>
      </c>
      <c r="B721" s="1" t="s">
        <v>3544</v>
      </c>
      <c r="C721" s="225" t="s">
        <v>2095</v>
      </c>
      <c r="D721" s="1" t="s">
        <v>2024</v>
      </c>
      <c r="E721" s="5">
        <v>10434</v>
      </c>
      <c r="F721" s="5">
        <v>150</v>
      </c>
      <c r="G721" s="1" t="s">
        <v>2420</v>
      </c>
      <c r="H721" s="234">
        <v>23</v>
      </c>
      <c r="I721" s="236">
        <f t="shared" si="45"/>
        <v>3450</v>
      </c>
      <c r="K721" s="266">
        <f>14.88*F721</f>
        <v>2232</v>
      </c>
      <c r="L721" s="237">
        <v>41310</v>
      </c>
      <c r="M721" s="1" t="s">
        <v>5029</v>
      </c>
      <c r="N721" s="235">
        <f t="shared" si="46"/>
        <v>3450</v>
      </c>
      <c r="O721" s="235">
        <f t="shared" si="47"/>
        <v>0</v>
      </c>
      <c r="P721" s="238" t="s">
        <v>3504</v>
      </c>
      <c r="Q721" s="1" t="s">
        <v>2529</v>
      </c>
      <c r="R721" s="239" t="s">
        <v>2097</v>
      </c>
      <c r="S721" s="238" t="s">
        <v>2097</v>
      </c>
      <c r="T721" s="238" t="s">
        <v>2097</v>
      </c>
      <c r="U721" s="238" t="s">
        <v>2097</v>
      </c>
      <c r="V721" s="238" t="s">
        <v>3545</v>
      </c>
      <c r="W721" s="236">
        <v>10700</v>
      </c>
      <c r="X721" s="233">
        <v>41205</v>
      </c>
      <c r="Y721" s="238" t="s">
        <v>3546</v>
      </c>
      <c r="AB721" s="1" t="s">
        <v>2094</v>
      </c>
    </row>
    <row r="722" spans="1:28" ht="11.25" customHeight="1">
      <c r="A722" s="233">
        <v>41178</v>
      </c>
      <c r="B722" s="1" t="s">
        <v>3544</v>
      </c>
      <c r="C722" s="225" t="s">
        <v>2095</v>
      </c>
      <c r="D722" s="1" t="s">
        <v>87</v>
      </c>
      <c r="E722" s="5">
        <v>9032</v>
      </c>
      <c r="F722" s="5">
        <v>150</v>
      </c>
      <c r="G722" s="1" t="s">
        <v>2101</v>
      </c>
      <c r="H722" s="234">
        <v>2.7</v>
      </c>
      <c r="I722" s="236">
        <f t="shared" si="45"/>
        <v>405</v>
      </c>
      <c r="K722" s="266">
        <f>1.4929*F722</f>
        <v>223.93499999999997</v>
      </c>
      <c r="L722" s="237">
        <v>41310</v>
      </c>
      <c r="M722" s="1" t="s">
        <v>5029</v>
      </c>
      <c r="N722" s="235">
        <f t="shared" si="46"/>
        <v>405</v>
      </c>
      <c r="O722" s="235">
        <f t="shared" si="47"/>
        <v>0</v>
      </c>
      <c r="P722" s="238" t="s">
        <v>2097</v>
      </c>
      <c r="Q722" s="1" t="s">
        <v>2529</v>
      </c>
      <c r="R722" s="239" t="s">
        <v>2097</v>
      </c>
      <c r="S722" s="238" t="s">
        <v>2097</v>
      </c>
      <c r="T722" s="238" t="s">
        <v>2097</v>
      </c>
      <c r="U722" s="238" t="s">
        <v>2097</v>
      </c>
      <c r="V722" s="238" t="s">
        <v>3547</v>
      </c>
      <c r="W722" s="236">
        <v>11299.4</v>
      </c>
      <c r="X722" s="233">
        <v>41205</v>
      </c>
      <c r="Y722" s="238" t="s">
        <v>3546</v>
      </c>
      <c r="AB722" s="1" t="s">
        <v>2094</v>
      </c>
    </row>
    <row r="723" spans="1:28" ht="11.25" customHeight="1">
      <c r="A723" s="233">
        <v>41178</v>
      </c>
      <c r="B723" s="1" t="s">
        <v>3544</v>
      </c>
      <c r="C723" s="225" t="s">
        <v>2095</v>
      </c>
      <c r="D723" s="1" t="s">
        <v>1720</v>
      </c>
      <c r="E723" s="5">
        <v>8210</v>
      </c>
      <c r="F723" s="5">
        <v>300</v>
      </c>
      <c r="G723" s="1" t="s">
        <v>2101</v>
      </c>
      <c r="H723" s="234">
        <v>6.9</v>
      </c>
      <c r="I723" s="236">
        <f t="shared" si="45"/>
        <v>2070</v>
      </c>
      <c r="K723" s="266">
        <f>3.63*F723</f>
        <v>1089</v>
      </c>
      <c r="L723" s="237">
        <v>41310</v>
      </c>
      <c r="M723" s="1" t="s">
        <v>5029</v>
      </c>
      <c r="N723" s="235">
        <f t="shared" si="46"/>
        <v>2070</v>
      </c>
      <c r="O723" s="235">
        <f t="shared" si="47"/>
        <v>0</v>
      </c>
      <c r="P723" s="238" t="s">
        <v>2097</v>
      </c>
      <c r="Q723" s="1" t="s">
        <v>2529</v>
      </c>
      <c r="R723" s="239" t="s">
        <v>2097</v>
      </c>
      <c r="S723" s="238" t="s">
        <v>2097</v>
      </c>
      <c r="T723" s="238" t="s">
        <v>2097</v>
      </c>
      <c r="U723" s="238" t="s">
        <v>2097</v>
      </c>
      <c r="V723" s="238" t="s">
        <v>3545</v>
      </c>
      <c r="W723" s="236">
        <v>10700</v>
      </c>
      <c r="X723" s="233">
        <v>41205</v>
      </c>
      <c r="Y723" s="238" t="s">
        <v>3546</v>
      </c>
      <c r="AB723" s="1" t="s">
        <v>2094</v>
      </c>
    </row>
    <row r="724" spans="1:28" ht="11.25" customHeight="1">
      <c r="A724" s="233">
        <v>41178</v>
      </c>
      <c r="B724" s="1" t="s">
        <v>3544</v>
      </c>
      <c r="C724" s="225" t="s">
        <v>2095</v>
      </c>
      <c r="D724" s="1" t="s">
        <v>2024</v>
      </c>
      <c r="E724" s="5">
        <v>10434</v>
      </c>
      <c r="F724" s="5">
        <v>10</v>
      </c>
      <c r="G724" s="1" t="s">
        <v>2420</v>
      </c>
      <c r="H724" s="234">
        <v>23</v>
      </c>
      <c r="I724" s="236">
        <f t="shared" si="45"/>
        <v>230</v>
      </c>
      <c r="K724" s="266">
        <f>14.88*F724</f>
        <v>148.80000000000001</v>
      </c>
      <c r="L724" s="237">
        <v>41310</v>
      </c>
      <c r="M724" s="1" t="s">
        <v>5029</v>
      </c>
      <c r="N724" s="235">
        <f t="shared" si="46"/>
        <v>230</v>
      </c>
      <c r="O724" s="235">
        <f t="shared" si="47"/>
        <v>0</v>
      </c>
      <c r="P724" s="238" t="s">
        <v>2097</v>
      </c>
      <c r="Q724" s="1" t="s">
        <v>2529</v>
      </c>
      <c r="R724" s="239" t="s">
        <v>2097</v>
      </c>
      <c r="S724" s="238" t="s">
        <v>2097</v>
      </c>
      <c r="T724" s="238" t="s">
        <v>2097</v>
      </c>
      <c r="U724" s="238" t="s">
        <v>2097</v>
      </c>
      <c r="V724" s="238" t="s">
        <v>3545</v>
      </c>
      <c r="W724" s="236">
        <v>10700</v>
      </c>
      <c r="X724" s="233">
        <v>41205</v>
      </c>
      <c r="Y724" s="238" t="s">
        <v>3546</v>
      </c>
      <c r="AB724" s="1" t="s">
        <v>2094</v>
      </c>
    </row>
    <row r="725" spans="1:28" ht="11.25" customHeight="1">
      <c r="A725" s="233">
        <v>41178</v>
      </c>
      <c r="B725" s="1" t="s">
        <v>3544</v>
      </c>
      <c r="C725" s="225" t="s">
        <v>2095</v>
      </c>
      <c r="D725" s="95" t="s">
        <v>1042</v>
      </c>
      <c r="E725" s="5">
        <v>52000183617</v>
      </c>
      <c r="F725" s="5">
        <v>10</v>
      </c>
      <c r="G725" s="1" t="s">
        <v>2101</v>
      </c>
      <c r="H725" s="234">
        <v>1650</v>
      </c>
      <c r="I725" s="236">
        <f t="shared" si="45"/>
        <v>16500</v>
      </c>
      <c r="K725" s="266">
        <f>938*F725</f>
        <v>9380</v>
      </c>
      <c r="L725" s="237">
        <v>41310</v>
      </c>
      <c r="M725" s="1" t="s">
        <v>5029</v>
      </c>
      <c r="N725" s="235">
        <f t="shared" si="46"/>
        <v>16500</v>
      </c>
      <c r="O725" s="235">
        <f t="shared" si="47"/>
        <v>0</v>
      </c>
      <c r="P725" s="238" t="s">
        <v>2097</v>
      </c>
      <c r="Q725" s="1" t="s">
        <v>2529</v>
      </c>
      <c r="R725" s="239" t="s">
        <v>2097</v>
      </c>
      <c r="S725" s="238" t="s">
        <v>2097</v>
      </c>
      <c r="T725" s="238" t="s">
        <v>2097</v>
      </c>
      <c r="U725" s="238" t="s">
        <v>2097</v>
      </c>
      <c r="V725" s="238" t="s">
        <v>3548</v>
      </c>
      <c r="W725" s="236" t="s">
        <v>3549</v>
      </c>
      <c r="X725" s="233">
        <v>41205</v>
      </c>
      <c r="Y725" s="238" t="s">
        <v>3546</v>
      </c>
      <c r="AB725" s="1" t="s">
        <v>2094</v>
      </c>
    </row>
    <row r="726" spans="1:28" ht="11.25" customHeight="1">
      <c r="A726" s="233">
        <v>41178</v>
      </c>
      <c r="B726" s="1" t="s">
        <v>3544</v>
      </c>
      <c r="C726" s="225" t="s">
        <v>2095</v>
      </c>
      <c r="D726" s="230" t="s">
        <v>1929</v>
      </c>
      <c r="E726" s="5">
        <v>6800</v>
      </c>
      <c r="F726" s="5">
        <v>11</v>
      </c>
      <c r="G726" s="1" t="s">
        <v>2101</v>
      </c>
      <c r="H726" s="234">
        <v>898</v>
      </c>
      <c r="I726" s="236">
        <f t="shared" si="45"/>
        <v>9878</v>
      </c>
      <c r="K726" s="266">
        <f>420*F726</f>
        <v>4620</v>
      </c>
      <c r="L726" s="237">
        <v>41310</v>
      </c>
      <c r="M726" s="1" t="s">
        <v>5029</v>
      </c>
      <c r="N726" s="235">
        <f t="shared" si="46"/>
        <v>9878</v>
      </c>
      <c r="O726" s="235">
        <f t="shared" si="47"/>
        <v>0</v>
      </c>
      <c r="P726" s="238" t="s">
        <v>2097</v>
      </c>
      <c r="Q726" s="1" t="s">
        <v>2529</v>
      </c>
      <c r="R726" s="239" t="s">
        <v>2097</v>
      </c>
      <c r="S726" s="238" t="s">
        <v>2097</v>
      </c>
      <c r="T726" s="238" t="s">
        <v>2097</v>
      </c>
      <c r="U726" s="238" t="s">
        <v>2097</v>
      </c>
      <c r="V726" s="238" t="s">
        <v>3547</v>
      </c>
      <c r="W726" s="236">
        <v>11299.4</v>
      </c>
      <c r="X726" s="233">
        <v>41205</v>
      </c>
      <c r="Y726" s="238" t="s">
        <v>3546</v>
      </c>
      <c r="AB726" s="1" t="s">
        <v>2094</v>
      </c>
    </row>
    <row r="727" spans="1:28" ht="11.25" customHeight="1">
      <c r="A727" s="233">
        <v>41178</v>
      </c>
      <c r="B727" s="1" t="s">
        <v>3544</v>
      </c>
      <c r="C727" s="225" t="s">
        <v>2095</v>
      </c>
      <c r="D727" s="1" t="s">
        <v>355</v>
      </c>
      <c r="E727" s="5" t="s">
        <v>3550</v>
      </c>
      <c r="F727" s="5">
        <v>22</v>
      </c>
      <c r="G727" s="1" t="s">
        <v>2101</v>
      </c>
      <c r="H727" s="234">
        <v>35</v>
      </c>
      <c r="I727" s="236">
        <f t="shared" si="45"/>
        <v>770</v>
      </c>
      <c r="J727" s="352">
        <v>17</v>
      </c>
      <c r="K727" s="266">
        <f>17*F727</f>
        <v>374</v>
      </c>
      <c r="L727" s="237">
        <v>41310</v>
      </c>
      <c r="M727" s="1" t="s">
        <v>5029</v>
      </c>
      <c r="N727" s="235">
        <f t="shared" si="46"/>
        <v>770</v>
      </c>
      <c r="O727" s="235">
        <f t="shared" si="47"/>
        <v>0</v>
      </c>
      <c r="P727" s="238" t="s">
        <v>2097</v>
      </c>
      <c r="Q727" s="1" t="s">
        <v>2529</v>
      </c>
      <c r="R727" s="239" t="s">
        <v>2097</v>
      </c>
      <c r="S727" s="238" t="s">
        <v>2097</v>
      </c>
      <c r="T727" s="238" t="s">
        <v>2097</v>
      </c>
      <c r="U727" s="238" t="s">
        <v>2097</v>
      </c>
      <c r="V727" s="238" t="s">
        <v>3547</v>
      </c>
      <c r="W727" s="236">
        <v>11299.4</v>
      </c>
      <c r="X727" s="233">
        <v>41205</v>
      </c>
      <c r="Y727" s="238" t="s">
        <v>3546</v>
      </c>
      <c r="AB727" s="1" t="s">
        <v>2094</v>
      </c>
    </row>
    <row r="728" spans="1:28" ht="11.25" customHeight="1">
      <c r="A728" s="233">
        <v>41178</v>
      </c>
      <c r="B728" s="1" t="s">
        <v>3544</v>
      </c>
      <c r="C728" s="225" t="s">
        <v>2095</v>
      </c>
      <c r="D728" s="1" t="s">
        <v>1887</v>
      </c>
      <c r="E728" s="5" t="s">
        <v>3551</v>
      </c>
      <c r="F728" s="5">
        <v>22</v>
      </c>
      <c r="G728" s="1" t="s">
        <v>232</v>
      </c>
      <c r="H728" s="234">
        <v>9.1999999999999993</v>
      </c>
      <c r="I728" s="236">
        <f t="shared" si="45"/>
        <v>202.39999999999998</v>
      </c>
      <c r="K728" s="266">
        <f>4.78*F728</f>
        <v>105.16000000000001</v>
      </c>
      <c r="L728" s="237">
        <v>41310</v>
      </c>
      <c r="M728" s="1" t="s">
        <v>5029</v>
      </c>
      <c r="N728" s="235">
        <f t="shared" si="46"/>
        <v>202.39999999999998</v>
      </c>
      <c r="O728" s="235">
        <f t="shared" si="47"/>
        <v>0</v>
      </c>
      <c r="P728" s="238" t="s">
        <v>2097</v>
      </c>
      <c r="Q728" s="1" t="s">
        <v>2529</v>
      </c>
      <c r="R728" s="239" t="s">
        <v>2097</v>
      </c>
      <c r="S728" s="238" t="s">
        <v>2097</v>
      </c>
      <c r="T728" s="238" t="s">
        <v>2097</v>
      </c>
      <c r="U728" s="238" t="s">
        <v>2097</v>
      </c>
      <c r="V728" s="238" t="s">
        <v>3547</v>
      </c>
      <c r="W728" s="236">
        <v>11299.4</v>
      </c>
      <c r="X728" s="233">
        <v>41205</v>
      </c>
      <c r="Y728" s="238" t="s">
        <v>3546</v>
      </c>
      <c r="AB728" s="1" t="s">
        <v>2094</v>
      </c>
    </row>
    <row r="729" spans="1:28" ht="12" customHeight="1">
      <c r="A729" s="233">
        <v>41178</v>
      </c>
      <c r="B729" s="1" t="s">
        <v>3544</v>
      </c>
      <c r="C729" s="225" t="s">
        <v>2095</v>
      </c>
      <c r="D729" s="1" t="s">
        <v>264</v>
      </c>
      <c r="E729" s="5">
        <v>501</v>
      </c>
      <c r="F729" s="5">
        <v>22</v>
      </c>
      <c r="G729" s="1" t="s">
        <v>2101</v>
      </c>
      <c r="H729" s="234">
        <v>2</v>
      </c>
      <c r="I729" s="236">
        <f t="shared" si="45"/>
        <v>44</v>
      </c>
      <c r="K729" s="266">
        <f>1.39*F729</f>
        <v>30.58</v>
      </c>
      <c r="L729" s="237">
        <v>41310</v>
      </c>
      <c r="M729" s="1" t="s">
        <v>5029</v>
      </c>
      <c r="N729" s="235">
        <f t="shared" si="46"/>
        <v>44</v>
      </c>
      <c r="O729" s="235">
        <f t="shared" si="47"/>
        <v>0</v>
      </c>
      <c r="P729" s="238" t="s">
        <v>2097</v>
      </c>
      <c r="Q729" s="1" t="s">
        <v>2529</v>
      </c>
      <c r="R729" s="239" t="s">
        <v>2097</v>
      </c>
      <c r="S729" s="238" t="s">
        <v>2097</v>
      </c>
      <c r="T729" s="238" t="s">
        <v>2097</v>
      </c>
      <c r="U729" s="238" t="s">
        <v>2097</v>
      </c>
      <c r="V729" s="238" t="s">
        <v>3547</v>
      </c>
      <c r="W729" s="236">
        <v>11299.4</v>
      </c>
      <c r="X729" s="233">
        <v>41205</v>
      </c>
      <c r="Y729" s="238" t="s">
        <v>3546</v>
      </c>
      <c r="Z729" s="255" t="s">
        <v>2573</v>
      </c>
      <c r="AB729" s="1" t="s">
        <v>2094</v>
      </c>
    </row>
    <row r="730" spans="1:28" ht="11.25" customHeight="1">
      <c r="A730" s="233">
        <v>41178</v>
      </c>
      <c r="B730" s="1" t="s">
        <v>3552</v>
      </c>
      <c r="C730" s="225" t="s">
        <v>3553</v>
      </c>
      <c r="D730" s="225" t="s">
        <v>2049</v>
      </c>
      <c r="E730" s="5">
        <v>205515</v>
      </c>
      <c r="F730" s="5">
        <v>6</v>
      </c>
      <c r="G730" s="1" t="s">
        <v>2847</v>
      </c>
      <c r="H730" s="234">
        <v>25</v>
      </c>
      <c r="I730" s="236">
        <f t="shared" si="45"/>
        <v>150</v>
      </c>
      <c r="K730" s="266">
        <f>14.52*F730</f>
        <v>87.12</v>
      </c>
      <c r="L730" s="237">
        <v>41177</v>
      </c>
      <c r="M730" s="1" t="s">
        <v>2349</v>
      </c>
      <c r="N730" s="235">
        <f t="shared" si="46"/>
        <v>150</v>
      </c>
      <c r="O730" s="235">
        <f t="shared" si="47"/>
        <v>0</v>
      </c>
      <c r="P730" s="238" t="s">
        <v>3554</v>
      </c>
      <c r="Q730" s="1" t="s">
        <v>2586</v>
      </c>
      <c r="R730" s="239" t="s">
        <v>3555</v>
      </c>
      <c r="S730" s="238" t="s">
        <v>3556</v>
      </c>
      <c r="T730" s="238" t="s">
        <v>3557</v>
      </c>
      <c r="U730" s="238" t="s">
        <v>3558</v>
      </c>
      <c r="AB730" s="1" t="s">
        <v>2551</v>
      </c>
    </row>
    <row r="731" spans="1:28" ht="11.25" customHeight="1">
      <c r="A731" s="233">
        <v>41178</v>
      </c>
      <c r="B731" s="1" t="s">
        <v>3559</v>
      </c>
      <c r="C731" s="225" t="s">
        <v>2095</v>
      </c>
      <c r="D731" s="1" t="s">
        <v>2043</v>
      </c>
      <c r="E731" s="5" t="s">
        <v>3560</v>
      </c>
      <c r="F731" s="5">
        <v>5</v>
      </c>
      <c r="G731" s="1" t="s">
        <v>3155</v>
      </c>
      <c r="H731" s="234">
        <v>118</v>
      </c>
      <c r="I731" s="236">
        <f t="shared" si="45"/>
        <v>590</v>
      </c>
      <c r="K731" s="266">
        <f>107.64*5</f>
        <v>538.20000000000005</v>
      </c>
      <c r="L731" s="237">
        <v>41178</v>
      </c>
      <c r="M731" s="1" t="s">
        <v>2412</v>
      </c>
      <c r="N731" s="235">
        <f t="shared" si="46"/>
        <v>590</v>
      </c>
      <c r="O731" s="235">
        <f t="shared" si="47"/>
        <v>0</v>
      </c>
      <c r="P731" s="238" t="s">
        <v>3554</v>
      </c>
      <c r="Q731" s="1" t="s">
        <v>2529</v>
      </c>
      <c r="R731" s="239" t="s">
        <v>2097</v>
      </c>
      <c r="S731" s="238" t="s">
        <v>3561</v>
      </c>
      <c r="T731" s="238" t="s">
        <v>3562</v>
      </c>
      <c r="U731" s="238" t="s">
        <v>2097</v>
      </c>
      <c r="V731" s="238" t="s">
        <v>2512</v>
      </c>
      <c r="AB731" s="1" t="s">
        <v>2551</v>
      </c>
    </row>
    <row r="732" spans="1:28" ht="11.25" customHeight="1">
      <c r="A732" s="233">
        <v>41179</v>
      </c>
      <c r="B732" s="1" t="s">
        <v>2970</v>
      </c>
      <c r="C732" s="225" t="s">
        <v>2095</v>
      </c>
      <c r="D732" s="5" t="s">
        <v>2026</v>
      </c>
      <c r="E732" s="5" t="s">
        <v>3465</v>
      </c>
      <c r="F732" s="5">
        <v>3000</v>
      </c>
      <c r="G732" s="1" t="s">
        <v>5002</v>
      </c>
      <c r="H732" s="234">
        <v>1.6</v>
      </c>
      <c r="I732" s="236">
        <f t="shared" si="45"/>
        <v>4800</v>
      </c>
      <c r="J732" s="360">
        <v>1.36</v>
      </c>
      <c r="K732" s="266">
        <f>1.36*F732</f>
        <v>4080.0000000000005</v>
      </c>
      <c r="L732" s="237">
        <v>41178</v>
      </c>
      <c r="M732" s="1" t="s">
        <v>2349</v>
      </c>
      <c r="N732" s="235">
        <f t="shared" si="46"/>
        <v>4800</v>
      </c>
      <c r="O732" s="235">
        <f t="shared" si="47"/>
        <v>0</v>
      </c>
      <c r="P732" s="238" t="s">
        <v>3563</v>
      </c>
      <c r="Q732" s="1" t="s">
        <v>3564</v>
      </c>
      <c r="R732" s="239" t="s">
        <v>3565</v>
      </c>
      <c r="S732" s="238" t="s">
        <v>3566</v>
      </c>
      <c r="T732" s="238" t="s">
        <v>3567</v>
      </c>
      <c r="U732" s="238" t="s">
        <v>3568</v>
      </c>
      <c r="V732" s="238" t="s">
        <v>2512</v>
      </c>
      <c r="AB732" s="1" t="s">
        <v>2551</v>
      </c>
    </row>
    <row r="733" spans="1:28" ht="11.25" customHeight="1">
      <c r="A733" s="233">
        <v>41180</v>
      </c>
      <c r="B733" s="1" t="s">
        <v>2733</v>
      </c>
      <c r="C733" s="1" t="s">
        <v>2095</v>
      </c>
      <c r="D733" s="1" t="s">
        <v>2044</v>
      </c>
      <c r="E733" s="5">
        <v>11329</v>
      </c>
      <c r="F733" s="5">
        <v>2</v>
      </c>
      <c r="G733" s="1" t="s">
        <v>2420</v>
      </c>
      <c r="H733" s="234">
        <v>23.1</v>
      </c>
      <c r="I733" s="236">
        <f t="shared" si="45"/>
        <v>46.2</v>
      </c>
      <c r="K733" s="266">
        <f>22.11*F733</f>
        <v>44.22</v>
      </c>
      <c r="L733" s="237">
        <v>41180</v>
      </c>
      <c r="M733" s="1" t="s">
        <v>2412</v>
      </c>
      <c r="N733" s="235">
        <f t="shared" si="46"/>
        <v>46.2</v>
      </c>
      <c r="O733" s="235">
        <f t="shared" si="47"/>
        <v>0</v>
      </c>
      <c r="P733" s="238" t="s">
        <v>3569</v>
      </c>
      <c r="Q733" s="1" t="s">
        <v>2230</v>
      </c>
      <c r="R733" s="239" t="s">
        <v>2097</v>
      </c>
      <c r="S733" s="238" t="s">
        <v>2097</v>
      </c>
      <c r="T733" s="238" t="s">
        <v>2097</v>
      </c>
      <c r="U733" s="238" t="s">
        <v>2097</v>
      </c>
      <c r="V733" s="238" t="s">
        <v>3570</v>
      </c>
      <c r="W733" s="236">
        <v>4372.8</v>
      </c>
      <c r="X733" s="233">
        <v>41205</v>
      </c>
      <c r="Y733" s="5" t="s">
        <v>2230</v>
      </c>
      <c r="Z733" s="255" t="s">
        <v>2573</v>
      </c>
      <c r="AB733" s="1" t="s">
        <v>2551</v>
      </c>
    </row>
    <row r="734" spans="1:28" ht="11.25" customHeight="1">
      <c r="A734" s="233">
        <v>41180</v>
      </c>
      <c r="B734" s="1" t="s">
        <v>3571</v>
      </c>
      <c r="C734" s="1" t="s">
        <v>2095</v>
      </c>
      <c r="D734" s="1" t="s">
        <v>87</v>
      </c>
      <c r="E734" s="5">
        <v>9032</v>
      </c>
      <c r="F734" s="5">
        <v>500</v>
      </c>
      <c r="G734" s="1" t="s">
        <v>2101</v>
      </c>
      <c r="H734" s="234">
        <v>2.2000000000000002</v>
      </c>
      <c r="I734" s="236">
        <f t="shared" si="45"/>
        <v>1100</v>
      </c>
      <c r="K734" s="266">
        <f>1.4929*F734</f>
        <v>746.44999999999993</v>
      </c>
      <c r="L734" s="237">
        <v>41121</v>
      </c>
      <c r="M734" s="1" t="s">
        <v>2412</v>
      </c>
      <c r="N734" s="235">
        <f t="shared" si="46"/>
        <v>1100</v>
      </c>
      <c r="O734" s="235">
        <f t="shared" si="47"/>
        <v>0</v>
      </c>
      <c r="P734" s="238" t="s">
        <v>3572</v>
      </c>
      <c r="Q734" s="1" t="s">
        <v>2230</v>
      </c>
      <c r="R734" s="239" t="s">
        <v>3573</v>
      </c>
      <c r="S734" s="238" t="s">
        <v>3574</v>
      </c>
      <c r="T734" s="238" t="s">
        <v>3575</v>
      </c>
      <c r="U734" s="238" t="s">
        <v>2097</v>
      </c>
      <c r="V734" s="238" t="s">
        <v>2512</v>
      </c>
      <c r="AB734" s="1" t="s">
        <v>2094</v>
      </c>
    </row>
    <row r="735" spans="1:28" ht="11.25" customHeight="1">
      <c r="A735" s="233">
        <v>41180</v>
      </c>
      <c r="B735" s="1" t="s">
        <v>3571</v>
      </c>
      <c r="C735" s="1" t="s">
        <v>2095</v>
      </c>
      <c r="D735" s="1" t="s">
        <v>70</v>
      </c>
      <c r="E735" s="5">
        <v>1100</v>
      </c>
      <c r="F735" s="5">
        <v>50</v>
      </c>
      <c r="G735" s="1" t="s">
        <v>2420</v>
      </c>
      <c r="H735" s="234">
        <v>0.8</v>
      </c>
      <c r="I735" s="236">
        <f t="shared" si="45"/>
        <v>40</v>
      </c>
      <c r="K735" s="266">
        <f>0.375*F735</f>
        <v>18.75</v>
      </c>
      <c r="L735" s="237">
        <v>41121</v>
      </c>
      <c r="M735" s="1" t="s">
        <v>2412</v>
      </c>
      <c r="N735" s="235">
        <f t="shared" si="46"/>
        <v>40</v>
      </c>
      <c r="O735" s="235">
        <f t="shared" si="47"/>
        <v>0</v>
      </c>
      <c r="P735" s="238" t="s">
        <v>3572</v>
      </c>
      <c r="Q735" s="1" t="s">
        <v>2230</v>
      </c>
      <c r="R735" s="239" t="s">
        <v>3573</v>
      </c>
      <c r="S735" s="238" t="s">
        <v>3574</v>
      </c>
      <c r="T735" s="238" t="s">
        <v>3575</v>
      </c>
      <c r="U735" s="238" t="s">
        <v>2097</v>
      </c>
      <c r="V735" s="238" t="s">
        <v>2512</v>
      </c>
      <c r="Z735" s="255" t="s">
        <v>2573</v>
      </c>
      <c r="AB735" s="1" t="s">
        <v>2094</v>
      </c>
    </row>
    <row r="736" spans="1:28" ht="11.25" customHeight="1">
      <c r="A736" s="233">
        <v>41180</v>
      </c>
      <c r="B736" s="1" t="s">
        <v>3571</v>
      </c>
      <c r="C736" s="1" t="s">
        <v>2095</v>
      </c>
      <c r="D736" s="1" t="s">
        <v>309</v>
      </c>
      <c r="E736" s="5">
        <v>1110</v>
      </c>
      <c r="F736" s="5">
        <v>100</v>
      </c>
      <c r="G736" s="1" t="s">
        <v>2420</v>
      </c>
      <c r="H736" s="234">
        <v>1.2</v>
      </c>
      <c r="I736" s="236">
        <f t="shared" si="45"/>
        <v>120</v>
      </c>
      <c r="K736" s="266">
        <f>0.77*F736</f>
        <v>77</v>
      </c>
      <c r="L736" s="237">
        <v>41121</v>
      </c>
      <c r="M736" s="1" t="s">
        <v>2412</v>
      </c>
      <c r="N736" s="235">
        <f t="shared" si="46"/>
        <v>120</v>
      </c>
      <c r="O736" s="235">
        <f t="shared" si="47"/>
        <v>0</v>
      </c>
      <c r="P736" s="238" t="s">
        <v>3572</v>
      </c>
      <c r="Q736" s="1" t="s">
        <v>2230</v>
      </c>
      <c r="R736" s="239" t="s">
        <v>3573</v>
      </c>
      <c r="S736" s="238" t="s">
        <v>3574</v>
      </c>
      <c r="T736" s="238" t="s">
        <v>3575</v>
      </c>
      <c r="U736" s="238" t="s">
        <v>2097</v>
      </c>
      <c r="V736" s="238" t="s">
        <v>2512</v>
      </c>
      <c r="AB736" s="1" t="s">
        <v>2094</v>
      </c>
    </row>
    <row r="737" spans="1:28" ht="11.25" customHeight="1">
      <c r="A737" s="233">
        <v>41180</v>
      </c>
      <c r="B737" s="1" t="s">
        <v>3571</v>
      </c>
      <c r="C737" s="1" t="s">
        <v>2095</v>
      </c>
      <c r="D737" s="1" t="s">
        <v>306</v>
      </c>
      <c r="E737" s="5">
        <v>1426</v>
      </c>
      <c r="F737" s="5">
        <v>5</v>
      </c>
      <c r="G737" s="5" t="s">
        <v>2420</v>
      </c>
      <c r="H737" s="234">
        <v>29</v>
      </c>
      <c r="I737" s="236">
        <f t="shared" si="45"/>
        <v>145</v>
      </c>
      <c r="K737" s="266">
        <f>19.422*F737</f>
        <v>97.11</v>
      </c>
      <c r="L737" s="237">
        <v>41121</v>
      </c>
      <c r="M737" s="1" t="s">
        <v>2412</v>
      </c>
      <c r="N737" s="235">
        <f t="shared" si="46"/>
        <v>145</v>
      </c>
      <c r="O737" s="235">
        <f t="shared" si="47"/>
        <v>0</v>
      </c>
      <c r="P737" s="238" t="s">
        <v>3572</v>
      </c>
      <c r="Q737" s="1" t="s">
        <v>2230</v>
      </c>
      <c r="R737" s="239" t="s">
        <v>3573</v>
      </c>
      <c r="S737" s="238" t="s">
        <v>3574</v>
      </c>
      <c r="T737" s="238" t="s">
        <v>3575</v>
      </c>
      <c r="U737" s="238" t="s">
        <v>2097</v>
      </c>
      <c r="V737" s="238" t="s">
        <v>2512</v>
      </c>
      <c r="AB737" s="1" t="s">
        <v>2094</v>
      </c>
    </row>
    <row r="738" spans="1:28" ht="11.25" customHeight="1">
      <c r="A738" s="233">
        <v>41180</v>
      </c>
      <c r="B738" s="1" t="s">
        <v>3571</v>
      </c>
      <c r="C738" s="1" t="s">
        <v>2095</v>
      </c>
      <c r="D738" s="1" t="s">
        <v>1884</v>
      </c>
      <c r="E738" s="5">
        <v>8247</v>
      </c>
      <c r="F738" s="5">
        <v>10</v>
      </c>
      <c r="G738" s="1" t="s">
        <v>2514</v>
      </c>
      <c r="H738" s="234">
        <v>19</v>
      </c>
      <c r="I738" s="236">
        <f t="shared" si="45"/>
        <v>190</v>
      </c>
      <c r="K738" s="241">
        <f>12.35*F738</f>
        <v>123.5</v>
      </c>
      <c r="L738" s="237">
        <v>41121</v>
      </c>
      <c r="M738" s="1" t="s">
        <v>2412</v>
      </c>
      <c r="N738" s="235">
        <f t="shared" si="46"/>
        <v>190</v>
      </c>
      <c r="O738" s="235">
        <f t="shared" si="47"/>
        <v>0</v>
      </c>
      <c r="P738" s="238" t="s">
        <v>3572</v>
      </c>
      <c r="Q738" s="1" t="s">
        <v>2230</v>
      </c>
      <c r="R738" s="239" t="s">
        <v>3573</v>
      </c>
      <c r="S738" s="238" t="s">
        <v>3574</v>
      </c>
      <c r="T738" s="238" t="s">
        <v>3575</v>
      </c>
      <c r="U738" s="238" t="s">
        <v>2097</v>
      </c>
      <c r="V738" s="238" t="s">
        <v>2512</v>
      </c>
      <c r="Z738" s="255" t="s">
        <v>2573</v>
      </c>
      <c r="AB738" s="1" t="s">
        <v>2094</v>
      </c>
    </row>
    <row r="739" spans="1:28" ht="11.25" customHeight="1">
      <c r="A739" s="233">
        <v>41180</v>
      </c>
      <c r="B739" s="1" t="s">
        <v>3571</v>
      </c>
      <c r="C739" s="1" t="s">
        <v>2095</v>
      </c>
      <c r="D739" s="1" t="s">
        <v>843</v>
      </c>
      <c r="E739" s="5">
        <v>10197</v>
      </c>
      <c r="F739" s="5">
        <v>1</v>
      </c>
      <c r="G739" s="1" t="s">
        <v>2420</v>
      </c>
      <c r="H739" s="234">
        <v>55</v>
      </c>
      <c r="I739" s="236">
        <f t="shared" si="45"/>
        <v>55</v>
      </c>
      <c r="K739" s="266">
        <f>39.078*F739</f>
        <v>39.078000000000003</v>
      </c>
      <c r="L739" s="237">
        <v>41121</v>
      </c>
      <c r="M739" s="1" t="s">
        <v>2412</v>
      </c>
      <c r="N739" s="235">
        <f t="shared" si="46"/>
        <v>55</v>
      </c>
      <c r="O739" s="235">
        <f t="shared" si="47"/>
        <v>0</v>
      </c>
      <c r="P739" s="238" t="s">
        <v>3576</v>
      </c>
      <c r="Q739" s="1" t="s">
        <v>2230</v>
      </c>
      <c r="R739" s="239" t="s">
        <v>3573</v>
      </c>
      <c r="S739" s="238" t="s">
        <v>3574</v>
      </c>
      <c r="T739" s="238" t="s">
        <v>3575</v>
      </c>
      <c r="U739" s="238" t="s">
        <v>2097</v>
      </c>
      <c r="V739" s="238" t="s">
        <v>2512</v>
      </c>
      <c r="AB739" s="1" t="s">
        <v>2094</v>
      </c>
    </row>
    <row r="740" spans="1:28" ht="11.25" customHeight="1">
      <c r="A740" s="233">
        <v>41180</v>
      </c>
      <c r="B740" s="1" t="s">
        <v>3571</v>
      </c>
      <c r="C740" s="1" t="s">
        <v>2095</v>
      </c>
      <c r="D740" s="1" t="s">
        <v>820</v>
      </c>
      <c r="E740" s="5">
        <v>8512</v>
      </c>
      <c r="F740" s="5">
        <v>1</v>
      </c>
      <c r="G740" s="1" t="s">
        <v>2514</v>
      </c>
      <c r="H740" s="234">
        <v>60</v>
      </c>
      <c r="I740" s="236">
        <f t="shared" si="45"/>
        <v>60</v>
      </c>
      <c r="K740" s="266">
        <f>46.66*F740</f>
        <v>46.66</v>
      </c>
      <c r="L740" s="237">
        <v>41121</v>
      </c>
      <c r="M740" s="1" t="s">
        <v>2412</v>
      </c>
      <c r="N740" s="235">
        <f t="shared" si="46"/>
        <v>60</v>
      </c>
      <c r="O740" s="235">
        <f t="shared" si="47"/>
        <v>0</v>
      </c>
      <c r="P740" s="238" t="s">
        <v>3576</v>
      </c>
      <c r="Q740" s="1" t="s">
        <v>2230</v>
      </c>
      <c r="R740" s="239" t="s">
        <v>3573</v>
      </c>
      <c r="S740" s="238" t="s">
        <v>3574</v>
      </c>
      <c r="T740" s="238" t="s">
        <v>3575</v>
      </c>
      <c r="U740" s="238" t="s">
        <v>2097</v>
      </c>
      <c r="V740" s="238" t="s">
        <v>2512</v>
      </c>
      <c r="Z740" s="255" t="s">
        <v>2573</v>
      </c>
      <c r="AB740" s="1" t="s">
        <v>2094</v>
      </c>
    </row>
    <row r="741" spans="1:28" ht="11.25" customHeight="1">
      <c r="A741" s="233">
        <v>41180</v>
      </c>
      <c r="B741" s="1" t="s">
        <v>3571</v>
      </c>
      <c r="C741" s="1" t="s">
        <v>2095</v>
      </c>
      <c r="D741" s="1" t="s">
        <v>1947</v>
      </c>
      <c r="E741" s="5">
        <v>1110</v>
      </c>
      <c r="F741" s="5">
        <v>100</v>
      </c>
      <c r="G741" s="1" t="s">
        <v>2420</v>
      </c>
      <c r="H741" s="234">
        <v>1.2</v>
      </c>
      <c r="I741" s="236">
        <f t="shared" si="45"/>
        <v>120</v>
      </c>
      <c r="K741" s="266">
        <f>0.77*F741</f>
        <v>77</v>
      </c>
      <c r="L741" s="237">
        <v>41121</v>
      </c>
      <c r="M741" s="1" t="s">
        <v>2412</v>
      </c>
      <c r="N741" s="235">
        <f t="shared" si="46"/>
        <v>120</v>
      </c>
      <c r="O741" s="235">
        <f t="shared" si="47"/>
        <v>0</v>
      </c>
      <c r="P741" s="238" t="s">
        <v>3576</v>
      </c>
      <c r="Q741" s="1" t="s">
        <v>2230</v>
      </c>
      <c r="R741" s="239" t="s">
        <v>3573</v>
      </c>
      <c r="S741" s="238" t="s">
        <v>3574</v>
      </c>
      <c r="T741" s="238" t="s">
        <v>3575</v>
      </c>
      <c r="U741" s="238" t="s">
        <v>2097</v>
      </c>
      <c r="V741" s="238" t="s">
        <v>2512</v>
      </c>
      <c r="AB741" s="1" t="s">
        <v>2094</v>
      </c>
    </row>
    <row r="742" spans="1:28" ht="11.25" customHeight="1">
      <c r="A742" s="233">
        <v>41180</v>
      </c>
      <c r="B742" s="1" t="s">
        <v>3459</v>
      </c>
      <c r="C742" s="1" t="s">
        <v>2095</v>
      </c>
      <c r="D742" s="1" t="s">
        <v>1219</v>
      </c>
      <c r="E742" s="5" t="s">
        <v>3577</v>
      </c>
      <c r="F742" s="5">
        <v>200</v>
      </c>
      <c r="G742" s="1" t="s">
        <v>2420</v>
      </c>
      <c r="H742" s="234">
        <v>20</v>
      </c>
      <c r="I742" s="236">
        <f t="shared" si="45"/>
        <v>4000</v>
      </c>
      <c r="K742" s="274">
        <f>13*F742</f>
        <v>2600</v>
      </c>
      <c r="L742" s="237">
        <v>41180</v>
      </c>
      <c r="M742" s="1" t="s">
        <v>2349</v>
      </c>
      <c r="N742" s="235">
        <f t="shared" si="46"/>
        <v>4000</v>
      </c>
      <c r="O742" s="235">
        <f t="shared" si="47"/>
        <v>0</v>
      </c>
      <c r="P742" s="238" t="s">
        <v>3578</v>
      </c>
      <c r="Q742" s="1" t="s">
        <v>2584</v>
      </c>
      <c r="R742" s="239" t="s">
        <v>3461</v>
      </c>
      <c r="S742" s="238" t="s">
        <v>3579</v>
      </c>
      <c r="T742" s="238" t="s">
        <v>3580</v>
      </c>
      <c r="U742" s="238" t="s">
        <v>3581</v>
      </c>
      <c r="V742" s="238" t="s">
        <v>2512</v>
      </c>
      <c r="AB742" s="1" t="s">
        <v>2551</v>
      </c>
    </row>
    <row r="743" spans="1:28" ht="11.25" customHeight="1">
      <c r="A743" s="233">
        <v>41190</v>
      </c>
      <c r="B743" s="1" t="s">
        <v>2186</v>
      </c>
      <c r="C743" s="1" t="s">
        <v>2095</v>
      </c>
      <c r="D743" s="1" t="s">
        <v>307</v>
      </c>
      <c r="E743" s="5">
        <v>1270</v>
      </c>
      <c r="F743" s="5">
        <v>300</v>
      </c>
      <c r="G743" s="1" t="s">
        <v>2420</v>
      </c>
      <c r="H743" s="234">
        <v>4.4400000000000004</v>
      </c>
      <c r="I743" s="236">
        <f t="shared" si="45"/>
        <v>1332.0000000000002</v>
      </c>
      <c r="K743" s="266">
        <f>4.31*300</f>
        <v>1292.9999999999998</v>
      </c>
      <c r="L743" s="237">
        <v>41227</v>
      </c>
      <c r="M743" s="1" t="s">
        <v>2092</v>
      </c>
      <c r="N743" s="235">
        <f t="shared" si="46"/>
        <v>1332.0000000000002</v>
      </c>
      <c r="O743" s="235">
        <f t="shared" si="47"/>
        <v>0</v>
      </c>
      <c r="P743" s="238" t="s">
        <v>2097</v>
      </c>
      <c r="Q743" s="1" t="s">
        <v>2599</v>
      </c>
      <c r="R743" s="239" t="s">
        <v>2642</v>
      </c>
      <c r="S743" s="238" t="s">
        <v>2643</v>
      </c>
      <c r="T743" s="238" t="s">
        <v>2724</v>
      </c>
      <c r="U743" s="238" t="s">
        <v>3582</v>
      </c>
      <c r="V743" s="238" t="s">
        <v>3427</v>
      </c>
      <c r="W743" s="236">
        <v>8966.2000000000007</v>
      </c>
      <c r="X743" s="233">
        <v>41200</v>
      </c>
      <c r="Y743" s="238" t="s">
        <v>3188</v>
      </c>
      <c r="AB743" s="1" t="s">
        <v>2551</v>
      </c>
    </row>
    <row r="744" spans="1:28" ht="11.25" customHeight="1">
      <c r="A744" s="233">
        <v>41190</v>
      </c>
      <c r="B744" s="1" t="s">
        <v>3583</v>
      </c>
      <c r="C744" s="1" t="s">
        <v>2095</v>
      </c>
      <c r="D744" s="1" t="s">
        <v>309</v>
      </c>
      <c r="E744" s="5">
        <v>1110</v>
      </c>
      <c r="F744" s="5">
        <v>500</v>
      </c>
      <c r="G744" s="1" t="s">
        <v>2420</v>
      </c>
      <c r="H744" s="234">
        <v>0.82</v>
      </c>
      <c r="I744" s="235">
        <f t="shared" si="45"/>
        <v>410</v>
      </c>
      <c r="K744" s="266">
        <f>0.73*F744</f>
        <v>365</v>
      </c>
      <c r="L744" s="237">
        <v>41190</v>
      </c>
      <c r="M744" s="1" t="s">
        <v>2349</v>
      </c>
      <c r="N744" s="235">
        <f t="shared" si="46"/>
        <v>410</v>
      </c>
      <c r="O744" s="235">
        <f t="shared" si="47"/>
        <v>0</v>
      </c>
      <c r="P744" s="238" t="s">
        <v>3584</v>
      </c>
      <c r="Q744" s="1" t="s">
        <v>3585</v>
      </c>
      <c r="R744" s="239" t="s">
        <v>3586</v>
      </c>
      <c r="S744" s="238" t="s">
        <v>3587</v>
      </c>
      <c r="U744" s="238" t="s">
        <v>3588</v>
      </c>
      <c r="V744" s="238" t="s">
        <v>2512</v>
      </c>
      <c r="AB744" s="1" t="s">
        <v>2551</v>
      </c>
    </row>
    <row r="745" spans="1:28" ht="11.25" customHeight="1">
      <c r="A745" s="233">
        <v>41191</v>
      </c>
      <c r="B745" s="1" t="s">
        <v>3496</v>
      </c>
      <c r="C745" s="1" t="s">
        <v>2095</v>
      </c>
      <c r="D745" s="5" t="s">
        <v>2029</v>
      </c>
      <c r="E745" s="5">
        <v>7502</v>
      </c>
      <c r="F745" s="5">
        <v>10</v>
      </c>
      <c r="G745" s="1" t="s">
        <v>2101</v>
      </c>
      <c r="H745" s="234">
        <v>158</v>
      </c>
      <c r="I745" s="236">
        <f t="shared" si="45"/>
        <v>1580</v>
      </c>
      <c r="J745" s="352">
        <v>105</v>
      </c>
      <c r="K745" s="266">
        <f>105*F745</f>
        <v>1050</v>
      </c>
      <c r="L745" s="237">
        <v>41243</v>
      </c>
      <c r="M745" s="1" t="s">
        <v>2092</v>
      </c>
      <c r="N745" s="235">
        <f t="shared" si="46"/>
        <v>1580</v>
      </c>
      <c r="O745" s="235">
        <f t="shared" si="47"/>
        <v>0</v>
      </c>
      <c r="P745" s="238" t="s">
        <v>3589</v>
      </c>
      <c r="Q745" s="1" t="s">
        <v>2230</v>
      </c>
      <c r="R745" s="239" t="s">
        <v>3498</v>
      </c>
      <c r="S745" s="238" t="s">
        <v>3590</v>
      </c>
      <c r="T745" s="238" t="s">
        <v>2416</v>
      </c>
      <c r="U745" s="238" t="s">
        <v>2097</v>
      </c>
      <c r="V745" s="238" t="s">
        <v>3500</v>
      </c>
      <c r="W745" s="236">
        <v>5859</v>
      </c>
      <c r="X745" s="233">
        <v>41201</v>
      </c>
      <c r="Y745" s="238" t="s">
        <v>3501</v>
      </c>
      <c r="AB745" s="1" t="s">
        <v>2094</v>
      </c>
    </row>
    <row r="746" spans="1:28" ht="11.25" customHeight="1">
      <c r="A746" s="233">
        <v>41191</v>
      </c>
      <c r="B746" s="1" t="s">
        <v>3496</v>
      </c>
      <c r="C746" s="1" t="s">
        <v>2095</v>
      </c>
      <c r="D746" s="1" t="s">
        <v>1895</v>
      </c>
      <c r="E746" s="5" t="s">
        <v>3550</v>
      </c>
      <c r="F746" s="5">
        <v>20</v>
      </c>
      <c r="G746" s="1" t="s">
        <v>2101</v>
      </c>
      <c r="H746" s="234">
        <v>28.5</v>
      </c>
      <c r="I746" s="236">
        <f t="shared" si="45"/>
        <v>570</v>
      </c>
      <c r="J746" s="352">
        <v>17</v>
      </c>
      <c r="K746" s="266">
        <f>17*20</f>
        <v>340</v>
      </c>
      <c r="L746" s="237">
        <v>41243</v>
      </c>
      <c r="M746" s="1" t="s">
        <v>2092</v>
      </c>
      <c r="N746" s="235">
        <f t="shared" si="46"/>
        <v>570</v>
      </c>
      <c r="O746" s="235">
        <f t="shared" si="47"/>
        <v>0</v>
      </c>
      <c r="P746" s="238" t="s">
        <v>3589</v>
      </c>
      <c r="Q746" s="1" t="s">
        <v>2230</v>
      </c>
      <c r="R746" s="239" t="s">
        <v>3498</v>
      </c>
      <c r="S746" s="238" t="s">
        <v>3590</v>
      </c>
      <c r="T746" s="238" t="s">
        <v>2416</v>
      </c>
      <c r="U746" s="238" t="s">
        <v>2097</v>
      </c>
      <c r="V746" s="238" t="s">
        <v>3500</v>
      </c>
      <c r="W746" s="236">
        <v>5859</v>
      </c>
      <c r="X746" s="233">
        <v>41201</v>
      </c>
      <c r="Y746" s="238" t="s">
        <v>3501</v>
      </c>
      <c r="Z746" s="255" t="s">
        <v>3591</v>
      </c>
      <c r="AB746" s="1" t="s">
        <v>2094</v>
      </c>
    </row>
    <row r="747" spans="1:28" ht="11.25" customHeight="1">
      <c r="A747" s="233">
        <v>41191</v>
      </c>
      <c r="B747" s="1" t="s">
        <v>3496</v>
      </c>
      <c r="C747" s="1" t="s">
        <v>2095</v>
      </c>
      <c r="D747" s="1" t="s">
        <v>264</v>
      </c>
      <c r="E747" s="5">
        <v>501</v>
      </c>
      <c r="F747" s="5">
        <v>20</v>
      </c>
      <c r="G747" s="1" t="s">
        <v>2101</v>
      </c>
      <c r="H747" s="234">
        <v>2</v>
      </c>
      <c r="I747" s="236">
        <f t="shared" si="45"/>
        <v>40</v>
      </c>
      <c r="K747" s="266">
        <f>1.39*F747</f>
        <v>27.799999999999997</v>
      </c>
      <c r="L747" s="237">
        <v>41243</v>
      </c>
      <c r="M747" s="1" t="s">
        <v>2092</v>
      </c>
      <c r="N747" s="235">
        <f t="shared" si="46"/>
        <v>40</v>
      </c>
      <c r="O747" s="235">
        <f t="shared" si="47"/>
        <v>0</v>
      </c>
      <c r="P747" s="238" t="s">
        <v>3589</v>
      </c>
      <c r="Q747" s="1" t="s">
        <v>2230</v>
      </c>
      <c r="R747" s="239" t="s">
        <v>3498</v>
      </c>
      <c r="S747" s="238" t="s">
        <v>3590</v>
      </c>
      <c r="T747" s="238" t="s">
        <v>2416</v>
      </c>
      <c r="U747" s="238" t="s">
        <v>2097</v>
      </c>
      <c r="V747" s="238" t="s">
        <v>3500</v>
      </c>
      <c r="W747" s="236">
        <v>5859</v>
      </c>
      <c r="X747" s="233">
        <v>41201</v>
      </c>
      <c r="Y747" s="238" t="s">
        <v>3501</v>
      </c>
      <c r="Z747" s="255" t="s">
        <v>3591</v>
      </c>
      <c r="AB747" s="1" t="s">
        <v>2094</v>
      </c>
    </row>
    <row r="748" spans="1:28" ht="11.25" customHeight="1">
      <c r="A748" s="233">
        <v>41191</v>
      </c>
      <c r="B748" s="1" t="s">
        <v>3496</v>
      </c>
      <c r="C748" s="1" t="s">
        <v>2095</v>
      </c>
      <c r="D748" s="1" t="s">
        <v>1216</v>
      </c>
      <c r="E748" s="5">
        <v>3200</v>
      </c>
      <c r="F748" s="5">
        <v>20</v>
      </c>
      <c r="G748" s="1" t="s">
        <v>2101</v>
      </c>
      <c r="H748" s="234">
        <v>43.5</v>
      </c>
      <c r="I748" s="236">
        <f t="shared" si="45"/>
        <v>870</v>
      </c>
      <c r="K748" s="266">
        <f>23.94*F748</f>
        <v>478.8</v>
      </c>
      <c r="L748" s="237">
        <v>41243</v>
      </c>
      <c r="M748" s="1" t="s">
        <v>2092</v>
      </c>
      <c r="N748" s="235">
        <f t="shared" si="46"/>
        <v>870</v>
      </c>
      <c r="O748" s="235">
        <f t="shared" si="47"/>
        <v>0</v>
      </c>
      <c r="P748" s="238" t="s">
        <v>3589</v>
      </c>
      <c r="Q748" s="1" t="s">
        <v>2230</v>
      </c>
      <c r="R748" s="239" t="s">
        <v>3498</v>
      </c>
      <c r="S748" s="238" t="s">
        <v>3590</v>
      </c>
      <c r="T748" s="238" t="s">
        <v>2416</v>
      </c>
      <c r="U748" s="238" t="s">
        <v>2097</v>
      </c>
      <c r="V748" s="238" t="s">
        <v>3500</v>
      </c>
      <c r="W748" s="236">
        <v>5859</v>
      </c>
      <c r="X748" s="233">
        <v>41201</v>
      </c>
      <c r="Y748" s="238" t="s">
        <v>3501</v>
      </c>
      <c r="AB748" s="1" t="s">
        <v>2094</v>
      </c>
    </row>
    <row r="749" spans="1:28" ht="11.25" customHeight="1">
      <c r="A749" s="233">
        <v>41191</v>
      </c>
      <c r="B749" s="1" t="s">
        <v>3496</v>
      </c>
      <c r="C749" s="1" t="s">
        <v>2095</v>
      </c>
      <c r="D749" s="1" t="s">
        <v>348</v>
      </c>
      <c r="E749" s="5">
        <v>3700</v>
      </c>
      <c r="F749" s="5">
        <v>20</v>
      </c>
      <c r="G749" s="1" t="s">
        <v>2101</v>
      </c>
      <c r="H749" s="234">
        <v>5.7</v>
      </c>
      <c r="I749" s="236">
        <f t="shared" si="45"/>
        <v>114</v>
      </c>
      <c r="J749" s="352">
        <v>3.3</v>
      </c>
      <c r="K749" s="266">
        <f>3.3*F749</f>
        <v>66</v>
      </c>
      <c r="L749" s="237">
        <v>41243</v>
      </c>
      <c r="M749" s="1" t="s">
        <v>2092</v>
      </c>
      <c r="N749" s="235">
        <f t="shared" si="46"/>
        <v>114</v>
      </c>
      <c r="O749" s="235">
        <f t="shared" si="47"/>
        <v>0</v>
      </c>
      <c r="P749" s="238" t="s">
        <v>3589</v>
      </c>
      <c r="Q749" s="1" t="s">
        <v>2230</v>
      </c>
      <c r="R749" s="239" t="s">
        <v>3498</v>
      </c>
      <c r="S749" s="238" t="s">
        <v>3590</v>
      </c>
      <c r="T749" s="238" t="s">
        <v>2416</v>
      </c>
      <c r="U749" s="238" t="s">
        <v>2097</v>
      </c>
      <c r="V749" s="238" t="s">
        <v>3500</v>
      </c>
      <c r="W749" s="236">
        <v>5859</v>
      </c>
      <c r="X749" s="233">
        <v>41201</v>
      </c>
      <c r="Y749" s="238" t="s">
        <v>3501</v>
      </c>
      <c r="AB749" s="1" t="s">
        <v>2094</v>
      </c>
    </row>
    <row r="750" spans="1:28" ht="11.25" customHeight="1">
      <c r="A750" s="233">
        <v>41191</v>
      </c>
      <c r="B750" s="1" t="s">
        <v>3496</v>
      </c>
      <c r="C750" s="1" t="s">
        <v>2095</v>
      </c>
      <c r="D750" s="1" t="s">
        <v>233</v>
      </c>
      <c r="E750" s="5" t="s">
        <v>3592</v>
      </c>
      <c r="F750" s="5">
        <v>20</v>
      </c>
      <c r="G750" s="1" t="s">
        <v>2514</v>
      </c>
      <c r="H750" s="234">
        <v>2.8</v>
      </c>
      <c r="I750" s="236">
        <f t="shared" si="45"/>
        <v>56</v>
      </c>
      <c r="J750" s="359">
        <v>1.7</v>
      </c>
      <c r="K750" s="266">
        <f>1.7*F750</f>
        <v>34</v>
      </c>
      <c r="L750" s="237">
        <v>41243</v>
      </c>
      <c r="M750" s="1" t="s">
        <v>2092</v>
      </c>
      <c r="N750" s="235">
        <f t="shared" si="46"/>
        <v>56</v>
      </c>
      <c r="O750" s="235">
        <f t="shared" si="47"/>
        <v>0</v>
      </c>
      <c r="P750" s="238" t="s">
        <v>3589</v>
      </c>
      <c r="Q750" s="1" t="s">
        <v>2230</v>
      </c>
      <c r="R750" s="239" t="s">
        <v>3498</v>
      </c>
      <c r="S750" s="238" t="s">
        <v>3590</v>
      </c>
      <c r="T750" s="238" t="s">
        <v>2416</v>
      </c>
      <c r="U750" s="238" t="s">
        <v>2097</v>
      </c>
      <c r="V750" s="238" t="s">
        <v>3500</v>
      </c>
      <c r="W750" s="236">
        <v>5859</v>
      </c>
      <c r="X750" s="233">
        <v>41201</v>
      </c>
      <c r="Y750" s="238" t="s">
        <v>3501</v>
      </c>
      <c r="AB750" s="1" t="s">
        <v>2094</v>
      </c>
    </row>
    <row r="751" spans="1:28" ht="11.25" customHeight="1">
      <c r="A751" s="233">
        <v>41191</v>
      </c>
      <c r="B751" s="1" t="s">
        <v>3496</v>
      </c>
      <c r="C751" s="1" t="s">
        <v>2095</v>
      </c>
      <c r="D751" s="1" t="s">
        <v>2044</v>
      </c>
      <c r="E751" s="5">
        <v>11329</v>
      </c>
      <c r="F751" s="5">
        <v>6</v>
      </c>
      <c r="G751" s="1" t="s">
        <v>2420</v>
      </c>
      <c r="H751" s="234">
        <v>19</v>
      </c>
      <c r="I751" s="236">
        <f t="shared" si="45"/>
        <v>114</v>
      </c>
      <c r="K751" s="266">
        <f>5.94*F751</f>
        <v>35.64</v>
      </c>
      <c r="L751" s="237">
        <v>41243</v>
      </c>
      <c r="M751" s="1" t="s">
        <v>2092</v>
      </c>
      <c r="N751" s="235">
        <f t="shared" si="46"/>
        <v>114</v>
      </c>
      <c r="O751" s="235">
        <f t="shared" si="47"/>
        <v>0</v>
      </c>
      <c r="P751" s="238" t="s">
        <v>3589</v>
      </c>
      <c r="Q751" s="1" t="s">
        <v>2230</v>
      </c>
      <c r="R751" s="239" t="s">
        <v>3498</v>
      </c>
      <c r="S751" s="238" t="s">
        <v>3590</v>
      </c>
      <c r="T751" s="238" t="s">
        <v>2416</v>
      </c>
      <c r="U751" s="239" t="s">
        <v>2097</v>
      </c>
      <c r="V751" s="238" t="s">
        <v>3500</v>
      </c>
      <c r="W751" s="236">
        <v>5859</v>
      </c>
      <c r="X751" s="233">
        <v>41201</v>
      </c>
      <c r="Y751" s="238" t="s">
        <v>3501</v>
      </c>
      <c r="AB751" s="1" t="s">
        <v>2094</v>
      </c>
    </row>
    <row r="752" spans="1:28" s="5" customFormat="1" ht="11.25" customHeight="1">
      <c r="A752" s="233">
        <v>41191</v>
      </c>
      <c r="B752" s="1" t="s">
        <v>3401</v>
      </c>
      <c r="C752" s="276" t="s">
        <v>2095</v>
      </c>
      <c r="D752" s="1" t="s">
        <v>1219</v>
      </c>
      <c r="E752" s="5" t="s">
        <v>3577</v>
      </c>
      <c r="F752" s="5">
        <v>200</v>
      </c>
      <c r="G752" s="1" t="s">
        <v>2420</v>
      </c>
      <c r="H752" s="234">
        <v>21</v>
      </c>
      <c r="I752" s="235">
        <f t="shared" si="45"/>
        <v>4200</v>
      </c>
      <c r="J752" s="352"/>
      <c r="K752" s="274">
        <f>13*F752</f>
        <v>2600</v>
      </c>
      <c r="L752" s="237">
        <v>41191</v>
      </c>
      <c r="M752" s="1" t="s">
        <v>2092</v>
      </c>
      <c r="N752" s="235">
        <f t="shared" si="46"/>
        <v>4200</v>
      </c>
      <c r="O752" s="235">
        <f t="shared" si="47"/>
        <v>0</v>
      </c>
      <c r="P752" s="238" t="s">
        <v>3593</v>
      </c>
      <c r="Q752" s="1" t="s">
        <v>2535</v>
      </c>
      <c r="R752" s="239" t="s">
        <v>3594</v>
      </c>
      <c r="S752" s="238" t="s">
        <v>3509</v>
      </c>
      <c r="T752" s="238" t="s">
        <v>3595</v>
      </c>
      <c r="U752" s="238" t="s">
        <v>3596</v>
      </c>
      <c r="V752" s="238" t="s">
        <v>3512</v>
      </c>
      <c r="W752" s="236">
        <v>4752</v>
      </c>
      <c r="X752" s="233">
        <v>41219</v>
      </c>
      <c r="Y752" s="238" t="s">
        <v>3513</v>
      </c>
      <c r="Z752" s="255"/>
      <c r="AA752" s="240"/>
      <c r="AB752" s="1" t="s">
        <v>2551</v>
      </c>
    </row>
    <row r="753" spans="1:28" s="5" customFormat="1" ht="11.25" customHeight="1">
      <c r="A753" s="7">
        <v>41191</v>
      </c>
      <c r="B753" s="5" t="s">
        <v>3597</v>
      </c>
      <c r="C753" s="277" t="s">
        <v>3598</v>
      </c>
      <c r="D753" s="5" t="s">
        <v>857</v>
      </c>
      <c r="E753" s="5">
        <v>9031</v>
      </c>
      <c r="F753" s="5">
        <v>500</v>
      </c>
      <c r="G753" s="232" t="s">
        <v>2101</v>
      </c>
      <c r="H753" s="243">
        <v>2.4</v>
      </c>
      <c r="I753" s="235">
        <f t="shared" si="45"/>
        <v>1200</v>
      </c>
      <c r="J753" s="361"/>
      <c r="K753" s="266">
        <f>1.49292*F753</f>
        <v>746.46</v>
      </c>
      <c r="L753" s="245">
        <v>41192</v>
      </c>
      <c r="M753" s="5" t="s">
        <v>2092</v>
      </c>
      <c r="N753" s="235">
        <f t="shared" si="46"/>
        <v>1200</v>
      </c>
      <c r="O753" s="235">
        <f t="shared" si="47"/>
        <v>0</v>
      </c>
      <c r="P753" s="246" t="s">
        <v>3599</v>
      </c>
      <c r="Q753" s="5" t="s">
        <v>3600</v>
      </c>
      <c r="R753" s="247" t="s">
        <v>3601</v>
      </c>
      <c r="S753" s="246" t="s">
        <v>3602</v>
      </c>
      <c r="T753" s="246"/>
      <c r="U753" s="246" t="s">
        <v>3603</v>
      </c>
      <c r="V753" s="246" t="s">
        <v>3604</v>
      </c>
      <c r="W753" s="235">
        <v>1970</v>
      </c>
      <c r="X753" s="7">
        <v>41201</v>
      </c>
      <c r="Y753" s="246" t="s">
        <v>3605</v>
      </c>
      <c r="Z753" s="273"/>
      <c r="AA753" s="248"/>
      <c r="AB753" s="5" t="s">
        <v>2094</v>
      </c>
    </row>
    <row r="754" spans="1:28" s="5" customFormat="1" ht="11.25" customHeight="1">
      <c r="A754" s="7">
        <v>41191</v>
      </c>
      <c r="B754" s="5" t="s">
        <v>3597</v>
      </c>
      <c r="C754" s="277" t="s">
        <v>3598</v>
      </c>
      <c r="D754" s="1" t="s">
        <v>2027</v>
      </c>
      <c r="E754" s="5" t="s">
        <v>3163</v>
      </c>
      <c r="F754" s="5">
        <v>5</v>
      </c>
      <c r="G754" s="5" t="s">
        <v>3155</v>
      </c>
      <c r="H754" s="243">
        <v>52</v>
      </c>
      <c r="I754" s="235">
        <f t="shared" si="45"/>
        <v>260</v>
      </c>
      <c r="J754" s="361"/>
      <c r="K754" s="266">
        <f>33.11*F754</f>
        <v>165.55</v>
      </c>
      <c r="L754" s="245">
        <v>41192</v>
      </c>
      <c r="M754" s="5" t="s">
        <v>2092</v>
      </c>
      <c r="N754" s="235">
        <f t="shared" si="46"/>
        <v>260</v>
      </c>
      <c r="O754" s="235">
        <f t="shared" si="47"/>
        <v>0</v>
      </c>
      <c r="P754" s="246" t="s">
        <v>3599</v>
      </c>
      <c r="Q754" s="5" t="s">
        <v>3600</v>
      </c>
      <c r="R754" s="247" t="s">
        <v>3601</v>
      </c>
      <c r="S754" s="246" t="s">
        <v>3602</v>
      </c>
      <c r="T754" s="246"/>
      <c r="U754" s="246" t="s">
        <v>3603</v>
      </c>
      <c r="V754" s="246" t="s">
        <v>3604</v>
      </c>
      <c r="W754" s="235">
        <v>1970</v>
      </c>
      <c r="X754" s="7">
        <v>41201</v>
      </c>
      <c r="Y754" s="246" t="s">
        <v>3605</v>
      </c>
      <c r="Z754" s="273"/>
      <c r="AA754" s="248"/>
      <c r="AB754" s="5" t="s">
        <v>2094</v>
      </c>
    </row>
    <row r="755" spans="1:28" s="5" customFormat="1" ht="11.25" customHeight="1">
      <c r="A755" s="7">
        <v>41191</v>
      </c>
      <c r="B755" s="5" t="s">
        <v>3597</v>
      </c>
      <c r="C755" s="277" t="s">
        <v>3598</v>
      </c>
      <c r="D755" s="1" t="s">
        <v>2024</v>
      </c>
      <c r="E755" s="5">
        <v>10434</v>
      </c>
      <c r="F755" s="5">
        <v>10</v>
      </c>
      <c r="G755" s="5" t="s">
        <v>2420</v>
      </c>
      <c r="H755" s="243">
        <v>23</v>
      </c>
      <c r="I755" s="235">
        <f t="shared" si="45"/>
        <v>230</v>
      </c>
      <c r="J755" s="361"/>
      <c r="K755" s="266">
        <f>14.88*F755</f>
        <v>148.80000000000001</v>
      </c>
      <c r="L755" s="245">
        <v>41192</v>
      </c>
      <c r="M755" s="5" t="s">
        <v>2092</v>
      </c>
      <c r="N755" s="235">
        <f t="shared" si="46"/>
        <v>230</v>
      </c>
      <c r="O755" s="235">
        <f t="shared" si="47"/>
        <v>0</v>
      </c>
      <c r="P755" s="246" t="s">
        <v>3599</v>
      </c>
      <c r="Q755" s="5" t="s">
        <v>3600</v>
      </c>
      <c r="R755" s="247" t="s">
        <v>3601</v>
      </c>
      <c r="S755" s="246" t="s">
        <v>3602</v>
      </c>
      <c r="T755" s="246"/>
      <c r="U755" s="246" t="s">
        <v>3603</v>
      </c>
      <c r="V755" s="246" t="s">
        <v>3604</v>
      </c>
      <c r="W755" s="235">
        <v>1970</v>
      </c>
      <c r="X755" s="7">
        <v>41201</v>
      </c>
      <c r="Y755" s="246" t="s">
        <v>3605</v>
      </c>
      <c r="Z755" s="273"/>
      <c r="AA755" s="248"/>
      <c r="AB755" s="5" t="s">
        <v>2094</v>
      </c>
    </row>
    <row r="756" spans="1:28" s="5" customFormat="1" ht="11.25" customHeight="1">
      <c r="A756" s="7">
        <v>41191</v>
      </c>
      <c r="B756" s="5" t="s">
        <v>3597</v>
      </c>
      <c r="C756" s="277" t="s">
        <v>3598</v>
      </c>
      <c r="D756" s="1" t="s">
        <v>683</v>
      </c>
      <c r="E756" s="5" t="s">
        <v>2831</v>
      </c>
      <c r="F756" s="5">
        <v>20</v>
      </c>
      <c r="G756" s="5" t="s">
        <v>2420</v>
      </c>
      <c r="H756" s="243">
        <v>5</v>
      </c>
      <c r="I756" s="235">
        <f t="shared" si="45"/>
        <v>100</v>
      </c>
      <c r="J756" s="361">
        <v>3.31</v>
      </c>
      <c r="K756" s="266">
        <f>3.31*F756</f>
        <v>66.2</v>
      </c>
      <c r="L756" s="245">
        <v>41192</v>
      </c>
      <c r="M756" s="5" t="s">
        <v>2092</v>
      </c>
      <c r="N756" s="235">
        <f t="shared" si="46"/>
        <v>100</v>
      </c>
      <c r="O756" s="235">
        <f t="shared" si="47"/>
        <v>0</v>
      </c>
      <c r="P756" s="246" t="s">
        <v>3599</v>
      </c>
      <c r="Q756" s="5" t="s">
        <v>3600</v>
      </c>
      <c r="R756" s="247" t="s">
        <v>3601</v>
      </c>
      <c r="S756" s="246" t="s">
        <v>3602</v>
      </c>
      <c r="T756" s="246"/>
      <c r="U756" s="246" t="s">
        <v>3603</v>
      </c>
      <c r="V756" s="246" t="s">
        <v>3604</v>
      </c>
      <c r="W756" s="235">
        <v>1970</v>
      </c>
      <c r="X756" s="7">
        <v>41201</v>
      </c>
      <c r="Y756" s="246" t="s">
        <v>3605</v>
      </c>
      <c r="Z756" s="273" t="s">
        <v>2573</v>
      </c>
      <c r="AA756" s="248"/>
      <c r="AB756" s="5" t="s">
        <v>2094</v>
      </c>
    </row>
    <row r="757" spans="1:28" s="5" customFormat="1" ht="11.25" customHeight="1">
      <c r="A757" s="7">
        <v>41191</v>
      </c>
      <c r="B757" s="5" t="s">
        <v>3597</v>
      </c>
      <c r="C757" s="277" t="s">
        <v>3598</v>
      </c>
      <c r="D757" s="5" t="s">
        <v>2050</v>
      </c>
      <c r="E757" s="5" t="s">
        <v>3606</v>
      </c>
      <c r="F757" s="5">
        <v>10</v>
      </c>
      <c r="G757" s="5" t="s">
        <v>2420</v>
      </c>
      <c r="H757" s="243">
        <v>18</v>
      </c>
      <c r="I757" s="235">
        <f t="shared" si="45"/>
        <v>180</v>
      </c>
      <c r="J757" s="361"/>
      <c r="K757" s="266">
        <f>13*F757</f>
        <v>130</v>
      </c>
      <c r="L757" s="245">
        <v>41192</v>
      </c>
      <c r="M757" s="5" t="s">
        <v>2092</v>
      </c>
      <c r="N757" s="235">
        <f t="shared" si="46"/>
        <v>180</v>
      </c>
      <c r="O757" s="235">
        <f t="shared" si="47"/>
        <v>0</v>
      </c>
      <c r="P757" s="246" t="s">
        <v>3599</v>
      </c>
      <c r="Q757" s="5" t="s">
        <v>3600</v>
      </c>
      <c r="R757" s="247" t="s">
        <v>3601</v>
      </c>
      <c r="S757" s="246" t="s">
        <v>3602</v>
      </c>
      <c r="T757" s="246"/>
      <c r="U757" s="246" t="s">
        <v>3603</v>
      </c>
      <c r="V757" s="246" t="s">
        <v>3604</v>
      </c>
      <c r="W757" s="235">
        <v>1970</v>
      </c>
      <c r="X757" s="7">
        <v>41201</v>
      </c>
      <c r="Y757" s="246" t="s">
        <v>3605</v>
      </c>
      <c r="Z757" s="273"/>
      <c r="AA757" s="248"/>
      <c r="AB757" s="5" t="s">
        <v>2094</v>
      </c>
    </row>
    <row r="758" spans="1:28" s="5" customFormat="1" ht="11.25" customHeight="1">
      <c r="A758" s="7">
        <v>41191</v>
      </c>
      <c r="B758" s="5" t="s">
        <v>3607</v>
      </c>
      <c r="C758" s="277" t="s">
        <v>3598</v>
      </c>
      <c r="D758" s="5" t="s">
        <v>247</v>
      </c>
      <c r="E758" s="5">
        <v>4515</v>
      </c>
      <c r="F758" s="5">
        <v>4</v>
      </c>
      <c r="G758" s="5" t="s">
        <v>2553</v>
      </c>
      <c r="H758" s="243">
        <v>26</v>
      </c>
      <c r="I758" s="235">
        <f t="shared" si="45"/>
        <v>104</v>
      </c>
      <c r="J758" s="361"/>
      <c r="K758" s="266">
        <f>13*F758</f>
        <v>52</v>
      </c>
      <c r="L758" s="245">
        <v>41204</v>
      </c>
      <c r="M758" s="1" t="s">
        <v>2092</v>
      </c>
      <c r="N758" s="235">
        <f t="shared" si="46"/>
        <v>104</v>
      </c>
      <c r="O758" s="235">
        <f t="shared" si="47"/>
        <v>0</v>
      </c>
      <c r="P758" s="246" t="s">
        <v>3608</v>
      </c>
      <c r="Q758" s="5" t="s">
        <v>3600</v>
      </c>
      <c r="R758" s="247" t="s">
        <v>3609</v>
      </c>
      <c r="S758" s="246" t="s">
        <v>3610</v>
      </c>
      <c r="T758" s="238" t="s">
        <v>5550</v>
      </c>
      <c r="U758" s="246" t="s">
        <v>3611</v>
      </c>
      <c r="V758" s="246" t="s">
        <v>3612</v>
      </c>
      <c r="W758" s="235">
        <v>3968</v>
      </c>
      <c r="X758" s="7">
        <v>41199</v>
      </c>
      <c r="Y758" s="246" t="s">
        <v>3613</v>
      </c>
      <c r="Z758" s="273"/>
      <c r="AA758" s="248"/>
      <c r="AB758" s="5" t="s">
        <v>2094</v>
      </c>
    </row>
    <row r="759" spans="1:28" s="5" customFormat="1" ht="11.25" customHeight="1">
      <c r="A759" s="7">
        <v>41191</v>
      </c>
      <c r="B759" s="5" t="s">
        <v>3607</v>
      </c>
      <c r="C759" s="277" t="s">
        <v>3598</v>
      </c>
      <c r="D759" s="5" t="s">
        <v>247</v>
      </c>
      <c r="E759" s="5">
        <v>4510</v>
      </c>
      <c r="F759" s="5">
        <v>14</v>
      </c>
      <c r="G759" s="5" t="s">
        <v>2553</v>
      </c>
      <c r="H759" s="243">
        <v>26</v>
      </c>
      <c r="I759" s="235">
        <f t="shared" si="45"/>
        <v>364</v>
      </c>
      <c r="J759" s="361"/>
      <c r="K759" s="266">
        <f>17.55*14</f>
        <v>245.70000000000002</v>
      </c>
      <c r="L759" s="245">
        <v>41204</v>
      </c>
      <c r="M759" s="1" t="s">
        <v>2092</v>
      </c>
      <c r="N759" s="235">
        <f t="shared" si="46"/>
        <v>364</v>
      </c>
      <c r="O759" s="235">
        <f t="shared" si="47"/>
        <v>0</v>
      </c>
      <c r="P759" s="246" t="s">
        <v>3608</v>
      </c>
      <c r="Q759" s="5" t="s">
        <v>3600</v>
      </c>
      <c r="R759" s="247" t="s">
        <v>3609</v>
      </c>
      <c r="S759" s="246" t="s">
        <v>3610</v>
      </c>
      <c r="T759" s="238" t="s">
        <v>5550</v>
      </c>
      <c r="U759" s="246" t="s">
        <v>3611</v>
      </c>
      <c r="V759" s="246" t="s">
        <v>3612</v>
      </c>
      <c r="W759" s="235">
        <v>3968</v>
      </c>
      <c r="X759" s="7">
        <v>41199</v>
      </c>
      <c r="Y759" s="246" t="s">
        <v>3613</v>
      </c>
      <c r="Z759" s="273"/>
      <c r="AA759" s="248"/>
      <c r="AB759" s="5" t="s">
        <v>2094</v>
      </c>
    </row>
    <row r="760" spans="1:28" s="5" customFormat="1" ht="11.25" customHeight="1">
      <c r="A760" s="7">
        <v>41191</v>
      </c>
      <c r="B760" s="5" t="s">
        <v>3607</v>
      </c>
      <c r="C760" s="277" t="s">
        <v>3598</v>
      </c>
      <c r="D760" s="5" t="s">
        <v>2051</v>
      </c>
      <c r="E760" s="5">
        <v>4510</v>
      </c>
      <c r="F760" s="5">
        <v>2</v>
      </c>
      <c r="G760" s="5" t="s">
        <v>2553</v>
      </c>
      <c r="H760" s="243">
        <v>26</v>
      </c>
      <c r="I760" s="235">
        <f t="shared" si="45"/>
        <v>52</v>
      </c>
      <c r="J760" s="361"/>
      <c r="K760" s="266">
        <f>17.55*2</f>
        <v>35.1</v>
      </c>
      <c r="L760" s="245">
        <v>41204</v>
      </c>
      <c r="M760" s="1" t="s">
        <v>2092</v>
      </c>
      <c r="N760" s="235">
        <f t="shared" si="46"/>
        <v>52</v>
      </c>
      <c r="O760" s="235">
        <f t="shared" si="47"/>
        <v>0</v>
      </c>
      <c r="P760" s="246" t="s">
        <v>3608</v>
      </c>
      <c r="Q760" s="5" t="s">
        <v>3600</v>
      </c>
      <c r="R760" s="247" t="s">
        <v>3609</v>
      </c>
      <c r="S760" s="246" t="s">
        <v>3610</v>
      </c>
      <c r="T760" s="238" t="s">
        <v>5550</v>
      </c>
      <c r="U760" s="246" t="s">
        <v>3611</v>
      </c>
      <c r="V760" s="246" t="s">
        <v>3612</v>
      </c>
      <c r="W760" s="235">
        <v>3968</v>
      </c>
      <c r="X760" s="7">
        <v>41199</v>
      </c>
      <c r="Y760" s="246" t="s">
        <v>3613</v>
      </c>
      <c r="Z760" s="273"/>
      <c r="AA760" s="248"/>
      <c r="AB760" s="5" t="s">
        <v>2094</v>
      </c>
    </row>
    <row r="761" spans="1:28" s="5" customFormat="1" ht="11.25" customHeight="1">
      <c r="A761" s="7">
        <v>41191</v>
      </c>
      <c r="B761" s="5" t="s">
        <v>3607</v>
      </c>
      <c r="C761" s="277" t="s">
        <v>3598</v>
      </c>
      <c r="D761" s="5" t="s">
        <v>857</v>
      </c>
      <c r="E761" s="5">
        <v>9031</v>
      </c>
      <c r="F761" s="5">
        <v>100</v>
      </c>
      <c r="G761" s="232" t="s">
        <v>2101</v>
      </c>
      <c r="H761" s="243">
        <v>2.4</v>
      </c>
      <c r="I761" s="235">
        <f t="shared" si="45"/>
        <v>240</v>
      </c>
      <c r="J761" s="361"/>
      <c r="K761" s="266">
        <f>1.49292*F761</f>
        <v>149.292</v>
      </c>
      <c r="L761" s="245">
        <v>41204</v>
      </c>
      <c r="M761" s="1" t="s">
        <v>2092</v>
      </c>
      <c r="N761" s="235">
        <f t="shared" si="46"/>
        <v>240</v>
      </c>
      <c r="O761" s="235">
        <f t="shared" si="47"/>
        <v>0</v>
      </c>
      <c r="P761" s="246" t="s">
        <v>3608</v>
      </c>
      <c r="Q761" s="5" t="s">
        <v>3600</v>
      </c>
      <c r="R761" s="247" t="s">
        <v>3609</v>
      </c>
      <c r="S761" s="246" t="s">
        <v>3610</v>
      </c>
      <c r="T761" s="238" t="s">
        <v>5550</v>
      </c>
      <c r="U761" s="246" t="s">
        <v>3611</v>
      </c>
      <c r="V761" s="246" t="s">
        <v>3612</v>
      </c>
      <c r="W761" s="235">
        <v>3968</v>
      </c>
      <c r="X761" s="7">
        <v>41199</v>
      </c>
      <c r="Y761" s="246" t="s">
        <v>3613</v>
      </c>
      <c r="Z761" s="273"/>
      <c r="AA761" s="248"/>
      <c r="AB761" s="5" t="s">
        <v>2094</v>
      </c>
    </row>
    <row r="762" spans="1:28" s="5" customFormat="1" ht="11.25" customHeight="1">
      <c r="A762" s="7">
        <v>41191</v>
      </c>
      <c r="B762" s="5" t="s">
        <v>3607</v>
      </c>
      <c r="C762" s="277" t="s">
        <v>3598</v>
      </c>
      <c r="D762" s="1" t="s">
        <v>87</v>
      </c>
      <c r="E762" s="5">
        <v>9032</v>
      </c>
      <c r="F762" s="5">
        <v>100</v>
      </c>
      <c r="G762" s="1" t="s">
        <v>2101</v>
      </c>
      <c r="H762" s="243">
        <v>2.4</v>
      </c>
      <c r="I762" s="235">
        <f t="shared" si="45"/>
        <v>240</v>
      </c>
      <c r="J762" s="361"/>
      <c r="K762" s="266">
        <f>1.4929*F762</f>
        <v>149.29</v>
      </c>
      <c r="L762" s="245">
        <v>41204</v>
      </c>
      <c r="M762" s="1" t="s">
        <v>2092</v>
      </c>
      <c r="N762" s="235">
        <f t="shared" si="46"/>
        <v>240</v>
      </c>
      <c r="O762" s="235">
        <f t="shared" si="47"/>
        <v>0</v>
      </c>
      <c r="P762" s="246" t="s">
        <v>3608</v>
      </c>
      <c r="Q762" s="5" t="s">
        <v>3600</v>
      </c>
      <c r="R762" s="247" t="s">
        <v>3609</v>
      </c>
      <c r="S762" s="246" t="s">
        <v>3610</v>
      </c>
      <c r="T762" s="238" t="s">
        <v>5550</v>
      </c>
      <c r="U762" s="246" t="s">
        <v>3611</v>
      </c>
      <c r="V762" s="246" t="s">
        <v>3612</v>
      </c>
      <c r="W762" s="235">
        <v>3968</v>
      </c>
      <c r="X762" s="7">
        <v>41199</v>
      </c>
      <c r="Y762" s="246" t="s">
        <v>3613</v>
      </c>
      <c r="Z762" s="273"/>
      <c r="AA762" s="248"/>
      <c r="AB762" s="5" t="s">
        <v>2094</v>
      </c>
    </row>
    <row r="763" spans="1:28" s="5" customFormat="1" ht="12" customHeight="1">
      <c r="A763" s="7">
        <v>41191</v>
      </c>
      <c r="B763" s="5" t="s">
        <v>3607</v>
      </c>
      <c r="C763" s="277" t="s">
        <v>3598</v>
      </c>
      <c r="D763" s="1" t="s">
        <v>1219</v>
      </c>
      <c r="E763" s="5" t="s">
        <v>2533</v>
      </c>
      <c r="F763" s="5">
        <v>20</v>
      </c>
      <c r="G763" s="5" t="s">
        <v>2420</v>
      </c>
      <c r="H763" s="243">
        <v>21</v>
      </c>
      <c r="I763" s="235">
        <f t="shared" si="45"/>
        <v>420</v>
      </c>
      <c r="J763" s="361"/>
      <c r="K763" s="274">
        <f>13*F763</f>
        <v>260</v>
      </c>
      <c r="L763" s="245">
        <v>41204</v>
      </c>
      <c r="M763" s="1" t="s">
        <v>2092</v>
      </c>
      <c r="N763" s="235">
        <f t="shared" si="46"/>
        <v>420</v>
      </c>
      <c r="O763" s="235">
        <f t="shared" si="47"/>
        <v>0</v>
      </c>
      <c r="P763" s="246" t="s">
        <v>3608</v>
      </c>
      <c r="Q763" s="5" t="s">
        <v>3600</v>
      </c>
      <c r="R763" s="247" t="s">
        <v>3609</v>
      </c>
      <c r="S763" s="246" t="s">
        <v>3610</v>
      </c>
      <c r="T763" s="238" t="s">
        <v>5550</v>
      </c>
      <c r="U763" s="246" t="s">
        <v>3611</v>
      </c>
      <c r="V763" s="246" t="s">
        <v>3612</v>
      </c>
      <c r="W763" s="235">
        <v>3968</v>
      </c>
      <c r="X763" s="7">
        <v>41199</v>
      </c>
      <c r="Y763" s="246" t="s">
        <v>3613</v>
      </c>
      <c r="Z763" s="273"/>
      <c r="AA763" s="248"/>
      <c r="AB763" s="5" t="s">
        <v>2094</v>
      </c>
    </row>
    <row r="764" spans="1:28" s="5" customFormat="1" ht="11.25" customHeight="1">
      <c r="A764" s="7">
        <v>41191</v>
      </c>
      <c r="B764" s="5" t="s">
        <v>3607</v>
      </c>
      <c r="C764" s="1" t="s">
        <v>2845</v>
      </c>
      <c r="D764" s="95" t="s">
        <v>5040</v>
      </c>
      <c r="E764" s="5" t="s">
        <v>3614</v>
      </c>
      <c r="F764" s="5">
        <v>50</v>
      </c>
      <c r="G764" s="1" t="s">
        <v>2847</v>
      </c>
      <c r="H764" s="243">
        <v>16</v>
      </c>
      <c r="I764" s="235">
        <f t="shared" si="45"/>
        <v>800</v>
      </c>
      <c r="J764" s="361"/>
      <c r="K764" s="266">
        <f>10*50</f>
        <v>500</v>
      </c>
      <c r="L764" s="245">
        <v>41204</v>
      </c>
      <c r="M764" s="1" t="s">
        <v>2092</v>
      </c>
      <c r="N764" s="235">
        <f t="shared" si="46"/>
        <v>800</v>
      </c>
      <c r="O764" s="235">
        <f t="shared" si="47"/>
        <v>0</v>
      </c>
      <c r="P764" s="246" t="s">
        <v>3608</v>
      </c>
      <c r="Q764" s="5" t="s">
        <v>3600</v>
      </c>
      <c r="R764" s="247" t="s">
        <v>3609</v>
      </c>
      <c r="S764" s="246" t="s">
        <v>3610</v>
      </c>
      <c r="T764" s="238" t="s">
        <v>5550</v>
      </c>
      <c r="U764" s="246" t="s">
        <v>3611</v>
      </c>
      <c r="V764" s="246" t="s">
        <v>3612</v>
      </c>
      <c r="W764" s="235">
        <v>3968</v>
      </c>
      <c r="X764" s="7">
        <v>41199</v>
      </c>
      <c r="Y764" s="246" t="s">
        <v>3613</v>
      </c>
      <c r="Z764" s="273"/>
      <c r="AA764" s="248"/>
      <c r="AB764" s="5" t="s">
        <v>2094</v>
      </c>
    </row>
    <row r="765" spans="1:28" s="5" customFormat="1" ht="11.25" customHeight="1">
      <c r="A765" s="7">
        <v>41191</v>
      </c>
      <c r="B765" s="5" t="s">
        <v>3607</v>
      </c>
      <c r="C765" s="277" t="s">
        <v>3598</v>
      </c>
      <c r="D765" s="1" t="s">
        <v>1216</v>
      </c>
      <c r="E765" s="5">
        <v>3200</v>
      </c>
      <c r="F765" s="5">
        <v>10</v>
      </c>
      <c r="G765" s="5" t="s">
        <v>2101</v>
      </c>
      <c r="H765" s="243">
        <v>43</v>
      </c>
      <c r="I765" s="235">
        <f t="shared" si="45"/>
        <v>430</v>
      </c>
      <c r="J765" s="361"/>
      <c r="K765" s="266">
        <f>23.94*10</f>
        <v>239.4</v>
      </c>
      <c r="L765" s="245">
        <v>41204</v>
      </c>
      <c r="M765" s="1" t="s">
        <v>2092</v>
      </c>
      <c r="N765" s="235">
        <f t="shared" si="46"/>
        <v>430</v>
      </c>
      <c r="O765" s="235">
        <f t="shared" si="47"/>
        <v>0</v>
      </c>
      <c r="P765" s="246" t="s">
        <v>3608</v>
      </c>
      <c r="Q765" s="5" t="s">
        <v>3600</v>
      </c>
      <c r="R765" s="247" t="s">
        <v>3609</v>
      </c>
      <c r="S765" s="246" t="s">
        <v>3610</v>
      </c>
      <c r="T765" s="238" t="s">
        <v>5550</v>
      </c>
      <c r="U765" s="246" t="s">
        <v>3611</v>
      </c>
      <c r="V765" s="246" t="s">
        <v>3612</v>
      </c>
      <c r="W765" s="235">
        <v>3968</v>
      </c>
      <c r="X765" s="7">
        <v>41199</v>
      </c>
      <c r="Y765" s="246" t="s">
        <v>3613</v>
      </c>
      <c r="Z765" s="273"/>
      <c r="AA765" s="248"/>
      <c r="AB765" s="5" t="s">
        <v>2094</v>
      </c>
    </row>
    <row r="766" spans="1:28" ht="12" customHeight="1">
      <c r="A766" s="7">
        <v>41191</v>
      </c>
      <c r="B766" s="5" t="s">
        <v>3607</v>
      </c>
      <c r="C766" s="277" t="s">
        <v>3598</v>
      </c>
      <c r="D766" s="5" t="s">
        <v>1227</v>
      </c>
      <c r="E766" s="1" t="s">
        <v>2649</v>
      </c>
      <c r="F766" s="5">
        <v>10</v>
      </c>
      <c r="G766" s="5" t="s">
        <v>2101</v>
      </c>
      <c r="H766" s="243">
        <v>52</v>
      </c>
      <c r="I766" s="235">
        <f t="shared" si="45"/>
        <v>520</v>
      </c>
      <c r="J766" s="361"/>
      <c r="K766" s="266">
        <f>36*10</f>
        <v>360</v>
      </c>
      <c r="L766" s="245">
        <v>41204</v>
      </c>
      <c r="M766" s="1" t="s">
        <v>2092</v>
      </c>
      <c r="N766" s="235">
        <f t="shared" si="46"/>
        <v>520</v>
      </c>
      <c r="O766" s="235">
        <f t="shared" si="47"/>
        <v>0</v>
      </c>
      <c r="P766" s="246" t="s">
        <v>3608</v>
      </c>
      <c r="Q766" s="5" t="s">
        <v>3600</v>
      </c>
      <c r="R766" s="247" t="s">
        <v>3609</v>
      </c>
      <c r="S766" s="246" t="s">
        <v>3610</v>
      </c>
      <c r="T766" s="238" t="s">
        <v>5550</v>
      </c>
      <c r="U766" s="246" t="s">
        <v>3611</v>
      </c>
      <c r="V766" s="246" t="s">
        <v>3612</v>
      </c>
      <c r="W766" s="235">
        <v>3968</v>
      </c>
      <c r="X766" s="7">
        <v>41199</v>
      </c>
      <c r="Y766" s="246" t="s">
        <v>3613</v>
      </c>
      <c r="Z766" s="273"/>
      <c r="AA766" s="248"/>
      <c r="AB766" s="5" t="s">
        <v>2094</v>
      </c>
    </row>
    <row r="767" spans="1:28" ht="12" customHeight="1">
      <c r="A767" s="233">
        <v>41192</v>
      </c>
      <c r="B767" s="228" t="s">
        <v>2673</v>
      </c>
      <c r="C767" s="276" t="s">
        <v>2095</v>
      </c>
      <c r="D767" s="1" t="s">
        <v>1216</v>
      </c>
      <c r="E767" s="5">
        <v>3200</v>
      </c>
      <c r="F767" s="5">
        <v>35</v>
      </c>
      <c r="G767" s="225" t="s">
        <v>2101</v>
      </c>
      <c r="H767" s="234">
        <v>27</v>
      </c>
      <c r="I767" s="235">
        <f t="shared" si="45"/>
        <v>945</v>
      </c>
      <c r="K767" s="266">
        <f>23.94*F767</f>
        <v>837.90000000000009</v>
      </c>
      <c r="L767" s="237">
        <v>41192</v>
      </c>
      <c r="M767" s="1" t="s">
        <v>2092</v>
      </c>
      <c r="N767" s="235">
        <f t="shared" si="46"/>
        <v>945</v>
      </c>
      <c r="O767" s="235">
        <f t="shared" si="47"/>
        <v>0</v>
      </c>
      <c r="P767" s="238" t="s">
        <v>3615</v>
      </c>
      <c r="Q767" s="1" t="s">
        <v>1875</v>
      </c>
      <c r="R767" s="239" t="s">
        <v>3174</v>
      </c>
      <c r="S767" s="238" t="s">
        <v>3175</v>
      </c>
      <c r="T767" s="238" t="s">
        <v>2097</v>
      </c>
      <c r="U767" s="238" t="s">
        <v>2097</v>
      </c>
      <c r="V767" s="238" t="s">
        <v>3539</v>
      </c>
      <c r="W767" s="236">
        <v>6244.3</v>
      </c>
      <c r="X767" s="233">
        <v>41205</v>
      </c>
      <c r="Y767" s="238" t="s">
        <v>2097</v>
      </c>
      <c r="AB767" s="1" t="s">
        <v>2551</v>
      </c>
    </row>
    <row r="768" spans="1:28" ht="12" customHeight="1">
      <c r="A768" s="233">
        <v>41192</v>
      </c>
      <c r="B768" s="228" t="s">
        <v>2673</v>
      </c>
      <c r="C768" s="276" t="s">
        <v>2095</v>
      </c>
      <c r="D768" s="1" t="s">
        <v>348</v>
      </c>
      <c r="E768" s="5">
        <v>3700</v>
      </c>
      <c r="F768" s="5">
        <v>37</v>
      </c>
      <c r="G768" s="1" t="s">
        <v>2101</v>
      </c>
      <c r="H768" s="234">
        <v>3.41</v>
      </c>
      <c r="I768" s="235">
        <f t="shared" si="45"/>
        <v>126.17</v>
      </c>
      <c r="J768" s="352">
        <v>3.09</v>
      </c>
      <c r="K768" s="266">
        <f>3.09*37</f>
        <v>114.33</v>
      </c>
      <c r="L768" s="237">
        <v>41192</v>
      </c>
      <c r="M768" s="1" t="s">
        <v>2092</v>
      </c>
      <c r="N768" s="235">
        <f t="shared" si="46"/>
        <v>126.17</v>
      </c>
      <c r="O768" s="235">
        <f t="shared" si="47"/>
        <v>0</v>
      </c>
      <c r="P768" s="238" t="s">
        <v>3615</v>
      </c>
      <c r="Q768" s="1" t="s">
        <v>1875</v>
      </c>
      <c r="R768" s="239" t="s">
        <v>3174</v>
      </c>
      <c r="S768" s="238" t="s">
        <v>3175</v>
      </c>
      <c r="T768" s="238" t="s">
        <v>2097</v>
      </c>
      <c r="U768" s="238" t="s">
        <v>2097</v>
      </c>
      <c r="V768" s="238" t="s">
        <v>3539</v>
      </c>
      <c r="W768" s="236">
        <v>6244.3</v>
      </c>
      <c r="X768" s="233">
        <v>41205</v>
      </c>
      <c r="Y768" s="238" t="s">
        <v>2097</v>
      </c>
      <c r="AB768" s="1" t="s">
        <v>2551</v>
      </c>
    </row>
    <row r="769" spans="1:28" ht="12" customHeight="1">
      <c r="A769" s="233">
        <v>41192</v>
      </c>
      <c r="B769" s="228" t="s">
        <v>2673</v>
      </c>
      <c r="C769" s="276" t="s">
        <v>2095</v>
      </c>
      <c r="D769" s="1" t="s">
        <v>2028</v>
      </c>
      <c r="E769" s="5" t="s">
        <v>2822</v>
      </c>
      <c r="F769" s="5">
        <v>113</v>
      </c>
      <c r="G769" s="1" t="s">
        <v>2420</v>
      </c>
      <c r="H769" s="234">
        <v>14.95</v>
      </c>
      <c r="I769" s="235">
        <f t="shared" si="45"/>
        <v>1689.35</v>
      </c>
      <c r="K769" s="266">
        <f>14.49*113</f>
        <v>1637.3700000000001</v>
      </c>
      <c r="L769" s="237">
        <v>41192</v>
      </c>
      <c r="M769" s="1" t="s">
        <v>2092</v>
      </c>
      <c r="N769" s="235">
        <f t="shared" si="46"/>
        <v>1689.35</v>
      </c>
      <c r="O769" s="235">
        <f t="shared" si="47"/>
        <v>0</v>
      </c>
      <c r="P769" s="238" t="s">
        <v>3615</v>
      </c>
      <c r="Q769" s="1" t="s">
        <v>1875</v>
      </c>
      <c r="R769" s="239" t="s">
        <v>3174</v>
      </c>
      <c r="S769" s="238" t="s">
        <v>3175</v>
      </c>
      <c r="T769" s="238" t="s">
        <v>2097</v>
      </c>
      <c r="U769" s="238" t="s">
        <v>2097</v>
      </c>
      <c r="V769" s="238" t="s">
        <v>3539</v>
      </c>
      <c r="W769" s="236">
        <v>6244.3</v>
      </c>
      <c r="X769" s="233">
        <v>41205</v>
      </c>
      <c r="Y769" s="238" t="s">
        <v>2097</v>
      </c>
      <c r="AB769" s="1" t="s">
        <v>2551</v>
      </c>
    </row>
    <row r="770" spans="1:28" ht="11.25" customHeight="1">
      <c r="A770" s="233">
        <v>41192</v>
      </c>
      <c r="B770" s="228" t="s">
        <v>2673</v>
      </c>
      <c r="C770" s="276" t="s">
        <v>2095</v>
      </c>
      <c r="D770" s="1" t="s">
        <v>355</v>
      </c>
      <c r="E770" s="5" t="s">
        <v>3616</v>
      </c>
      <c r="F770" s="5">
        <v>8</v>
      </c>
      <c r="G770" s="1" t="s">
        <v>2101</v>
      </c>
      <c r="H770" s="234">
        <v>12.93</v>
      </c>
      <c r="I770" s="235">
        <f t="shared" si="45"/>
        <v>103.44</v>
      </c>
      <c r="K770" s="266">
        <f>10.94*8</f>
        <v>87.52</v>
      </c>
      <c r="L770" s="237">
        <v>41192</v>
      </c>
      <c r="M770" s="1" t="s">
        <v>2092</v>
      </c>
      <c r="N770" s="235">
        <f t="shared" si="46"/>
        <v>103.44</v>
      </c>
      <c r="O770" s="235">
        <f t="shared" si="47"/>
        <v>0</v>
      </c>
      <c r="P770" s="238" t="s">
        <v>3615</v>
      </c>
      <c r="Q770" s="1" t="s">
        <v>1875</v>
      </c>
      <c r="R770" s="239" t="s">
        <v>3174</v>
      </c>
      <c r="S770" s="238" t="s">
        <v>3175</v>
      </c>
      <c r="T770" s="238" t="s">
        <v>2097</v>
      </c>
      <c r="U770" s="238" t="s">
        <v>2097</v>
      </c>
      <c r="V770" s="238" t="s">
        <v>3539</v>
      </c>
      <c r="W770" s="236">
        <v>6244.3</v>
      </c>
      <c r="X770" s="233">
        <v>41205</v>
      </c>
      <c r="Y770" s="238" t="s">
        <v>2097</v>
      </c>
      <c r="AB770" s="1" t="s">
        <v>2551</v>
      </c>
    </row>
    <row r="771" spans="1:28" s="5" customFormat="1" ht="11.25" customHeight="1">
      <c r="A771" s="233">
        <v>41192</v>
      </c>
      <c r="B771" s="1" t="s">
        <v>2541</v>
      </c>
      <c r="C771" s="1" t="s">
        <v>2095</v>
      </c>
      <c r="D771" s="5" t="s">
        <v>2026</v>
      </c>
      <c r="E771" s="5" t="s">
        <v>2513</v>
      </c>
      <c r="F771" s="5">
        <v>500</v>
      </c>
      <c r="G771" s="1" t="s">
        <v>5002</v>
      </c>
      <c r="H771" s="234">
        <v>1.7</v>
      </c>
      <c r="I771" s="235">
        <f t="shared" ref="I771:I837" si="48">H771*F771</f>
        <v>850</v>
      </c>
      <c r="J771" s="360">
        <v>1.46</v>
      </c>
      <c r="K771" s="266">
        <f>1.46*500</f>
        <v>730</v>
      </c>
      <c r="L771" s="237">
        <v>41192</v>
      </c>
      <c r="M771" s="1" t="s">
        <v>2412</v>
      </c>
      <c r="N771" s="235">
        <f t="shared" ref="N771:N834" si="49">I771</f>
        <v>850</v>
      </c>
      <c r="O771" s="235">
        <f t="shared" ref="O771:O834" si="50">I771-N771</f>
        <v>0</v>
      </c>
      <c r="P771" s="238" t="s">
        <v>3617</v>
      </c>
      <c r="Q771" s="1" t="s">
        <v>2230</v>
      </c>
      <c r="R771" s="239" t="s">
        <v>2543</v>
      </c>
      <c r="S771" s="238" t="s">
        <v>2544</v>
      </c>
      <c r="T771" s="238" t="s">
        <v>2097</v>
      </c>
      <c r="U771" s="238"/>
      <c r="V771" s="238" t="s">
        <v>2512</v>
      </c>
      <c r="W771" s="236"/>
      <c r="X771" s="233"/>
      <c r="Y771" s="238"/>
      <c r="Z771" s="255"/>
      <c r="AA771" s="240"/>
      <c r="AB771" s="1" t="s">
        <v>2094</v>
      </c>
    </row>
    <row r="772" spans="1:28" s="5" customFormat="1" ht="12" customHeight="1">
      <c r="A772" s="7">
        <v>41192</v>
      </c>
      <c r="B772" s="5" t="s">
        <v>3618</v>
      </c>
      <c r="C772" s="277" t="s">
        <v>2095</v>
      </c>
      <c r="D772" s="1" t="s">
        <v>2043</v>
      </c>
      <c r="E772" s="5" t="s">
        <v>3194</v>
      </c>
      <c r="F772" s="5">
        <v>2</v>
      </c>
      <c r="G772" s="5" t="s">
        <v>3155</v>
      </c>
      <c r="H772" s="243">
        <v>122.2</v>
      </c>
      <c r="I772" s="235">
        <f t="shared" si="48"/>
        <v>244.4</v>
      </c>
      <c r="J772" s="361"/>
      <c r="K772" s="266">
        <f>107.64*2</f>
        <v>215.28</v>
      </c>
      <c r="L772" s="245">
        <v>41192</v>
      </c>
      <c r="M772" s="5" t="s">
        <v>2662</v>
      </c>
      <c r="N772" s="235">
        <f t="shared" si="49"/>
        <v>244.4</v>
      </c>
      <c r="O772" s="235">
        <f t="shared" si="50"/>
        <v>0</v>
      </c>
      <c r="P772" s="246" t="s">
        <v>2097</v>
      </c>
      <c r="Q772" s="5" t="s">
        <v>2586</v>
      </c>
      <c r="R772" s="247" t="s">
        <v>3619</v>
      </c>
      <c r="S772" s="246" t="s">
        <v>3620</v>
      </c>
      <c r="T772" s="246" t="s">
        <v>3621</v>
      </c>
      <c r="U772" s="246" t="s">
        <v>3622</v>
      </c>
      <c r="V772" s="246" t="s">
        <v>2512</v>
      </c>
      <c r="W772" s="235"/>
      <c r="X772" s="7"/>
      <c r="Y772" s="246"/>
      <c r="Z772" s="273"/>
      <c r="AA772" s="248"/>
      <c r="AB772" s="1" t="s">
        <v>2551</v>
      </c>
    </row>
    <row r="773" spans="1:28" s="5" customFormat="1" ht="12" customHeight="1">
      <c r="A773" s="7">
        <v>41193</v>
      </c>
      <c r="B773" s="5" t="s">
        <v>2733</v>
      </c>
      <c r="C773" s="277" t="s">
        <v>2095</v>
      </c>
      <c r="D773" s="1" t="s">
        <v>1216</v>
      </c>
      <c r="E773" s="5">
        <v>3200</v>
      </c>
      <c r="F773" s="5">
        <v>60</v>
      </c>
      <c r="G773" s="5" t="s">
        <v>2101</v>
      </c>
      <c r="H773" s="243">
        <v>26.81</v>
      </c>
      <c r="I773" s="235">
        <f t="shared" si="48"/>
        <v>1608.6</v>
      </c>
      <c r="J773" s="361"/>
      <c r="K773" s="266">
        <f>23.94*60</f>
        <v>1436.4</v>
      </c>
      <c r="L773" s="245">
        <v>41193</v>
      </c>
      <c r="M773" s="5" t="s">
        <v>2092</v>
      </c>
      <c r="N773" s="235">
        <f t="shared" si="49"/>
        <v>1608.6</v>
      </c>
      <c r="O773" s="235">
        <f t="shared" si="50"/>
        <v>0</v>
      </c>
      <c r="P773" s="246" t="s">
        <v>2097</v>
      </c>
      <c r="Q773" s="5" t="s">
        <v>2230</v>
      </c>
      <c r="R773" s="239" t="s">
        <v>2097</v>
      </c>
      <c r="S773" s="238" t="s">
        <v>2097</v>
      </c>
      <c r="T773" s="238" t="s">
        <v>2097</v>
      </c>
      <c r="U773" s="238" t="s">
        <v>2097</v>
      </c>
      <c r="V773" s="238" t="s">
        <v>3570</v>
      </c>
      <c r="W773" s="235">
        <v>4372.8</v>
      </c>
      <c r="X773" s="7">
        <v>41205</v>
      </c>
      <c r="Y773" s="5" t="s">
        <v>2230</v>
      </c>
      <c r="Z773" s="273"/>
      <c r="AA773" s="248"/>
      <c r="AB773" s="5" t="s">
        <v>2551</v>
      </c>
    </row>
    <row r="774" spans="1:28" s="5" customFormat="1" ht="11.25" customHeight="1">
      <c r="A774" s="7">
        <v>41193</v>
      </c>
      <c r="B774" s="5" t="s">
        <v>2733</v>
      </c>
      <c r="C774" s="277" t="s">
        <v>2095</v>
      </c>
      <c r="D774" s="1" t="s">
        <v>348</v>
      </c>
      <c r="E774" s="5">
        <v>3700</v>
      </c>
      <c r="F774" s="5">
        <v>60</v>
      </c>
      <c r="G774" s="1" t="s">
        <v>2101</v>
      </c>
      <c r="H774" s="243">
        <v>3.46</v>
      </c>
      <c r="I774" s="235">
        <f t="shared" si="48"/>
        <v>207.6</v>
      </c>
      <c r="J774" s="361">
        <v>3.09</v>
      </c>
      <c r="K774" s="266">
        <f>3.09*60</f>
        <v>185.39999999999998</v>
      </c>
      <c r="L774" s="245">
        <v>41193</v>
      </c>
      <c r="M774" s="5" t="s">
        <v>2092</v>
      </c>
      <c r="N774" s="235">
        <f t="shared" si="49"/>
        <v>207.6</v>
      </c>
      <c r="O774" s="235">
        <f t="shared" si="50"/>
        <v>0</v>
      </c>
      <c r="P774" s="246" t="s">
        <v>2097</v>
      </c>
      <c r="Q774" s="5" t="s">
        <v>2230</v>
      </c>
      <c r="R774" s="239" t="s">
        <v>2097</v>
      </c>
      <c r="S774" s="238" t="s">
        <v>2097</v>
      </c>
      <c r="T774" s="238" t="s">
        <v>2097</v>
      </c>
      <c r="U774" s="238" t="s">
        <v>2097</v>
      </c>
      <c r="V774" s="238" t="s">
        <v>3570</v>
      </c>
      <c r="W774" s="235">
        <v>4372.8</v>
      </c>
      <c r="X774" s="7">
        <v>41205</v>
      </c>
      <c r="Y774" s="5" t="s">
        <v>2230</v>
      </c>
      <c r="Z774" s="273"/>
      <c r="AA774" s="248"/>
      <c r="AB774" s="5" t="s">
        <v>2551</v>
      </c>
    </row>
    <row r="775" spans="1:28" s="5" customFormat="1" ht="12" customHeight="1">
      <c r="A775" s="7">
        <v>41193</v>
      </c>
      <c r="B775" s="5" t="s">
        <v>2733</v>
      </c>
      <c r="C775" s="277" t="s">
        <v>2095</v>
      </c>
      <c r="D775" s="5" t="s">
        <v>1887</v>
      </c>
      <c r="E775" s="5" t="s">
        <v>2639</v>
      </c>
      <c r="F775" s="5">
        <v>60</v>
      </c>
      <c r="G775" s="1" t="s">
        <v>2514</v>
      </c>
      <c r="H775" s="243">
        <v>1.73</v>
      </c>
      <c r="I775" s="235">
        <f t="shared" si="48"/>
        <v>103.8</v>
      </c>
      <c r="J775" s="359">
        <v>1.54</v>
      </c>
      <c r="K775" s="266">
        <f>1.54*60</f>
        <v>92.4</v>
      </c>
      <c r="L775" s="245">
        <v>41193</v>
      </c>
      <c r="M775" s="5" t="s">
        <v>2092</v>
      </c>
      <c r="N775" s="235">
        <f t="shared" si="49"/>
        <v>103.8</v>
      </c>
      <c r="O775" s="235">
        <f t="shared" si="50"/>
        <v>0</v>
      </c>
      <c r="P775" s="246" t="s">
        <v>2097</v>
      </c>
      <c r="Q775" s="5" t="s">
        <v>2230</v>
      </c>
      <c r="R775" s="239" t="s">
        <v>2097</v>
      </c>
      <c r="S775" s="238" t="s">
        <v>2097</v>
      </c>
      <c r="T775" s="238" t="s">
        <v>2097</v>
      </c>
      <c r="U775" s="238" t="s">
        <v>2097</v>
      </c>
      <c r="V775" s="238" t="s">
        <v>3570</v>
      </c>
      <c r="W775" s="235">
        <v>4372.8</v>
      </c>
      <c r="X775" s="7">
        <v>41205</v>
      </c>
      <c r="Y775" s="5" t="s">
        <v>2230</v>
      </c>
      <c r="Z775" s="273"/>
      <c r="AA775" s="248"/>
      <c r="AB775" s="5" t="s">
        <v>2551</v>
      </c>
    </row>
    <row r="776" spans="1:28" s="5" customFormat="1" ht="12" customHeight="1">
      <c r="A776" s="7">
        <v>41193</v>
      </c>
      <c r="B776" s="5" t="s">
        <v>2733</v>
      </c>
      <c r="C776" s="277" t="s">
        <v>2095</v>
      </c>
      <c r="D776" s="1" t="s">
        <v>355</v>
      </c>
      <c r="E776" s="5" t="s">
        <v>2419</v>
      </c>
      <c r="F776" s="5">
        <v>150</v>
      </c>
      <c r="G776" s="5" t="s">
        <v>2101</v>
      </c>
      <c r="H776" s="243">
        <v>13.33</v>
      </c>
      <c r="I776" s="235">
        <f t="shared" si="48"/>
        <v>1999.5</v>
      </c>
      <c r="J776" s="361"/>
      <c r="K776" s="266">
        <f>10.94*150</f>
        <v>1641</v>
      </c>
      <c r="L776" s="245">
        <v>41193</v>
      </c>
      <c r="M776" s="5" t="s">
        <v>2092</v>
      </c>
      <c r="N776" s="235">
        <f t="shared" si="49"/>
        <v>1999.5</v>
      </c>
      <c r="O776" s="235">
        <f t="shared" si="50"/>
        <v>0</v>
      </c>
      <c r="P776" s="246" t="s">
        <v>2097</v>
      </c>
      <c r="Q776" s="5" t="s">
        <v>2230</v>
      </c>
      <c r="R776" s="239" t="s">
        <v>2097</v>
      </c>
      <c r="S776" s="238" t="s">
        <v>2097</v>
      </c>
      <c r="T776" s="238" t="s">
        <v>2097</v>
      </c>
      <c r="U776" s="238" t="s">
        <v>2097</v>
      </c>
      <c r="V776" s="238" t="s">
        <v>3570</v>
      </c>
      <c r="W776" s="235">
        <v>4372.8</v>
      </c>
      <c r="X776" s="7">
        <v>41205</v>
      </c>
      <c r="Y776" s="5" t="s">
        <v>2230</v>
      </c>
      <c r="Z776" s="273"/>
      <c r="AA776" s="248"/>
      <c r="AB776" s="5" t="s">
        <v>2551</v>
      </c>
    </row>
    <row r="777" spans="1:28" s="5" customFormat="1" ht="11.25" customHeight="1">
      <c r="A777" s="7">
        <v>41193</v>
      </c>
      <c r="B777" s="1" t="s">
        <v>2127</v>
      </c>
      <c r="C777" s="277" t="s">
        <v>2095</v>
      </c>
      <c r="D777" s="5" t="s">
        <v>1893</v>
      </c>
      <c r="E777" s="5" t="s">
        <v>3623</v>
      </c>
      <c r="F777" s="5">
        <v>7</v>
      </c>
      <c r="G777" s="5" t="s">
        <v>2553</v>
      </c>
      <c r="H777" s="243">
        <v>25.3</v>
      </c>
      <c r="I777" s="235">
        <f t="shared" si="48"/>
        <v>177.1</v>
      </c>
      <c r="J777" s="361"/>
      <c r="K777" s="275">
        <f>22.8*F777</f>
        <v>159.6</v>
      </c>
      <c r="L777" s="245">
        <v>41194</v>
      </c>
      <c r="M777" s="5" t="s">
        <v>2349</v>
      </c>
      <c r="N777" s="235">
        <f t="shared" si="49"/>
        <v>177.1</v>
      </c>
      <c r="O777" s="235">
        <f t="shared" si="50"/>
        <v>0</v>
      </c>
      <c r="P777" s="246" t="s">
        <v>3624</v>
      </c>
      <c r="Q777" s="5" t="s">
        <v>2963</v>
      </c>
      <c r="R777" s="239" t="s">
        <v>2097</v>
      </c>
      <c r="S777" s="238" t="s">
        <v>2097</v>
      </c>
      <c r="T777" s="238" t="s">
        <v>2097</v>
      </c>
      <c r="U777" s="238" t="s">
        <v>2097</v>
      </c>
      <c r="V777" s="246" t="s">
        <v>2512</v>
      </c>
      <c r="W777" s="235"/>
      <c r="X777" s="7"/>
      <c r="Y777" s="246"/>
      <c r="Z777" s="273" t="s">
        <v>2573</v>
      </c>
      <c r="AA777" s="248" t="s">
        <v>400</v>
      </c>
      <c r="AB777" s="5" t="s">
        <v>2551</v>
      </c>
    </row>
    <row r="778" spans="1:28" ht="11.25" customHeight="1">
      <c r="A778" s="7">
        <v>41194</v>
      </c>
      <c r="B778" s="5" t="s">
        <v>2579</v>
      </c>
      <c r="C778" s="277" t="s">
        <v>2095</v>
      </c>
      <c r="D778" s="5" t="s">
        <v>309</v>
      </c>
      <c r="E778" s="5">
        <v>1110</v>
      </c>
      <c r="F778" s="5">
        <v>200</v>
      </c>
      <c r="G778" s="5" t="s">
        <v>2420</v>
      </c>
      <c r="H778" s="243">
        <v>0.8</v>
      </c>
      <c r="I778" s="235">
        <f t="shared" si="48"/>
        <v>160</v>
      </c>
      <c r="J778" s="361"/>
      <c r="K778" s="266">
        <f>0.77*200</f>
        <v>154</v>
      </c>
      <c r="L778" s="245">
        <v>41198</v>
      </c>
      <c r="M778" s="5" t="s">
        <v>2092</v>
      </c>
      <c r="N778" s="235">
        <f t="shared" si="49"/>
        <v>160</v>
      </c>
      <c r="O778" s="235">
        <f t="shared" si="50"/>
        <v>0</v>
      </c>
      <c r="P778" s="246" t="s">
        <v>2097</v>
      </c>
      <c r="Q778" s="5" t="s">
        <v>3625</v>
      </c>
      <c r="R778" s="239" t="s">
        <v>2097</v>
      </c>
      <c r="S778" s="238" t="s">
        <v>2097</v>
      </c>
      <c r="T778" s="238" t="s">
        <v>2097</v>
      </c>
      <c r="U778" s="238" t="s">
        <v>2097</v>
      </c>
      <c r="V778" s="246" t="s">
        <v>3626</v>
      </c>
      <c r="W778" s="235">
        <v>8558.0400000000009</v>
      </c>
      <c r="X778" s="7">
        <v>41205</v>
      </c>
      <c r="Y778" s="5">
        <v>23000438484</v>
      </c>
      <c r="Z778" s="273"/>
      <c r="AA778" s="248"/>
      <c r="AB778" s="5" t="s">
        <v>2551</v>
      </c>
    </row>
    <row r="779" spans="1:28" s="5" customFormat="1" ht="12" customHeight="1">
      <c r="A779" s="233">
        <v>41194</v>
      </c>
      <c r="B779" s="1" t="s">
        <v>3627</v>
      </c>
      <c r="C779" s="277" t="s">
        <v>2095</v>
      </c>
      <c r="D779" s="5" t="s">
        <v>857</v>
      </c>
      <c r="E779" s="5">
        <v>9031</v>
      </c>
      <c r="F779" s="5">
        <v>500</v>
      </c>
      <c r="G779" s="232" t="s">
        <v>2101</v>
      </c>
      <c r="H779" s="234">
        <v>2.4</v>
      </c>
      <c r="I779" s="235">
        <f t="shared" si="48"/>
        <v>1200</v>
      </c>
      <c r="J779" s="352"/>
      <c r="K779" s="266">
        <f>1.49292*500</f>
        <v>746.46</v>
      </c>
      <c r="L779" s="237">
        <v>41197</v>
      </c>
      <c r="M779" s="1" t="s">
        <v>2349</v>
      </c>
      <c r="N779" s="235">
        <f t="shared" si="49"/>
        <v>1200</v>
      </c>
      <c r="O779" s="235">
        <f t="shared" si="50"/>
        <v>0</v>
      </c>
      <c r="P779" s="238" t="s">
        <v>3628</v>
      </c>
      <c r="Q779" s="5" t="s">
        <v>3629</v>
      </c>
      <c r="R779" s="239" t="s">
        <v>2097</v>
      </c>
      <c r="S779" s="239" t="s">
        <v>2097</v>
      </c>
      <c r="T779" s="239" t="s">
        <v>2097</v>
      </c>
      <c r="U779" s="239" t="s">
        <v>2097</v>
      </c>
      <c r="V779" s="238" t="s">
        <v>2512</v>
      </c>
      <c r="W779" s="236"/>
      <c r="X779" s="233"/>
      <c r="Y779" s="238"/>
      <c r="Z779" s="255"/>
      <c r="AA779" s="240"/>
      <c r="AB779" s="1" t="s">
        <v>2094</v>
      </c>
    </row>
    <row r="780" spans="1:28" s="5" customFormat="1" ht="11.25" customHeight="1">
      <c r="A780" s="7">
        <v>41197</v>
      </c>
      <c r="B780" s="5" t="s">
        <v>2733</v>
      </c>
      <c r="C780" s="277" t="s">
        <v>2095</v>
      </c>
      <c r="D780" s="1" t="s">
        <v>348</v>
      </c>
      <c r="E780" s="5">
        <v>3700</v>
      </c>
      <c r="F780" s="5">
        <v>-60</v>
      </c>
      <c r="G780" s="1" t="s">
        <v>2101</v>
      </c>
      <c r="H780" s="243">
        <v>3.46</v>
      </c>
      <c r="I780" s="235">
        <f>H780*F780</f>
        <v>-207.6</v>
      </c>
      <c r="J780" s="361">
        <v>3.09</v>
      </c>
      <c r="K780" s="266">
        <f>3.09*F780</f>
        <v>-185.39999999999998</v>
      </c>
      <c r="L780" s="245">
        <v>41193</v>
      </c>
      <c r="M780" s="5" t="s">
        <v>2092</v>
      </c>
      <c r="N780" s="235">
        <f t="shared" si="49"/>
        <v>-207.6</v>
      </c>
      <c r="O780" s="235">
        <f t="shared" si="50"/>
        <v>0</v>
      </c>
      <c r="P780" s="238" t="s">
        <v>4918</v>
      </c>
      <c r="Q780" s="1" t="s">
        <v>1875</v>
      </c>
      <c r="R780" s="247" t="s">
        <v>1875</v>
      </c>
      <c r="S780" s="246" t="s">
        <v>1875</v>
      </c>
      <c r="T780" s="246" t="s">
        <v>1875</v>
      </c>
      <c r="U780" s="246" t="s">
        <v>1875</v>
      </c>
      <c r="V780" s="238" t="s">
        <v>3570</v>
      </c>
      <c r="W780" s="235">
        <v>4372.8</v>
      </c>
      <c r="X780" s="7">
        <v>41205</v>
      </c>
      <c r="Y780" s="5" t="s">
        <v>2230</v>
      </c>
      <c r="Z780" s="273"/>
      <c r="AA780" s="248" t="s">
        <v>2566</v>
      </c>
      <c r="AB780" s="5" t="s">
        <v>2551</v>
      </c>
    </row>
    <row r="781" spans="1:28" ht="11.25" customHeight="1">
      <c r="A781" s="7">
        <v>41197</v>
      </c>
      <c r="B781" s="5" t="s">
        <v>2733</v>
      </c>
      <c r="C781" s="277" t="s">
        <v>2095</v>
      </c>
      <c r="D781" s="5" t="s">
        <v>1887</v>
      </c>
      <c r="E781" s="5" t="s">
        <v>2639</v>
      </c>
      <c r="F781" s="5">
        <v>-60</v>
      </c>
      <c r="G781" s="1" t="s">
        <v>2514</v>
      </c>
      <c r="H781" s="243">
        <v>1.73</v>
      </c>
      <c r="I781" s="235">
        <f>H781*F781</f>
        <v>-103.8</v>
      </c>
      <c r="J781" s="359">
        <v>1.54</v>
      </c>
      <c r="K781" s="266">
        <f>1.54*F781</f>
        <v>-92.4</v>
      </c>
      <c r="L781" s="245">
        <v>41193</v>
      </c>
      <c r="M781" s="5" t="s">
        <v>2092</v>
      </c>
      <c r="N781" s="235">
        <f t="shared" si="49"/>
        <v>-103.8</v>
      </c>
      <c r="O781" s="235">
        <f t="shared" si="50"/>
        <v>0</v>
      </c>
      <c r="P781" s="238" t="s">
        <v>4918</v>
      </c>
      <c r="Q781" s="1" t="s">
        <v>1875</v>
      </c>
      <c r="R781" s="247" t="s">
        <v>1875</v>
      </c>
      <c r="S781" s="246" t="s">
        <v>1875</v>
      </c>
      <c r="T781" s="246" t="s">
        <v>1875</v>
      </c>
      <c r="U781" s="246" t="s">
        <v>1875</v>
      </c>
      <c r="V781" s="238" t="s">
        <v>3570</v>
      </c>
      <c r="W781" s="235">
        <v>4372.8</v>
      </c>
      <c r="X781" s="7">
        <v>41205</v>
      </c>
      <c r="Y781" s="5" t="s">
        <v>2230</v>
      </c>
      <c r="Z781" s="273"/>
      <c r="AA781" s="248" t="s">
        <v>2566</v>
      </c>
      <c r="AB781" s="5" t="s">
        <v>2551</v>
      </c>
    </row>
    <row r="782" spans="1:28" ht="11.25" customHeight="1">
      <c r="A782" s="233">
        <v>41197</v>
      </c>
      <c r="B782" s="5" t="s">
        <v>2733</v>
      </c>
      <c r="C782" s="277" t="s">
        <v>2095</v>
      </c>
      <c r="D782" s="1" t="s">
        <v>1882</v>
      </c>
      <c r="E782" s="5" t="s">
        <v>3519</v>
      </c>
      <c r="F782" s="5">
        <v>60</v>
      </c>
      <c r="G782" s="1" t="s">
        <v>2101</v>
      </c>
      <c r="H782" s="234">
        <v>1.87</v>
      </c>
      <c r="I782" s="236">
        <f t="shared" si="48"/>
        <v>112.2</v>
      </c>
      <c r="J782" s="352" t="s">
        <v>6095</v>
      </c>
      <c r="K782" s="266">
        <f>1.58*50+10*1.82</f>
        <v>97.2</v>
      </c>
      <c r="L782" s="237">
        <v>41221</v>
      </c>
      <c r="M782" s="5" t="s">
        <v>2092</v>
      </c>
      <c r="N782" s="235">
        <f t="shared" si="49"/>
        <v>112.2</v>
      </c>
      <c r="O782" s="235">
        <f t="shared" si="50"/>
        <v>0</v>
      </c>
      <c r="P782" s="238" t="s">
        <v>3630</v>
      </c>
      <c r="Q782" s="5" t="s">
        <v>2230</v>
      </c>
      <c r="R782" s="239" t="s">
        <v>2097</v>
      </c>
      <c r="S782" s="238" t="s">
        <v>2097</v>
      </c>
      <c r="T782" s="238" t="s">
        <v>2097</v>
      </c>
      <c r="U782" s="238" t="s">
        <v>2097</v>
      </c>
      <c r="V782" s="238" t="s">
        <v>3570</v>
      </c>
      <c r="W782" s="236">
        <v>4372.8</v>
      </c>
      <c r="X782" s="233">
        <v>41205</v>
      </c>
      <c r="Y782" s="5" t="s">
        <v>2230</v>
      </c>
      <c r="AB782" s="5" t="s">
        <v>2551</v>
      </c>
    </row>
    <row r="783" spans="1:28" ht="11.25" customHeight="1">
      <c r="A783" s="233">
        <v>41197</v>
      </c>
      <c r="B783" s="5" t="s">
        <v>2733</v>
      </c>
      <c r="C783" s="277" t="s">
        <v>2095</v>
      </c>
      <c r="D783" s="1" t="s">
        <v>269</v>
      </c>
      <c r="E783" s="5" t="s">
        <v>3631</v>
      </c>
      <c r="F783" s="5">
        <v>180</v>
      </c>
      <c r="G783" s="1" t="s">
        <v>2514</v>
      </c>
      <c r="H783" s="234">
        <v>1.38</v>
      </c>
      <c r="I783" s="236">
        <f t="shared" si="48"/>
        <v>248.39999999999998</v>
      </c>
      <c r="K783" s="266">
        <f>1.27*180</f>
        <v>228.6</v>
      </c>
      <c r="L783" s="237">
        <v>41221</v>
      </c>
      <c r="M783" s="5" t="s">
        <v>2092</v>
      </c>
      <c r="N783" s="235">
        <f t="shared" si="49"/>
        <v>248.39999999999998</v>
      </c>
      <c r="O783" s="235">
        <f t="shared" si="50"/>
        <v>0</v>
      </c>
      <c r="P783" s="238" t="s">
        <v>3630</v>
      </c>
      <c r="Q783" s="5" t="s">
        <v>2230</v>
      </c>
      <c r="R783" s="239" t="s">
        <v>2097</v>
      </c>
      <c r="S783" s="238" t="s">
        <v>2097</v>
      </c>
      <c r="T783" s="238" t="s">
        <v>2097</v>
      </c>
      <c r="U783" s="238" t="s">
        <v>2097</v>
      </c>
      <c r="V783" s="238" t="s">
        <v>3570</v>
      </c>
      <c r="W783" s="236">
        <v>4372.8</v>
      </c>
      <c r="X783" s="233">
        <v>41205</v>
      </c>
      <c r="Y783" s="5" t="s">
        <v>2230</v>
      </c>
      <c r="AB783" s="5" t="s">
        <v>2551</v>
      </c>
    </row>
    <row r="784" spans="1:28" ht="11.25" customHeight="1">
      <c r="A784" s="233">
        <v>41197</v>
      </c>
      <c r="B784" s="5" t="s">
        <v>2733</v>
      </c>
      <c r="C784" s="277" t="s">
        <v>2095</v>
      </c>
      <c r="D784" s="1" t="s">
        <v>355</v>
      </c>
      <c r="E784" s="5" t="s">
        <v>3616</v>
      </c>
      <c r="F784" s="5">
        <v>30</v>
      </c>
      <c r="G784" s="1" t="s">
        <v>2101</v>
      </c>
      <c r="H784" s="234">
        <v>11.93</v>
      </c>
      <c r="I784" s="236">
        <f t="shared" si="48"/>
        <v>357.9</v>
      </c>
      <c r="K784" s="266">
        <f>10.94*30</f>
        <v>328.2</v>
      </c>
      <c r="L784" s="237">
        <v>41221</v>
      </c>
      <c r="M784" s="5" t="s">
        <v>2092</v>
      </c>
      <c r="N784" s="235">
        <f t="shared" si="49"/>
        <v>357.9</v>
      </c>
      <c r="O784" s="235">
        <f t="shared" si="50"/>
        <v>0</v>
      </c>
      <c r="P784" s="238" t="s">
        <v>3630</v>
      </c>
      <c r="Q784" s="5" t="s">
        <v>2230</v>
      </c>
      <c r="R784" s="239" t="s">
        <v>2097</v>
      </c>
      <c r="S784" s="238" t="s">
        <v>2097</v>
      </c>
      <c r="T784" s="238" t="s">
        <v>2097</v>
      </c>
      <c r="U784" s="238" t="s">
        <v>2097</v>
      </c>
      <c r="V784" s="238" t="s">
        <v>3570</v>
      </c>
      <c r="W784" s="236">
        <v>4372.8</v>
      </c>
      <c r="X784" s="233">
        <v>41205</v>
      </c>
      <c r="Y784" s="5" t="s">
        <v>2230</v>
      </c>
      <c r="AB784" s="5" t="s">
        <v>2551</v>
      </c>
    </row>
    <row r="785" spans="1:28" ht="11.25" customHeight="1">
      <c r="A785" s="233">
        <v>41197</v>
      </c>
      <c r="B785" s="1" t="s">
        <v>3632</v>
      </c>
      <c r="C785" s="277" t="s">
        <v>2095</v>
      </c>
      <c r="D785" s="5" t="s">
        <v>857</v>
      </c>
      <c r="E785" s="5">
        <v>9031</v>
      </c>
      <c r="F785" s="5">
        <v>100</v>
      </c>
      <c r="G785" s="232" t="s">
        <v>2101</v>
      </c>
      <c r="H785" s="234">
        <v>2.4</v>
      </c>
      <c r="I785" s="235">
        <f t="shared" si="48"/>
        <v>240</v>
      </c>
      <c r="K785" s="266">
        <f>1.49292*F785</f>
        <v>149.292</v>
      </c>
      <c r="L785" s="237">
        <v>41197</v>
      </c>
      <c r="M785" s="1" t="s">
        <v>2349</v>
      </c>
      <c r="N785" s="235">
        <f t="shared" si="49"/>
        <v>240</v>
      </c>
      <c r="O785" s="235">
        <f t="shared" si="50"/>
        <v>0</v>
      </c>
      <c r="P785" s="238" t="s">
        <v>3633</v>
      </c>
      <c r="Q785" s="1" t="s">
        <v>3634</v>
      </c>
      <c r="R785" s="239" t="s">
        <v>2097</v>
      </c>
      <c r="S785" s="238" t="s">
        <v>2097</v>
      </c>
      <c r="T785" s="238" t="s">
        <v>2097</v>
      </c>
      <c r="U785" s="238" t="s">
        <v>2097</v>
      </c>
      <c r="V785" s="238" t="s">
        <v>2512</v>
      </c>
      <c r="AB785" s="1" t="s">
        <v>2094</v>
      </c>
    </row>
    <row r="786" spans="1:28" ht="11.25" customHeight="1">
      <c r="A786" s="233">
        <v>41197</v>
      </c>
      <c r="B786" s="1" t="s">
        <v>3632</v>
      </c>
      <c r="C786" s="277" t="s">
        <v>2095</v>
      </c>
      <c r="D786" s="1" t="s">
        <v>2043</v>
      </c>
      <c r="E786" s="5" t="s">
        <v>3194</v>
      </c>
      <c r="F786" s="5">
        <v>1</v>
      </c>
      <c r="G786" s="1" t="s">
        <v>3155</v>
      </c>
      <c r="H786" s="234">
        <v>160</v>
      </c>
      <c r="I786" s="235">
        <f t="shared" si="48"/>
        <v>160</v>
      </c>
      <c r="K786" s="266">
        <f>107.64*1</f>
        <v>107.64</v>
      </c>
      <c r="L786" s="237">
        <v>41197</v>
      </c>
      <c r="M786" s="1" t="s">
        <v>2349</v>
      </c>
      <c r="N786" s="235">
        <f t="shared" si="49"/>
        <v>160</v>
      </c>
      <c r="O786" s="235">
        <f t="shared" si="50"/>
        <v>0</v>
      </c>
      <c r="P786" s="238" t="s">
        <v>3633</v>
      </c>
      <c r="Q786" s="1" t="s">
        <v>3634</v>
      </c>
      <c r="R786" s="239" t="s">
        <v>2097</v>
      </c>
      <c r="S786" s="238" t="s">
        <v>2097</v>
      </c>
      <c r="T786" s="238" t="s">
        <v>2097</v>
      </c>
      <c r="U786" s="238" t="s">
        <v>2097</v>
      </c>
      <c r="V786" s="238" t="s">
        <v>2512</v>
      </c>
      <c r="AB786" s="1" t="s">
        <v>2094</v>
      </c>
    </row>
    <row r="787" spans="1:28" ht="11.25" customHeight="1">
      <c r="A787" s="233">
        <v>41197</v>
      </c>
      <c r="B787" s="1" t="s">
        <v>3635</v>
      </c>
      <c r="C787" s="277" t="s">
        <v>2095</v>
      </c>
      <c r="D787" s="1" t="s">
        <v>87</v>
      </c>
      <c r="E787" s="5">
        <v>9032</v>
      </c>
      <c r="F787" s="5">
        <v>2000</v>
      </c>
      <c r="G787" s="1" t="s">
        <v>2101</v>
      </c>
      <c r="H787" s="234">
        <v>1.9</v>
      </c>
      <c r="I787" s="235">
        <f t="shared" si="48"/>
        <v>3800</v>
      </c>
      <c r="K787" s="266">
        <f>1.4929*2000</f>
        <v>2985.7999999999997</v>
      </c>
      <c r="L787" s="237">
        <v>41197</v>
      </c>
      <c r="M787" s="1" t="s">
        <v>2412</v>
      </c>
      <c r="N787" s="235">
        <f t="shared" si="49"/>
        <v>3800</v>
      </c>
      <c r="O787" s="235">
        <f t="shared" si="50"/>
        <v>0</v>
      </c>
      <c r="P787" s="238" t="s">
        <v>3636</v>
      </c>
      <c r="Q787" s="1" t="s">
        <v>2230</v>
      </c>
      <c r="R787" s="239" t="s">
        <v>2507</v>
      </c>
      <c r="S787" s="238" t="s">
        <v>2508</v>
      </c>
      <c r="T787" s="238" t="s">
        <v>168</v>
      </c>
      <c r="V787" s="238" t="s">
        <v>176</v>
      </c>
      <c r="AB787" s="1" t="s">
        <v>2094</v>
      </c>
    </row>
    <row r="788" spans="1:28" ht="12" customHeight="1">
      <c r="A788" s="233">
        <v>41198</v>
      </c>
      <c r="B788" s="228" t="s">
        <v>2673</v>
      </c>
      <c r="C788" s="277" t="s">
        <v>2095</v>
      </c>
      <c r="D788" s="1" t="s">
        <v>355</v>
      </c>
      <c r="E788" s="5" t="s">
        <v>3616</v>
      </c>
      <c r="F788" s="5">
        <v>56</v>
      </c>
      <c r="G788" s="1" t="s">
        <v>2101</v>
      </c>
      <c r="H788" s="234">
        <v>13</v>
      </c>
      <c r="I788" s="235">
        <f t="shared" si="48"/>
        <v>728</v>
      </c>
      <c r="K788" s="266">
        <f>10.94*56</f>
        <v>612.64</v>
      </c>
      <c r="L788" s="237">
        <v>41198</v>
      </c>
      <c r="M788" s="1" t="s">
        <v>2092</v>
      </c>
      <c r="N788" s="235">
        <f t="shared" si="49"/>
        <v>728</v>
      </c>
      <c r="O788" s="235">
        <f t="shared" si="50"/>
        <v>0</v>
      </c>
      <c r="P788" s="238" t="s">
        <v>3637</v>
      </c>
      <c r="Q788" s="1" t="s">
        <v>2230</v>
      </c>
      <c r="R788" s="239" t="s">
        <v>3174</v>
      </c>
      <c r="S788" s="238" t="s">
        <v>3175</v>
      </c>
      <c r="T788" s="238" t="s">
        <v>2097</v>
      </c>
      <c r="U788" s="238" t="s">
        <v>2097</v>
      </c>
      <c r="V788" s="238" t="s">
        <v>3539</v>
      </c>
      <c r="W788" s="236">
        <v>6244.3</v>
      </c>
      <c r="X788" s="233">
        <v>41205</v>
      </c>
      <c r="Y788" s="238" t="s">
        <v>2097</v>
      </c>
      <c r="AB788" s="1" t="s">
        <v>2551</v>
      </c>
    </row>
    <row r="789" spans="1:28" ht="12" customHeight="1">
      <c r="A789" s="233">
        <v>41198</v>
      </c>
      <c r="B789" s="228" t="s">
        <v>2673</v>
      </c>
      <c r="C789" s="277" t="s">
        <v>2095</v>
      </c>
      <c r="D789" s="1" t="s">
        <v>1216</v>
      </c>
      <c r="E789" s="5">
        <v>3200</v>
      </c>
      <c r="F789" s="5">
        <v>58</v>
      </c>
      <c r="G789" s="1" t="s">
        <v>2101</v>
      </c>
      <c r="H789" s="234">
        <v>26.5</v>
      </c>
      <c r="I789" s="235">
        <f t="shared" si="48"/>
        <v>1537</v>
      </c>
      <c r="K789" s="266">
        <f>23.94*58</f>
        <v>1388.52</v>
      </c>
      <c r="L789" s="237">
        <v>41198</v>
      </c>
      <c r="M789" s="1" t="s">
        <v>2092</v>
      </c>
      <c r="N789" s="235">
        <f t="shared" si="49"/>
        <v>1537</v>
      </c>
      <c r="O789" s="235">
        <f t="shared" si="50"/>
        <v>0</v>
      </c>
      <c r="P789" s="238" t="s">
        <v>3637</v>
      </c>
      <c r="Q789" s="1" t="s">
        <v>2230</v>
      </c>
      <c r="R789" s="239" t="s">
        <v>3174</v>
      </c>
      <c r="S789" s="238" t="s">
        <v>3175</v>
      </c>
      <c r="T789" s="238" t="s">
        <v>2097</v>
      </c>
      <c r="U789" s="238" t="s">
        <v>2097</v>
      </c>
      <c r="V789" s="238" t="s">
        <v>3539</v>
      </c>
      <c r="W789" s="236">
        <v>6244.3</v>
      </c>
      <c r="X789" s="233">
        <v>41205</v>
      </c>
      <c r="Y789" s="238" t="s">
        <v>2097</v>
      </c>
      <c r="AB789" s="1" t="s">
        <v>2551</v>
      </c>
    </row>
    <row r="790" spans="1:28" ht="11.25" customHeight="1">
      <c r="A790" s="233">
        <v>41198</v>
      </c>
      <c r="B790" s="228" t="s">
        <v>2673</v>
      </c>
      <c r="C790" s="277" t="s">
        <v>2095</v>
      </c>
      <c r="D790" s="1" t="s">
        <v>348</v>
      </c>
      <c r="E790" s="5">
        <v>3700</v>
      </c>
      <c r="F790" s="5">
        <v>8</v>
      </c>
      <c r="G790" s="1" t="s">
        <v>2101</v>
      </c>
      <c r="H790" s="234">
        <v>3.31</v>
      </c>
      <c r="I790" s="235">
        <f t="shared" si="48"/>
        <v>26.48</v>
      </c>
      <c r="J790" s="352">
        <v>3.09</v>
      </c>
      <c r="K790" s="266">
        <f>3.09*8</f>
        <v>24.72</v>
      </c>
      <c r="L790" s="237">
        <v>41198</v>
      </c>
      <c r="M790" s="1" t="s">
        <v>2092</v>
      </c>
      <c r="N790" s="235">
        <f t="shared" si="49"/>
        <v>26.48</v>
      </c>
      <c r="O790" s="235">
        <f t="shared" si="50"/>
        <v>0</v>
      </c>
      <c r="P790" s="238" t="s">
        <v>3637</v>
      </c>
      <c r="Q790" s="1" t="s">
        <v>2230</v>
      </c>
      <c r="R790" s="239" t="s">
        <v>3174</v>
      </c>
      <c r="S790" s="238" t="s">
        <v>3175</v>
      </c>
      <c r="T790" s="238" t="s">
        <v>2097</v>
      </c>
      <c r="U790" s="238" t="s">
        <v>2097</v>
      </c>
      <c r="V790" s="238" t="s">
        <v>3539</v>
      </c>
      <c r="W790" s="236">
        <v>6244.3</v>
      </c>
      <c r="X790" s="233">
        <v>41205</v>
      </c>
      <c r="Y790" s="238" t="s">
        <v>2097</v>
      </c>
      <c r="AB790" s="1" t="s">
        <v>2551</v>
      </c>
    </row>
    <row r="791" spans="1:28" ht="11.25" customHeight="1">
      <c r="A791" s="233">
        <v>41198</v>
      </c>
      <c r="B791" s="228" t="s">
        <v>2673</v>
      </c>
      <c r="C791" s="277" t="s">
        <v>2095</v>
      </c>
      <c r="D791" s="1" t="s">
        <v>1882</v>
      </c>
      <c r="E791" s="5" t="s">
        <v>3519</v>
      </c>
      <c r="F791" s="5">
        <v>50</v>
      </c>
      <c r="G791" s="1" t="s">
        <v>2101</v>
      </c>
      <c r="H791" s="234">
        <v>1.93</v>
      </c>
      <c r="I791" s="235">
        <f t="shared" si="48"/>
        <v>96.5</v>
      </c>
      <c r="J791" s="352">
        <v>1.58</v>
      </c>
      <c r="K791" s="266">
        <f>1.58*50</f>
        <v>79</v>
      </c>
      <c r="L791" s="237">
        <v>41198</v>
      </c>
      <c r="M791" s="1" t="s">
        <v>2092</v>
      </c>
      <c r="N791" s="235">
        <f t="shared" si="49"/>
        <v>96.5</v>
      </c>
      <c r="O791" s="235">
        <f t="shared" si="50"/>
        <v>0</v>
      </c>
      <c r="P791" s="238" t="s">
        <v>3637</v>
      </c>
      <c r="Q791" s="1" t="s">
        <v>2230</v>
      </c>
      <c r="R791" s="239" t="s">
        <v>3174</v>
      </c>
      <c r="S791" s="238" t="s">
        <v>3175</v>
      </c>
      <c r="T791" s="238" t="s">
        <v>2097</v>
      </c>
      <c r="U791" s="238" t="s">
        <v>2097</v>
      </c>
      <c r="V791" s="238" t="s">
        <v>3539</v>
      </c>
      <c r="W791" s="236">
        <v>6244.3</v>
      </c>
      <c r="X791" s="233">
        <v>41205</v>
      </c>
      <c r="Y791" s="238" t="s">
        <v>2097</v>
      </c>
      <c r="AB791" s="1" t="s">
        <v>2551</v>
      </c>
    </row>
    <row r="792" spans="1:28" s="5" customFormat="1" ht="11.25" customHeight="1">
      <c r="A792" s="233">
        <v>41198</v>
      </c>
      <c r="B792" s="228" t="s">
        <v>2673</v>
      </c>
      <c r="C792" s="277" t="s">
        <v>2095</v>
      </c>
      <c r="D792" s="1" t="s">
        <v>307</v>
      </c>
      <c r="E792" s="5">
        <v>1270</v>
      </c>
      <c r="F792" s="5">
        <v>50</v>
      </c>
      <c r="G792" s="1" t="s">
        <v>2420</v>
      </c>
      <c r="H792" s="234">
        <v>4.45</v>
      </c>
      <c r="I792" s="235">
        <f t="shared" si="48"/>
        <v>222.5</v>
      </c>
      <c r="J792" s="352"/>
      <c r="K792" s="266">
        <f>4.31*50</f>
        <v>215.49999999999997</v>
      </c>
      <c r="L792" s="237">
        <v>41198</v>
      </c>
      <c r="M792" s="1" t="s">
        <v>2092</v>
      </c>
      <c r="N792" s="235">
        <f t="shared" si="49"/>
        <v>222.5</v>
      </c>
      <c r="O792" s="235">
        <f t="shared" si="50"/>
        <v>0</v>
      </c>
      <c r="P792" s="238" t="s">
        <v>3637</v>
      </c>
      <c r="Q792" s="1" t="s">
        <v>2230</v>
      </c>
      <c r="R792" s="239" t="s">
        <v>3174</v>
      </c>
      <c r="S792" s="238" t="s">
        <v>3175</v>
      </c>
      <c r="T792" s="238" t="s">
        <v>2097</v>
      </c>
      <c r="U792" s="238" t="s">
        <v>2097</v>
      </c>
      <c r="V792" s="238" t="s">
        <v>3539</v>
      </c>
      <c r="W792" s="236">
        <v>6244.3</v>
      </c>
      <c r="X792" s="233">
        <v>41205</v>
      </c>
      <c r="Y792" s="238" t="s">
        <v>2097</v>
      </c>
      <c r="Z792" s="255"/>
      <c r="AA792" s="240"/>
      <c r="AB792" s="1" t="s">
        <v>2551</v>
      </c>
    </row>
    <row r="793" spans="1:28" s="5" customFormat="1" ht="11.25" customHeight="1">
      <c r="A793" s="7">
        <v>41198</v>
      </c>
      <c r="B793" s="5" t="s">
        <v>3638</v>
      </c>
      <c r="C793" s="277" t="s">
        <v>2095</v>
      </c>
      <c r="D793" s="1" t="s">
        <v>1720</v>
      </c>
      <c r="E793" s="5">
        <v>8210</v>
      </c>
      <c r="F793" s="5">
        <v>60</v>
      </c>
      <c r="G793" s="1" t="s">
        <v>2101</v>
      </c>
      <c r="H793" s="243">
        <v>6.5</v>
      </c>
      <c r="I793" s="235">
        <f t="shared" si="48"/>
        <v>390</v>
      </c>
      <c r="J793" s="361"/>
      <c r="K793" s="266">
        <f>3.63*60</f>
        <v>217.79999999999998</v>
      </c>
      <c r="L793" s="245">
        <v>41205</v>
      </c>
      <c r="M793" s="5" t="s">
        <v>2349</v>
      </c>
      <c r="N793" s="235">
        <f t="shared" si="49"/>
        <v>390</v>
      </c>
      <c r="O793" s="235">
        <f t="shared" si="50"/>
        <v>0</v>
      </c>
      <c r="P793" s="246" t="s">
        <v>3639</v>
      </c>
      <c r="Q793" s="5" t="s">
        <v>3640</v>
      </c>
      <c r="R793" s="239" t="s">
        <v>2097</v>
      </c>
      <c r="S793" s="238" t="s">
        <v>2097</v>
      </c>
      <c r="T793" s="238" t="s">
        <v>2097</v>
      </c>
      <c r="U793" s="238" t="s">
        <v>2097</v>
      </c>
      <c r="V793" s="246" t="s">
        <v>2512</v>
      </c>
      <c r="W793" s="235"/>
      <c r="X793" s="7"/>
      <c r="Y793" s="246"/>
      <c r="Z793" s="273"/>
      <c r="AA793" s="248"/>
      <c r="AB793" s="5" t="s">
        <v>2094</v>
      </c>
    </row>
    <row r="794" spans="1:28" ht="12" customHeight="1">
      <c r="A794" s="7">
        <v>41198</v>
      </c>
      <c r="B794" s="5" t="s">
        <v>3638</v>
      </c>
      <c r="C794" s="277" t="s">
        <v>2095</v>
      </c>
      <c r="D794" s="5" t="s">
        <v>290</v>
      </c>
      <c r="E794" s="5" t="s">
        <v>3641</v>
      </c>
      <c r="F794" s="5">
        <v>20</v>
      </c>
      <c r="G794" s="5" t="s">
        <v>2420</v>
      </c>
      <c r="H794" s="243">
        <v>2</v>
      </c>
      <c r="I794" s="235">
        <f t="shared" si="48"/>
        <v>40</v>
      </c>
      <c r="J794" s="361"/>
      <c r="K794" s="266">
        <f>1.178*20</f>
        <v>23.56</v>
      </c>
      <c r="L794" s="245">
        <v>41205</v>
      </c>
      <c r="M794" s="5" t="s">
        <v>2349</v>
      </c>
      <c r="N794" s="235">
        <f t="shared" si="49"/>
        <v>40</v>
      </c>
      <c r="O794" s="235">
        <f t="shared" si="50"/>
        <v>0</v>
      </c>
      <c r="P794" s="246" t="s">
        <v>3639</v>
      </c>
      <c r="Q794" s="5" t="s">
        <v>3640</v>
      </c>
      <c r="R794" s="239" t="s">
        <v>2097</v>
      </c>
      <c r="S794" s="238" t="s">
        <v>2097</v>
      </c>
      <c r="T794" s="238" t="s">
        <v>2097</v>
      </c>
      <c r="U794" s="238" t="s">
        <v>2097</v>
      </c>
      <c r="V794" s="246" t="s">
        <v>2512</v>
      </c>
      <c r="W794" s="235"/>
      <c r="X794" s="7"/>
      <c r="Y794" s="246"/>
      <c r="Z794" s="273"/>
      <c r="AA794" s="248"/>
      <c r="AB794" s="5" t="s">
        <v>2094</v>
      </c>
    </row>
    <row r="795" spans="1:28" ht="11.25" customHeight="1">
      <c r="A795" s="233">
        <v>41198</v>
      </c>
      <c r="B795" s="1" t="s">
        <v>2965</v>
      </c>
      <c r="C795" s="277" t="s">
        <v>2095</v>
      </c>
      <c r="D795" s="1" t="s">
        <v>1216</v>
      </c>
      <c r="E795" s="5">
        <v>3200</v>
      </c>
      <c r="F795" s="5">
        <v>10</v>
      </c>
      <c r="G795" s="1" t="s">
        <v>2101</v>
      </c>
      <c r="H795" s="234">
        <v>34.6</v>
      </c>
      <c r="I795" s="235">
        <f t="shared" si="48"/>
        <v>346</v>
      </c>
      <c r="K795" s="266">
        <f>23.94*10</f>
        <v>239.4</v>
      </c>
      <c r="L795" s="237">
        <v>41198</v>
      </c>
      <c r="M795" s="1" t="s">
        <v>2412</v>
      </c>
      <c r="N795" s="235">
        <f t="shared" si="49"/>
        <v>346</v>
      </c>
      <c r="O795" s="235">
        <f t="shared" si="50"/>
        <v>0</v>
      </c>
      <c r="P795" s="238" t="s">
        <v>3642</v>
      </c>
      <c r="Q795" s="1" t="s">
        <v>2230</v>
      </c>
      <c r="R795" s="239" t="s">
        <v>2097</v>
      </c>
      <c r="S795" s="239" t="s">
        <v>2097</v>
      </c>
      <c r="T795" s="239" t="s">
        <v>2097</v>
      </c>
      <c r="U795" s="239" t="s">
        <v>2097</v>
      </c>
      <c r="AB795" s="1" t="s">
        <v>2094</v>
      </c>
    </row>
    <row r="796" spans="1:28" ht="12" customHeight="1">
      <c r="A796" s="233">
        <v>41198</v>
      </c>
      <c r="B796" s="1" t="s">
        <v>3643</v>
      </c>
      <c r="C796" s="277" t="s">
        <v>2095</v>
      </c>
      <c r="D796" s="1" t="s">
        <v>87</v>
      </c>
      <c r="E796" s="5">
        <v>9032</v>
      </c>
      <c r="F796" s="5">
        <v>500</v>
      </c>
      <c r="G796" s="1" t="s">
        <v>2101</v>
      </c>
      <c r="H796" s="234">
        <v>1.9</v>
      </c>
      <c r="I796" s="235">
        <f t="shared" si="48"/>
        <v>950</v>
      </c>
      <c r="K796" s="266">
        <f>1.4929*500</f>
        <v>746.44999999999993</v>
      </c>
      <c r="L796" s="237">
        <v>41198</v>
      </c>
      <c r="M796" s="1" t="s">
        <v>2412</v>
      </c>
      <c r="N796" s="235">
        <f t="shared" si="49"/>
        <v>950</v>
      </c>
      <c r="O796" s="235">
        <f t="shared" si="50"/>
        <v>0</v>
      </c>
      <c r="P796" s="238" t="s">
        <v>3644</v>
      </c>
      <c r="Q796" s="1" t="s">
        <v>2230</v>
      </c>
      <c r="R796" s="239" t="s">
        <v>2097</v>
      </c>
      <c r="S796" s="238" t="s">
        <v>2097</v>
      </c>
      <c r="T796" s="238" t="s">
        <v>2097</v>
      </c>
      <c r="U796" s="238" t="s">
        <v>2097</v>
      </c>
      <c r="V796" s="238" t="s">
        <v>2512</v>
      </c>
      <c r="AB796" s="1" t="s">
        <v>2551</v>
      </c>
    </row>
    <row r="797" spans="1:28" ht="12" customHeight="1">
      <c r="A797" s="233">
        <v>41198</v>
      </c>
      <c r="B797" s="1" t="s">
        <v>3645</v>
      </c>
      <c r="C797" s="277" t="s">
        <v>2095</v>
      </c>
      <c r="D797" s="95" t="s">
        <v>1917</v>
      </c>
      <c r="E797" s="5" t="s">
        <v>3646</v>
      </c>
      <c r="F797" s="5">
        <v>10</v>
      </c>
      <c r="G797" s="1" t="s">
        <v>2101</v>
      </c>
      <c r="H797" s="234">
        <v>56</v>
      </c>
      <c r="I797" s="235">
        <f t="shared" si="48"/>
        <v>560</v>
      </c>
      <c r="K797" s="266">
        <f>52.4*10</f>
        <v>524</v>
      </c>
      <c r="L797" s="237">
        <v>41193</v>
      </c>
      <c r="M797" s="1" t="s">
        <v>2092</v>
      </c>
      <c r="N797" s="235">
        <f t="shared" si="49"/>
        <v>560</v>
      </c>
      <c r="O797" s="235">
        <f t="shared" si="50"/>
        <v>0</v>
      </c>
      <c r="P797" s="238" t="s">
        <v>2097</v>
      </c>
      <c r="Q797" s="1" t="s">
        <v>2230</v>
      </c>
      <c r="R797" s="239" t="s">
        <v>2097</v>
      </c>
      <c r="S797" s="238" t="s">
        <v>2097</v>
      </c>
      <c r="T797" s="238" t="s">
        <v>2097</v>
      </c>
      <c r="U797" s="238" t="s">
        <v>2097</v>
      </c>
      <c r="V797" s="238" t="s">
        <v>3647</v>
      </c>
      <c r="W797" s="236">
        <v>1920</v>
      </c>
      <c r="X797" s="233">
        <v>41198</v>
      </c>
      <c r="Y797" s="238" t="s">
        <v>2230</v>
      </c>
      <c r="AB797" s="1" t="s">
        <v>2551</v>
      </c>
    </row>
    <row r="798" spans="1:28" s="5" customFormat="1" ht="12" customHeight="1">
      <c r="A798" s="233">
        <v>41198</v>
      </c>
      <c r="B798" s="1" t="s">
        <v>3645</v>
      </c>
      <c r="C798" s="277" t="s">
        <v>2095</v>
      </c>
      <c r="D798" s="95" t="s">
        <v>1976</v>
      </c>
      <c r="E798" s="5">
        <v>82501</v>
      </c>
      <c r="F798" s="5">
        <v>10</v>
      </c>
      <c r="G798" s="1" t="s">
        <v>2101</v>
      </c>
      <c r="H798" s="234">
        <v>136</v>
      </c>
      <c r="I798" s="235">
        <f t="shared" si="48"/>
        <v>1360</v>
      </c>
      <c r="J798" s="352"/>
      <c r="K798" s="266">
        <f>115.9*10</f>
        <v>1159</v>
      </c>
      <c r="L798" s="237">
        <v>41193</v>
      </c>
      <c r="M798" s="1" t="s">
        <v>2092</v>
      </c>
      <c r="N798" s="235">
        <f t="shared" si="49"/>
        <v>1360</v>
      </c>
      <c r="O798" s="235">
        <f t="shared" si="50"/>
        <v>0</v>
      </c>
      <c r="P798" s="238" t="s">
        <v>2097</v>
      </c>
      <c r="Q798" s="1" t="s">
        <v>2230</v>
      </c>
      <c r="R798" s="239" t="s">
        <v>2097</v>
      </c>
      <c r="S798" s="238" t="s">
        <v>2097</v>
      </c>
      <c r="T798" s="238" t="s">
        <v>2097</v>
      </c>
      <c r="U798" s="238" t="s">
        <v>2097</v>
      </c>
      <c r="V798" s="238" t="s">
        <v>3647</v>
      </c>
      <c r="W798" s="236">
        <v>1920</v>
      </c>
      <c r="X798" s="233">
        <v>41198</v>
      </c>
      <c r="Y798" s="238" t="s">
        <v>2230</v>
      </c>
      <c r="Z798" s="255"/>
      <c r="AA798" s="240"/>
      <c r="AB798" s="1" t="s">
        <v>2551</v>
      </c>
    </row>
    <row r="799" spans="1:28" s="5" customFormat="1" ht="12" customHeight="1">
      <c r="A799" s="7">
        <v>41198</v>
      </c>
      <c r="B799" s="5" t="s">
        <v>2579</v>
      </c>
      <c r="C799" s="277" t="s">
        <v>2095</v>
      </c>
      <c r="D799" s="5" t="s">
        <v>2052</v>
      </c>
      <c r="E799" s="5" t="s">
        <v>3648</v>
      </c>
      <c r="F799" s="5">
        <v>3</v>
      </c>
      <c r="G799" s="5" t="s">
        <v>2101</v>
      </c>
      <c r="H799" s="243">
        <v>300</v>
      </c>
      <c r="I799" s="235">
        <f t="shared" si="48"/>
        <v>900</v>
      </c>
      <c r="J799" s="361"/>
      <c r="K799" s="266">
        <f>290*3</f>
        <v>870</v>
      </c>
      <c r="L799" s="245">
        <v>41198</v>
      </c>
      <c r="M799" s="5" t="s">
        <v>2092</v>
      </c>
      <c r="N799" s="235">
        <f t="shared" si="49"/>
        <v>900</v>
      </c>
      <c r="O799" s="235">
        <f t="shared" si="50"/>
        <v>0</v>
      </c>
      <c r="P799" s="246" t="s">
        <v>2097</v>
      </c>
      <c r="Q799" s="5" t="s">
        <v>3640</v>
      </c>
      <c r="R799" s="239" t="s">
        <v>2097</v>
      </c>
      <c r="S799" s="238" t="s">
        <v>2097</v>
      </c>
      <c r="T799" s="238" t="s">
        <v>2097</v>
      </c>
      <c r="U799" s="238" t="s">
        <v>2097</v>
      </c>
      <c r="V799" s="246" t="s">
        <v>3626</v>
      </c>
      <c r="W799" s="235">
        <v>8558.0400000000009</v>
      </c>
      <c r="X799" s="7">
        <v>41205</v>
      </c>
      <c r="Y799" s="5">
        <v>23000438484</v>
      </c>
      <c r="Z799" s="273"/>
      <c r="AA799" s="248"/>
      <c r="AB799" s="1" t="s">
        <v>2551</v>
      </c>
    </row>
    <row r="800" spans="1:28" s="5" customFormat="1" ht="12" customHeight="1">
      <c r="A800" s="7">
        <v>41198</v>
      </c>
      <c r="B800" s="5" t="s">
        <v>2579</v>
      </c>
      <c r="C800" s="277" t="s">
        <v>2095</v>
      </c>
      <c r="D800" s="227" t="s">
        <v>5694</v>
      </c>
      <c r="E800" s="5" t="s">
        <v>3649</v>
      </c>
      <c r="F800" s="5">
        <v>5000</v>
      </c>
      <c r="G800" s="5" t="s">
        <v>2420</v>
      </c>
      <c r="H800" s="243">
        <v>0.57699999999999996</v>
      </c>
      <c r="I800" s="235">
        <f t="shared" si="48"/>
        <v>2885</v>
      </c>
      <c r="J800" s="361"/>
      <c r="K800" s="266">
        <f>0.52*5000</f>
        <v>2600</v>
      </c>
      <c r="L800" s="245">
        <v>41198</v>
      </c>
      <c r="M800" s="5" t="s">
        <v>2092</v>
      </c>
      <c r="N800" s="235">
        <f t="shared" si="49"/>
        <v>2885</v>
      </c>
      <c r="O800" s="235">
        <f t="shared" si="50"/>
        <v>0</v>
      </c>
      <c r="P800" s="246" t="s">
        <v>2097</v>
      </c>
      <c r="Q800" s="5" t="s">
        <v>3640</v>
      </c>
      <c r="R800" s="239" t="s">
        <v>2097</v>
      </c>
      <c r="S800" s="238" t="s">
        <v>2097</v>
      </c>
      <c r="T800" s="238" t="s">
        <v>2097</v>
      </c>
      <c r="U800" s="238" t="s">
        <v>2097</v>
      </c>
      <c r="V800" s="246" t="s">
        <v>3626</v>
      </c>
      <c r="W800" s="235">
        <v>8558.0400000000009</v>
      </c>
      <c r="X800" s="7">
        <v>41205</v>
      </c>
      <c r="Y800" s="5">
        <v>23000438484</v>
      </c>
      <c r="Z800" s="273"/>
      <c r="AA800" s="248"/>
      <c r="AB800" s="1" t="s">
        <v>2551</v>
      </c>
    </row>
    <row r="801" spans="1:28" s="5" customFormat="1" ht="12" customHeight="1">
      <c r="A801" s="7">
        <v>41198</v>
      </c>
      <c r="B801" s="5" t="s">
        <v>2579</v>
      </c>
      <c r="C801" s="277" t="s">
        <v>2095</v>
      </c>
      <c r="D801" s="1" t="s">
        <v>241</v>
      </c>
      <c r="E801" s="5">
        <v>6200</v>
      </c>
      <c r="F801" s="5">
        <v>96</v>
      </c>
      <c r="G801" s="5" t="s">
        <v>2101</v>
      </c>
      <c r="H801" s="243">
        <v>44.5</v>
      </c>
      <c r="I801" s="235">
        <f t="shared" si="48"/>
        <v>4272</v>
      </c>
      <c r="J801" s="361">
        <v>42.7</v>
      </c>
      <c r="K801" s="266" t="e">
        <f>#REF!*F801</f>
        <v>#REF!</v>
      </c>
      <c r="L801" s="245">
        <v>41198</v>
      </c>
      <c r="M801" s="5" t="s">
        <v>2092</v>
      </c>
      <c r="N801" s="235">
        <f t="shared" si="49"/>
        <v>4272</v>
      </c>
      <c r="O801" s="235">
        <f t="shared" si="50"/>
        <v>0</v>
      </c>
      <c r="P801" s="246" t="s">
        <v>2097</v>
      </c>
      <c r="Q801" s="5" t="s">
        <v>3640</v>
      </c>
      <c r="R801" s="239" t="s">
        <v>2097</v>
      </c>
      <c r="S801" s="238" t="s">
        <v>2097</v>
      </c>
      <c r="T801" s="238" t="s">
        <v>2097</v>
      </c>
      <c r="U801" s="238" t="s">
        <v>2097</v>
      </c>
      <c r="V801" s="246" t="s">
        <v>3626</v>
      </c>
      <c r="W801" s="235">
        <v>8558.0400000000009</v>
      </c>
      <c r="X801" s="7">
        <v>41205</v>
      </c>
      <c r="Y801" s="5">
        <v>23000438484</v>
      </c>
      <c r="Z801" s="273"/>
      <c r="AA801" s="248"/>
      <c r="AB801" s="1" t="s">
        <v>2551</v>
      </c>
    </row>
    <row r="802" spans="1:28" s="5" customFormat="1" ht="12" customHeight="1">
      <c r="A802" s="7">
        <v>41198</v>
      </c>
      <c r="B802" s="5" t="s">
        <v>2579</v>
      </c>
      <c r="C802" s="277" t="s">
        <v>2095</v>
      </c>
      <c r="D802" s="231" t="s">
        <v>233</v>
      </c>
      <c r="E802" s="5" t="s">
        <v>2123</v>
      </c>
      <c r="F802" s="5">
        <v>492</v>
      </c>
      <c r="G802" s="1" t="s">
        <v>232</v>
      </c>
      <c r="H802" s="243">
        <v>5.2</v>
      </c>
      <c r="I802" s="235">
        <f t="shared" si="48"/>
        <v>2558.4</v>
      </c>
      <c r="J802" s="361"/>
      <c r="K802" s="266">
        <f>4.88*F802</f>
        <v>2400.96</v>
      </c>
      <c r="L802" s="245">
        <v>41198</v>
      </c>
      <c r="M802" s="5" t="s">
        <v>2092</v>
      </c>
      <c r="N802" s="235">
        <f t="shared" si="49"/>
        <v>2558.4</v>
      </c>
      <c r="O802" s="235">
        <f t="shared" si="50"/>
        <v>0</v>
      </c>
      <c r="P802" s="246" t="s">
        <v>2097</v>
      </c>
      <c r="Q802" s="5" t="s">
        <v>3640</v>
      </c>
      <c r="R802" s="239" t="s">
        <v>2097</v>
      </c>
      <c r="S802" s="239" t="s">
        <v>2097</v>
      </c>
      <c r="T802" s="239" t="s">
        <v>2097</v>
      </c>
      <c r="U802" s="239" t="s">
        <v>2097</v>
      </c>
      <c r="V802" s="246" t="s">
        <v>3650</v>
      </c>
      <c r="W802" s="235">
        <v>7192.68</v>
      </c>
      <c r="X802" s="7">
        <v>41205</v>
      </c>
      <c r="Y802" s="5">
        <v>23000438484</v>
      </c>
      <c r="Z802" s="273"/>
      <c r="AA802" s="248"/>
      <c r="AB802" s="1" t="s">
        <v>2551</v>
      </c>
    </row>
    <row r="803" spans="1:28" s="5" customFormat="1" ht="12" customHeight="1">
      <c r="A803" s="7">
        <v>41198</v>
      </c>
      <c r="B803" s="5" t="s">
        <v>2579</v>
      </c>
      <c r="C803" s="277" t="s">
        <v>2095</v>
      </c>
      <c r="D803" s="1" t="s">
        <v>355</v>
      </c>
      <c r="E803" s="5" t="s">
        <v>2516</v>
      </c>
      <c r="F803" s="5">
        <v>252</v>
      </c>
      <c r="G803" s="5" t="s">
        <v>2101</v>
      </c>
      <c r="H803" s="243">
        <v>18.39</v>
      </c>
      <c r="I803" s="235">
        <f t="shared" si="48"/>
        <v>4634.28</v>
      </c>
      <c r="J803" s="361" t="s">
        <v>6096</v>
      </c>
      <c r="K803" s="266">
        <f>17.5*240+12*17</f>
        <v>4404</v>
      </c>
      <c r="L803" s="245">
        <v>41198</v>
      </c>
      <c r="M803" s="5" t="s">
        <v>2092</v>
      </c>
      <c r="N803" s="235">
        <f t="shared" si="49"/>
        <v>4634.28</v>
      </c>
      <c r="O803" s="235">
        <f t="shared" si="50"/>
        <v>0</v>
      </c>
      <c r="P803" s="246" t="s">
        <v>2097</v>
      </c>
      <c r="Q803" s="5" t="s">
        <v>3640</v>
      </c>
      <c r="R803" s="247" t="s">
        <v>3651</v>
      </c>
      <c r="S803" s="246" t="s">
        <v>3652</v>
      </c>
      <c r="T803" s="246" t="s">
        <v>3653</v>
      </c>
      <c r="U803" s="246" t="s">
        <v>3654</v>
      </c>
      <c r="V803" s="246" t="s">
        <v>3650</v>
      </c>
      <c r="W803" s="235">
        <v>7192.68</v>
      </c>
      <c r="X803" s="7">
        <v>41205</v>
      </c>
      <c r="Y803" s="5">
        <v>23000438484</v>
      </c>
      <c r="Z803" s="273"/>
      <c r="AA803" s="248"/>
      <c r="AB803" s="1" t="s">
        <v>2551</v>
      </c>
    </row>
    <row r="804" spans="1:28" ht="11.25" customHeight="1">
      <c r="A804" s="7">
        <v>41198</v>
      </c>
      <c r="B804" s="5" t="s">
        <v>2579</v>
      </c>
      <c r="C804" s="277" t="s">
        <v>2095</v>
      </c>
      <c r="D804" s="1" t="s">
        <v>264</v>
      </c>
      <c r="E804" s="5">
        <v>501</v>
      </c>
      <c r="F804" s="5">
        <v>232</v>
      </c>
      <c r="G804" s="5" t="s">
        <v>2101</v>
      </c>
      <c r="H804" s="243">
        <v>1.47</v>
      </c>
      <c r="I804" s="235">
        <f t="shared" si="48"/>
        <v>341.04</v>
      </c>
      <c r="J804" s="361">
        <v>1.39</v>
      </c>
      <c r="K804" s="266">
        <f>1.39*F804</f>
        <v>322.47999999999996</v>
      </c>
      <c r="L804" s="245">
        <v>41198</v>
      </c>
      <c r="M804" s="5" t="s">
        <v>2092</v>
      </c>
      <c r="N804" s="235">
        <f t="shared" si="49"/>
        <v>341.04</v>
      </c>
      <c r="O804" s="235">
        <f t="shared" si="50"/>
        <v>0</v>
      </c>
      <c r="P804" s="246" t="s">
        <v>2097</v>
      </c>
      <c r="Q804" s="5" t="s">
        <v>3640</v>
      </c>
      <c r="R804" s="247" t="s">
        <v>3651</v>
      </c>
      <c r="S804" s="246" t="s">
        <v>3652</v>
      </c>
      <c r="T804" s="246" t="s">
        <v>3653</v>
      </c>
      <c r="U804" s="246" t="s">
        <v>3654</v>
      </c>
      <c r="V804" s="246" t="s">
        <v>3626</v>
      </c>
      <c r="W804" s="235">
        <v>8558.0400000000009</v>
      </c>
      <c r="X804" s="7">
        <v>41205</v>
      </c>
      <c r="Y804" s="5">
        <v>23000438484</v>
      </c>
      <c r="Z804" s="273"/>
      <c r="AA804" s="248"/>
      <c r="AB804" s="1" t="s">
        <v>2551</v>
      </c>
    </row>
    <row r="805" spans="1:28" ht="12" customHeight="1">
      <c r="A805" s="233">
        <v>41198</v>
      </c>
      <c r="B805" s="1" t="s">
        <v>3571</v>
      </c>
      <c r="C805" s="1" t="s">
        <v>2095</v>
      </c>
      <c r="D805" s="1" t="s">
        <v>306</v>
      </c>
      <c r="E805" s="5">
        <v>1426</v>
      </c>
      <c r="F805" s="5">
        <v>10</v>
      </c>
      <c r="G805" s="5" t="s">
        <v>2420</v>
      </c>
      <c r="H805" s="234">
        <v>29</v>
      </c>
      <c r="I805" s="235">
        <f t="shared" si="48"/>
        <v>290</v>
      </c>
      <c r="K805" s="266">
        <f>19.422*10</f>
        <v>194.22</v>
      </c>
      <c r="L805" s="237">
        <v>41198</v>
      </c>
      <c r="M805" s="1" t="s">
        <v>2412</v>
      </c>
      <c r="N805" s="235">
        <f t="shared" si="49"/>
        <v>290</v>
      </c>
      <c r="O805" s="235">
        <f t="shared" si="50"/>
        <v>0</v>
      </c>
      <c r="P805" s="238" t="s">
        <v>3655</v>
      </c>
      <c r="Q805" s="1" t="s">
        <v>2230</v>
      </c>
      <c r="R805" s="239" t="s">
        <v>3573</v>
      </c>
      <c r="S805" s="238" t="s">
        <v>3574</v>
      </c>
      <c r="T805" s="238" t="s">
        <v>3575</v>
      </c>
      <c r="U805" s="238" t="s">
        <v>2097</v>
      </c>
      <c r="V805" s="238" t="s">
        <v>2512</v>
      </c>
      <c r="AB805" s="1" t="s">
        <v>2094</v>
      </c>
    </row>
    <row r="806" spans="1:28" ht="11.25" customHeight="1">
      <c r="A806" s="233">
        <v>41198</v>
      </c>
      <c r="B806" s="1" t="s">
        <v>3571</v>
      </c>
      <c r="C806" s="1" t="s">
        <v>2095</v>
      </c>
      <c r="D806" s="1" t="s">
        <v>2028</v>
      </c>
      <c r="E806" s="5" t="s">
        <v>3656</v>
      </c>
      <c r="F806" s="5">
        <v>5</v>
      </c>
      <c r="G806" s="1" t="s">
        <v>2420</v>
      </c>
      <c r="H806" s="234">
        <v>22</v>
      </c>
      <c r="I806" s="235">
        <f t="shared" si="48"/>
        <v>110</v>
      </c>
      <c r="K806" s="266">
        <f>13.91*5</f>
        <v>69.55</v>
      </c>
      <c r="L806" s="237">
        <v>41198</v>
      </c>
      <c r="M806" s="1" t="s">
        <v>2412</v>
      </c>
      <c r="N806" s="235">
        <f t="shared" si="49"/>
        <v>110</v>
      </c>
      <c r="O806" s="235">
        <f t="shared" si="50"/>
        <v>0</v>
      </c>
      <c r="P806" s="238" t="s">
        <v>3655</v>
      </c>
      <c r="Q806" s="1" t="s">
        <v>2230</v>
      </c>
      <c r="R806" s="239" t="s">
        <v>3573</v>
      </c>
      <c r="S806" s="238" t="s">
        <v>3574</v>
      </c>
      <c r="T806" s="238" t="s">
        <v>3575</v>
      </c>
      <c r="U806" s="238" t="s">
        <v>2097</v>
      </c>
      <c r="V806" s="238" t="s">
        <v>2512</v>
      </c>
      <c r="Z806" s="255" t="s">
        <v>2573</v>
      </c>
      <c r="AB806" s="1" t="s">
        <v>2094</v>
      </c>
    </row>
    <row r="807" spans="1:28" ht="11.25" customHeight="1">
      <c r="A807" s="233">
        <v>41199</v>
      </c>
      <c r="B807" s="1" t="s">
        <v>2589</v>
      </c>
      <c r="C807" s="1" t="s">
        <v>2095</v>
      </c>
      <c r="D807" s="1" t="s">
        <v>1720</v>
      </c>
      <c r="E807" s="5">
        <v>8210</v>
      </c>
      <c r="F807" s="5">
        <v>80</v>
      </c>
      <c r="G807" s="1" t="s">
        <v>2101</v>
      </c>
      <c r="H807" s="234">
        <v>4.18</v>
      </c>
      <c r="I807" s="236">
        <f t="shared" si="48"/>
        <v>334.4</v>
      </c>
      <c r="K807" s="266">
        <f>3.63*60</f>
        <v>217.79999999999998</v>
      </c>
      <c r="L807" s="237">
        <v>41283</v>
      </c>
      <c r="M807" s="1" t="s">
        <v>2349</v>
      </c>
      <c r="N807" s="235">
        <f t="shared" si="49"/>
        <v>334.4</v>
      </c>
      <c r="O807" s="235">
        <f t="shared" si="50"/>
        <v>0</v>
      </c>
      <c r="P807" s="238" t="s">
        <v>3657</v>
      </c>
      <c r="Q807" s="1" t="s">
        <v>2586</v>
      </c>
      <c r="R807" s="239" t="s">
        <v>2591</v>
      </c>
      <c r="S807" s="238" t="s">
        <v>2592</v>
      </c>
      <c r="T807" s="238" t="s">
        <v>3658</v>
      </c>
      <c r="U807" s="238" t="s">
        <v>3659</v>
      </c>
      <c r="V807" s="238" t="s">
        <v>2512</v>
      </c>
      <c r="AB807" s="1" t="s">
        <v>2551</v>
      </c>
    </row>
    <row r="808" spans="1:28" ht="11.25" customHeight="1">
      <c r="A808" s="233">
        <v>41199</v>
      </c>
      <c r="B808" s="1" t="s">
        <v>2589</v>
      </c>
      <c r="C808" s="1" t="s">
        <v>2095</v>
      </c>
      <c r="D808" s="1" t="s">
        <v>2024</v>
      </c>
      <c r="E808" s="5">
        <v>10434</v>
      </c>
      <c r="F808" s="5">
        <v>60</v>
      </c>
      <c r="G808" s="1" t="s">
        <v>2420</v>
      </c>
      <c r="H808" s="234">
        <v>15.6</v>
      </c>
      <c r="I808" s="236">
        <f t="shared" si="48"/>
        <v>936</v>
      </c>
      <c r="K808" s="266">
        <f>14.28*60</f>
        <v>856.8</v>
      </c>
      <c r="L808" s="237">
        <v>41283</v>
      </c>
      <c r="M808" s="1" t="s">
        <v>2349</v>
      </c>
      <c r="N808" s="235">
        <f t="shared" si="49"/>
        <v>936</v>
      </c>
      <c r="O808" s="235">
        <f t="shared" si="50"/>
        <v>0</v>
      </c>
      <c r="P808" s="238" t="s">
        <v>3657</v>
      </c>
      <c r="Q808" s="1" t="s">
        <v>2586</v>
      </c>
      <c r="R808" s="239" t="s">
        <v>2591</v>
      </c>
      <c r="S808" s="238" t="s">
        <v>2592</v>
      </c>
      <c r="T808" s="238" t="s">
        <v>3658</v>
      </c>
      <c r="U808" s="238" t="s">
        <v>3659</v>
      </c>
      <c r="V808" s="238" t="s">
        <v>2512</v>
      </c>
      <c r="AB808" s="1" t="s">
        <v>2551</v>
      </c>
    </row>
    <row r="809" spans="1:28" ht="11.25" customHeight="1">
      <c r="A809" s="233">
        <v>41201</v>
      </c>
      <c r="B809" s="225" t="s">
        <v>3147</v>
      </c>
      <c r="C809" s="1" t="s">
        <v>2095</v>
      </c>
      <c r="D809" s="5" t="s">
        <v>2026</v>
      </c>
      <c r="E809" s="5" t="s">
        <v>3465</v>
      </c>
      <c r="F809" s="5">
        <v>100</v>
      </c>
      <c r="G809" s="1" t="s">
        <v>5002</v>
      </c>
      <c r="H809" s="234">
        <v>2</v>
      </c>
      <c r="I809" s="235">
        <f t="shared" si="48"/>
        <v>200</v>
      </c>
      <c r="J809" s="360">
        <v>1.46</v>
      </c>
      <c r="K809" s="266">
        <f>1.46*100</f>
        <v>146</v>
      </c>
      <c r="L809" s="237">
        <v>41201</v>
      </c>
      <c r="M809" s="1" t="s">
        <v>2412</v>
      </c>
      <c r="N809" s="235">
        <f t="shared" si="49"/>
        <v>200</v>
      </c>
      <c r="O809" s="235">
        <f t="shared" si="50"/>
        <v>0</v>
      </c>
      <c r="P809" s="238" t="s">
        <v>3660</v>
      </c>
      <c r="Q809" s="1" t="s">
        <v>2230</v>
      </c>
      <c r="R809" s="239" t="s">
        <v>2097</v>
      </c>
      <c r="S809" s="238" t="s">
        <v>2097</v>
      </c>
      <c r="T809" s="238" t="s">
        <v>2097</v>
      </c>
      <c r="U809" s="238" t="s">
        <v>2097</v>
      </c>
      <c r="V809" s="238" t="s">
        <v>2512</v>
      </c>
      <c r="AB809" s="1" t="s">
        <v>2094</v>
      </c>
    </row>
    <row r="810" spans="1:28" ht="11.25" customHeight="1">
      <c r="A810" s="233">
        <v>41201</v>
      </c>
      <c r="B810" s="225" t="s">
        <v>3147</v>
      </c>
      <c r="C810" s="1" t="s">
        <v>2095</v>
      </c>
      <c r="D810" s="1" t="s">
        <v>87</v>
      </c>
      <c r="E810" s="5">
        <v>9032</v>
      </c>
      <c r="F810" s="5">
        <v>100</v>
      </c>
      <c r="G810" s="1" t="s">
        <v>2101</v>
      </c>
      <c r="H810" s="234">
        <v>2</v>
      </c>
      <c r="I810" s="235">
        <f t="shared" si="48"/>
        <v>200</v>
      </c>
      <c r="K810" s="266">
        <f>1.4929*100</f>
        <v>149.29</v>
      </c>
      <c r="L810" s="237">
        <v>41201</v>
      </c>
      <c r="M810" s="1" t="s">
        <v>2412</v>
      </c>
      <c r="N810" s="235">
        <f t="shared" si="49"/>
        <v>200</v>
      </c>
      <c r="O810" s="235">
        <f t="shared" si="50"/>
        <v>0</v>
      </c>
      <c r="P810" s="238" t="s">
        <v>3660</v>
      </c>
      <c r="Q810" s="1" t="s">
        <v>2230</v>
      </c>
      <c r="R810" s="239" t="s">
        <v>2097</v>
      </c>
      <c r="S810" s="238" t="s">
        <v>2097</v>
      </c>
      <c r="T810" s="238" t="s">
        <v>2097</v>
      </c>
      <c r="U810" s="238" t="s">
        <v>2097</v>
      </c>
      <c r="V810" s="238" t="s">
        <v>2512</v>
      </c>
      <c r="AB810" s="1" t="s">
        <v>2094</v>
      </c>
    </row>
    <row r="811" spans="1:28" s="5" customFormat="1" ht="11.25" customHeight="1">
      <c r="A811" s="233">
        <v>41201</v>
      </c>
      <c r="B811" s="1" t="s">
        <v>3661</v>
      </c>
      <c r="C811" s="1" t="s">
        <v>2095</v>
      </c>
      <c r="D811" s="95" t="s">
        <v>1042</v>
      </c>
      <c r="E811" s="5">
        <v>52000183617</v>
      </c>
      <c r="F811" s="5">
        <v>1</v>
      </c>
      <c r="G811" s="1" t="s">
        <v>2101</v>
      </c>
      <c r="H811" s="234">
        <v>1800</v>
      </c>
      <c r="I811" s="235">
        <f t="shared" si="48"/>
        <v>1800</v>
      </c>
      <c r="J811" s="352"/>
      <c r="K811" s="266">
        <f>938*1</f>
        <v>938</v>
      </c>
      <c r="L811" s="237">
        <v>41201</v>
      </c>
      <c r="M811" s="1" t="s">
        <v>2412</v>
      </c>
      <c r="N811" s="235">
        <f t="shared" si="49"/>
        <v>1800</v>
      </c>
      <c r="O811" s="235">
        <f t="shared" si="50"/>
        <v>0</v>
      </c>
      <c r="P811" s="238" t="s">
        <v>3662</v>
      </c>
      <c r="Q811" s="1" t="s">
        <v>2230</v>
      </c>
      <c r="R811" s="239" t="s">
        <v>2097</v>
      </c>
      <c r="S811" s="238" t="s">
        <v>2097</v>
      </c>
      <c r="T811" s="238" t="s">
        <v>2097</v>
      </c>
      <c r="U811" s="238" t="s">
        <v>2097</v>
      </c>
      <c r="V811" s="238" t="s">
        <v>2512</v>
      </c>
      <c r="W811" s="236"/>
      <c r="X811" s="233"/>
      <c r="Y811" s="238"/>
      <c r="Z811" s="255"/>
      <c r="AA811" s="240"/>
      <c r="AB811" s="1" t="s">
        <v>2094</v>
      </c>
    </row>
    <row r="812" spans="1:28" s="5" customFormat="1" ht="12" customHeight="1">
      <c r="A812" s="7">
        <v>41201</v>
      </c>
      <c r="B812" s="5" t="s">
        <v>3559</v>
      </c>
      <c r="C812" s="5" t="s">
        <v>2095</v>
      </c>
      <c r="D812" s="1" t="s">
        <v>2043</v>
      </c>
      <c r="E812" s="5" t="s">
        <v>3194</v>
      </c>
      <c r="F812" s="5">
        <v>10</v>
      </c>
      <c r="G812" s="5" t="s">
        <v>3155</v>
      </c>
      <c r="H812" s="243">
        <v>118</v>
      </c>
      <c r="I812" s="235">
        <f t="shared" si="48"/>
        <v>1180</v>
      </c>
      <c r="J812" s="361"/>
      <c r="K812" s="266">
        <f>107.64*10</f>
        <v>1076.4000000000001</v>
      </c>
      <c r="L812" s="245">
        <v>41204</v>
      </c>
      <c r="M812" s="5" t="s">
        <v>2412</v>
      </c>
      <c r="N812" s="235">
        <f t="shared" si="49"/>
        <v>1180</v>
      </c>
      <c r="O812" s="235">
        <f t="shared" si="50"/>
        <v>0</v>
      </c>
      <c r="P812" s="246" t="s">
        <v>3663</v>
      </c>
      <c r="Q812" s="5" t="s">
        <v>2529</v>
      </c>
      <c r="R812" s="239" t="s">
        <v>2097</v>
      </c>
      <c r="S812" s="238" t="s">
        <v>2097</v>
      </c>
      <c r="T812" s="238" t="s">
        <v>3562</v>
      </c>
      <c r="U812" s="238" t="s">
        <v>2097</v>
      </c>
      <c r="V812" s="238" t="s">
        <v>2512</v>
      </c>
      <c r="W812" s="235"/>
      <c r="X812" s="7"/>
      <c r="Y812" s="246"/>
      <c r="Z812" s="273"/>
      <c r="AA812" s="248"/>
      <c r="AB812" s="5" t="s">
        <v>2551</v>
      </c>
    </row>
    <row r="813" spans="1:28" s="5" customFormat="1" ht="12" customHeight="1">
      <c r="A813" s="7">
        <v>41201</v>
      </c>
      <c r="B813" s="5" t="s">
        <v>3559</v>
      </c>
      <c r="C813" s="5" t="s">
        <v>2095</v>
      </c>
      <c r="D813" s="1" t="s">
        <v>355</v>
      </c>
      <c r="E813" s="5" t="s">
        <v>2516</v>
      </c>
      <c r="F813" s="5">
        <v>20</v>
      </c>
      <c r="G813" s="5" t="s">
        <v>2101</v>
      </c>
      <c r="H813" s="243">
        <v>19.850000000000001</v>
      </c>
      <c r="I813" s="235">
        <f t="shared" si="48"/>
        <v>397</v>
      </c>
      <c r="J813" s="361">
        <v>17.5</v>
      </c>
      <c r="K813" s="266">
        <f>17.5*20</f>
        <v>350</v>
      </c>
      <c r="L813" s="245">
        <v>41204</v>
      </c>
      <c r="M813" s="5" t="s">
        <v>2412</v>
      </c>
      <c r="N813" s="235">
        <f t="shared" si="49"/>
        <v>397</v>
      </c>
      <c r="O813" s="235">
        <f t="shared" si="50"/>
        <v>0</v>
      </c>
      <c r="P813" s="246" t="s">
        <v>3663</v>
      </c>
      <c r="Q813" s="5" t="s">
        <v>2529</v>
      </c>
      <c r="R813" s="247"/>
      <c r="S813" s="246"/>
      <c r="T813" s="238" t="s">
        <v>3562</v>
      </c>
      <c r="U813" s="246"/>
      <c r="V813" s="238" t="s">
        <v>2512</v>
      </c>
      <c r="W813" s="235"/>
      <c r="X813" s="7"/>
      <c r="Y813" s="246"/>
      <c r="Z813" s="273"/>
      <c r="AA813" s="248"/>
      <c r="AB813" s="5" t="s">
        <v>2551</v>
      </c>
    </row>
    <row r="814" spans="1:28" s="5" customFormat="1" ht="12" customHeight="1">
      <c r="A814" s="7">
        <v>41204</v>
      </c>
      <c r="B814" s="5" t="s">
        <v>3664</v>
      </c>
      <c r="C814" s="5" t="s">
        <v>2095</v>
      </c>
      <c r="D814" s="1" t="s">
        <v>1216</v>
      </c>
      <c r="E814" s="5">
        <v>3200</v>
      </c>
      <c r="F814" s="5">
        <v>2</v>
      </c>
      <c r="G814" s="5" t="s">
        <v>2101</v>
      </c>
      <c r="H814" s="243">
        <v>25</v>
      </c>
      <c r="I814" s="235">
        <f t="shared" si="48"/>
        <v>50</v>
      </c>
      <c r="J814" s="361"/>
      <c r="K814" s="266">
        <f>23.94*2</f>
        <v>47.88</v>
      </c>
      <c r="L814" s="245">
        <v>41204</v>
      </c>
      <c r="M814" s="5" t="s">
        <v>2349</v>
      </c>
      <c r="N814" s="235">
        <f t="shared" si="49"/>
        <v>50</v>
      </c>
      <c r="O814" s="235">
        <f t="shared" si="50"/>
        <v>0</v>
      </c>
      <c r="P814" s="246" t="s">
        <v>3665</v>
      </c>
      <c r="Q814" s="5" t="s">
        <v>2586</v>
      </c>
      <c r="R814" s="247" t="s">
        <v>3666</v>
      </c>
      <c r="S814" s="246" t="s">
        <v>3667</v>
      </c>
      <c r="T814" s="246" t="s">
        <v>3668</v>
      </c>
      <c r="U814" s="246" t="s">
        <v>3669</v>
      </c>
      <c r="V814" s="246" t="s">
        <v>2512</v>
      </c>
      <c r="W814" s="235"/>
      <c r="X814" s="7"/>
      <c r="Y814" s="246"/>
      <c r="Z814" s="273" t="s">
        <v>2573</v>
      </c>
      <c r="AA814" s="248"/>
      <c r="AB814" s="5" t="s">
        <v>2551</v>
      </c>
    </row>
    <row r="815" spans="1:28" s="5" customFormat="1" ht="11.25" customHeight="1">
      <c r="A815" s="7">
        <v>41204</v>
      </c>
      <c r="B815" s="5" t="s">
        <v>3664</v>
      </c>
      <c r="C815" s="5" t="s">
        <v>2095</v>
      </c>
      <c r="D815" s="1" t="s">
        <v>348</v>
      </c>
      <c r="E815" s="5">
        <v>3700</v>
      </c>
      <c r="F815" s="5">
        <v>2</v>
      </c>
      <c r="G815" s="1" t="s">
        <v>2101</v>
      </c>
      <c r="H815" s="243">
        <v>6</v>
      </c>
      <c r="I815" s="235">
        <f t="shared" si="48"/>
        <v>12</v>
      </c>
      <c r="J815" s="361">
        <v>3.3</v>
      </c>
      <c r="K815" s="266">
        <f>3.3*2</f>
        <v>6.6</v>
      </c>
      <c r="L815" s="245">
        <v>41204</v>
      </c>
      <c r="M815" s="5" t="s">
        <v>2349</v>
      </c>
      <c r="N815" s="235">
        <f t="shared" si="49"/>
        <v>12</v>
      </c>
      <c r="O815" s="235">
        <f t="shared" si="50"/>
        <v>0</v>
      </c>
      <c r="P815" s="246" t="s">
        <v>3665</v>
      </c>
      <c r="Q815" s="5" t="s">
        <v>2586</v>
      </c>
      <c r="R815" s="247" t="s">
        <v>3666</v>
      </c>
      <c r="S815" s="246" t="s">
        <v>3667</v>
      </c>
      <c r="T815" s="246" t="s">
        <v>1028</v>
      </c>
      <c r="U815" s="246" t="s">
        <v>3669</v>
      </c>
      <c r="V815" s="246" t="s">
        <v>2512</v>
      </c>
      <c r="W815" s="235"/>
      <c r="X815" s="7"/>
      <c r="Y815" s="246"/>
      <c r="Z815" s="273"/>
      <c r="AA815" s="248"/>
      <c r="AB815" s="5" t="s">
        <v>2551</v>
      </c>
    </row>
    <row r="816" spans="1:28" s="5" customFormat="1" ht="11.25" customHeight="1">
      <c r="A816" s="7">
        <v>41204</v>
      </c>
      <c r="B816" s="5" t="s">
        <v>3664</v>
      </c>
      <c r="C816" s="5" t="s">
        <v>2095</v>
      </c>
      <c r="D816" s="5" t="s">
        <v>1887</v>
      </c>
      <c r="E816" s="5" t="s">
        <v>2639</v>
      </c>
      <c r="F816" s="5">
        <v>2</v>
      </c>
      <c r="G816" s="1" t="s">
        <v>2514</v>
      </c>
      <c r="H816" s="243">
        <v>4</v>
      </c>
      <c r="I816" s="235">
        <f t="shared" si="48"/>
        <v>8</v>
      </c>
      <c r="J816" s="359">
        <v>1.7</v>
      </c>
      <c r="K816" s="266">
        <f>1.7*2</f>
        <v>3.4</v>
      </c>
      <c r="L816" s="245">
        <v>41204</v>
      </c>
      <c r="M816" s="5" t="s">
        <v>2349</v>
      </c>
      <c r="N816" s="235">
        <f t="shared" si="49"/>
        <v>8</v>
      </c>
      <c r="O816" s="235">
        <f t="shared" si="50"/>
        <v>0</v>
      </c>
      <c r="P816" s="246" t="s">
        <v>3665</v>
      </c>
      <c r="Q816" s="5" t="s">
        <v>2586</v>
      </c>
      <c r="R816" s="247" t="s">
        <v>3666</v>
      </c>
      <c r="S816" s="246" t="s">
        <v>3667</v>
      </c>
      <c r="T816" s="246" t="s">
        <v>3670</v>
      </c>
      <c r="U816" s="246" t="s">
        <v>3669</v>
      </c>
      <c r="V816" s="246" t="s">
        <v>2512</v>
      </c>
      <c r="W816" s="235"/>
      <c r="X816" s="7"/>
      <c r="Y816" s="246"/>
      <c r="Z816" s="273"/>
      <c r="AA816" s="248"/>
      <c r="AB816" s="5" t="s">
        <v>2551</v>
      </c>
    </row>
    <row r="817" spans="1:28" ht="11.25" customHeight="1">
      <c r="A817" s="7">
        <v>41204</v>
      </c>
      <c r="B817" s="5" t="s">
        <v>3671</v>
      </c>
      <c r="C817" s="5" t="s">
        <v>2095</v>
      </c>
      <c r="D817" s="5" t="s">
        <v>1957</v>
      </c>
      <c r="E817" s="5">
        <v>8515</v>
      </c>
      <c r="F817" s="5">
        <v>14</v>
      </c>
      <c r="G817" s="5" t="s">
        <v>2514</v>
      </c>
      <c r="H817" s="243">
        <v>20</v>
      </c>
      <c r="I817" s="235">
        <f t="shared" si="48"/>
        <v>280</v>
      </c>
      <c r="J817" s="361"/>
      <c r="K817" s="266">
        <f>17*20</f>
        <v>340</v>
      </c>
      <c r="L817" s="245">
        <v>41204</v>
      </c>
      <c r="M817" s="5" t="s">
        <v>2412</v>
      </c>
      <c r="N817" s="235">
        <f t="shared" si="49"/>
        <v>280</v>
      </c>
      <c r="O817" s="235">
        <f t="shared" si="50"/>
        <v>0</v>
      </c>
      <c r="P817" s="246" t="s">
        <v>3672</v>
      </c>
      <c r="Q817" s="5" t="s">
        <v>2230</v>
      </c>
      <c r="R817" s="239" t="s">
        <v>3673</v>
      </c>
      <c r="S817" s="238" t="s">
        <v>3674</v>
      </c>
      <c r="T817" s="238" t="s">
        <v>2097</v>
      </c>
      <c r="U817" s="238" t="s">
        <v>2097</v>
      </c>
      <c r="V817" s="246" t="s">
        <v>2512</v>
      </c>
      <c r="W817" s="235"/>
      <c r="X817" s="7"/>
      <c r="Y817" s="246"/>
      <c r="Z817" s="273"/>
      <c r="AA817" s="248"/>
      <c r="AB817" s="5" t="s">
        <v>2551</v>
      </c>
    </row>
    <row r="818" spans="1:28" ht="11.25" customHeight="1">
      <c r="A818" s="233">
        <v>41204</v>
      </c>
      <c r="B818" s="1" t="s">
        <v>2589</v>
      </c>
      <c r="C818" s="5" t="s">
        <v>2095</v>
      </c>
      <c r="D818" s="5" t="s">
        <v>2026</v>
      </c>
      <c r="E818" s="5" t="s">
        <v>3465</v>
      </c>
      <c r="F818" s="5">
        <v>1100</v>
      </c>
      <c r="G818" s="1" t="s">
        <v>5002</v>
      </c>
      <c r="H818" s="234">
        <v>1.59</v>
      </c>
      <c r="I818" s="236">
        <f t="shared" si="48"/>
        <v>1749</v>
      </c>
      <c r="J818" s="360">
        <v>1.46</v>
      </c>
      <c r="K818" s="266">
        <f>1.46*1100</f>
        <v>1606</v>
      </c>
      <c r="L818" s="237">
        <v>41283</v>
      </c>
      <c r="M818" s="1" t="s">
        <v>2349</v>
      </c>
      <c r="N818" s="235">
        <f t="shared" si="49"/>
        <v>1749</v>
      </c>
      <c r="O818" s="235">
        <f t="shared" si="50"/>
        <v>0</v>
      </c>
      <c r="P818" s="238" t="s">
        <v>3675</v>
      </c>
      <c r="Q818" s="1" t="s">
        <v>3676</v>
      </c>
      <c r="R818" s="239" t="s">
        <v>2097</v>
      </c>
      <c r="S818" s="238" t="s">
        <v>2097</v>
      </c>
      <c r="T818" s="238" t="s">
        <v>2097</v>
      </c>
      <c r="U818" s="238" t="s">
        <v>2097</v>
      </c>
      <c r="V818" s="238" t="s">
        <v>2512</v>
      </c>
      <c r="AB818" s="1" t="s">
        <v>2551</v>
      </c>
    </row>
    <row r="819" spans="1:28" ht="11.25" customHeight="1">
      <c r="A819" s="233">
        <v>41204</v>
      </c>
      <c r="B819" s="1" t="s">
        <v>2589</v>
      </c>
      <c r="C819" s="5" t="s">
        <v>2095</v>
      </c>
      <c r="D819" s="1" t="s">
        <v>348</v>
      </c>
      <c r="E819" s="5">
        <v>3700</v>
      </c>
      <c r="F819" s="5">
        <v>5</v>
      </c>
      <c r="G819" s="1" t="s">
        <v>2101</v>
      </c>
      <c r="H819" s="234">
        <v>3.8</v>
      </c>
      <c r="I819" s="236">
        <f t="shared" si="48"/>
        <v>19</v>
      </c>
      <c r="J819" s="352">
        <v>3.3</v>
      </c>
      <c r="K819" s="266">
        <f>3.3*5</f>
        <v>16.5</v>
      </c>
      <c r="L819" s="237">
        <v>41283</v>
      </c>
      <c r="M819" s="1" t="s">
        <v>2349</v>
      </c>
      <c r="N819" s="235">
        <f t="shared" si="49"/>
        <v>19</v>
      </c>
      <c r="O819" s="235">
        <f t="shared" si="50"/>
        <v>0</v>
      </c>
      <c r="P819" s="238" t="s">
        <v>3675</v>
      </c>
      <c r="Q819" s="1" t="s">
        <v>3676</v>
      </c>
      <c r="R819" s="239" t="s">
        <v>2591</v>
      </c>
      <c r="S819" s="238" t="s">
        <v>2592</v>
      </c>
      <c r="T819" s="238" t="s">
        <v>3433</v>
      </c>
      <c r="U819" s="238" t="s">
        <v>3677</v>
      </c>
      <c r="V819" s="238" t="s">
        <v>2512</v>
      </c>
      <c r="AB819" s="1" t="s">
        <v>2551</v>
      </c>
    </row>
    <row r="820" spans="1:28" ht="11.25" customHeight="1">
      <c r="A820" s="233">
        <v>41204</v>
      </c>
      <c r="B820" s="1" t="s">
        <v>2973</v>
      </c>
      <c r="C820" s="5" t="s">
        <v>2095</v>
      </c>
      <c r="D820" s="5" t="s">
        <v>2026</v>
      </c>
      <c r="E820" s="5" t="s">
        <v>3465</v>
      </c>
      <c r="F820" s="5">
        <v>200</v>
      </c>
      <c r="G820" s="1" t="s">
        <v>5002</v>
      </c>
      <c r="H820" s="234">
        <v>2.68</v>
      </c>
      <c r="I820" s="235">
        <f t="shared" si="48"/>
        <v>536</v>
      </c>
      <c r="J820" s="360">
        <v>1.46</v>
      </c>
      <c r="K820" s="266">
        <f>1.46*200</f>
        <v>292</v>
      </c>
      <c r="L820" s="237">
        <v>41206</v>
      </c>
      <c r="M820" s="1" t="s">
        <v>2092</v>
      </c>
      <c r="N820" s="235">
        <f t="shared" si="49"/>
        <v>536</v>
      </c>
      <c r="O820" s="235">
        <f t="shared" si="50"/>
        <v>0</v>
      </c>
      <c r="P820" s="238" t="s">
        <v>3678</v>
      </c>
      <c r="Q820" s="1" t="s">
        <v>2535</v>
      </c>
      <c r="R820" s="239" t="s">
        <v>2975</v>
      </c>
      <c r="S820" s="238" t="s">
        <v>3679</v>
      </c>
      <c r="T820" s="238" t="s">
        <v>2976</v>
      </c>
      <c r="U820" s="238" t="s">
        <v>3680</v>
      </c>
      <c r="V820" s="238" t="s">
        <v>3681</v>
      </c>
      <c r="W820" s="236">
        <v>536</v>
      </c>
      <c r="X820" s="233">
        <v>41204</v>
      </c>
      <c r="Y820" s="238" t="s">
        <v>3680</v>
      </c>
      <c r="AA820" s="240" t="s">
        <v>2692</v>
      </c>
      <c r="AB820" s="1" t="s">
        <v>2094</v>
      </c>
    </row>
    <row r="821" spans="1:28" s="5" customFormat="1" ht="12" customHeight="1">
      <c r="A821" s="233">
        <v>41204</v>
      </c>
      <c r="B821" s="1" t="s">
        <v>3682</v>
      </c>
      <c r="C821" s="5" t="s">
        <v>2095</v>
      </c>
      <c r="D821" s="5" t="s">
        <v>309</v>
      </c>
      <c r="E821" s="5">
        <v>1110</v>
      </c>
      <c r="F821" s="5">
        <v>200</v>
      </c>
      <c r="G821" s="1" t="s">
        <v>2420</v>
      </c>
      <c r="H821" s="234">
        <v>0.86</v>
      </c>
      <c r="I821" s="235">
        <f t="shared" si="48"/>
        <v>172</v>
      </c>
      <c r="J821" s="352"/>
      <c r="K821" s="266">
        <f>0.77*200</f>
        <v>154</v>
      </c>
      <c r="L821" s="237">
        <v>41204</v>
      </c>
      <c r="M821" s="1" t="s">
        <v>2412</v>
      </c>
      <c r="N821" s="235">
        <f t="shared" si="49"/>
        <v>172</v>
      </c>
      <c r="O821" s="235">
        <f t="shared" si="50"/>
        <v>0</v>
      </c>
      <c r="P821" s="238" t="s">
        <v>3683</v>
      </c>
      <c r="Q821" s="1" t="s">
        <v>2230</v>
      </c>
      <c r="R821" s="239" t="s">
        <v>2097</v>
      </c>
      <c r="S821" s="239" t="s">
        <v>2097</v>
      </c>
      <c r="T821" s="239" t="s">
        <v>2097</v>
      </c>
      <c r="U821" s="239" t="s">
        <v>2097</v>
      </c>
      <c r="V821" s="238" t="s">
        <v>3684</v>
      </c>
      <c r="W821" s="236">
        <v>1077</v>
      </c>
      <c r="X821" s="233">
        <v>41256</v>
      </c>
      <c r="Y821" s="255">
        <v>23000504124</v>
      </c>
      <c r="Z821" s="255"/>
      <c r="AA821" s="240"/>
      <c r="AB821" s="1" t="s">
        <v>2551</v>
      </c>
    </row>
    <row r="822" spans="1:28" s="5" customFormat="1" ht="11.25" customHeight="1">
      <c r="A822" s="7">
        <v>41206</v>
      </c>
      <c r="B822" s="5" t="s">
        <v>3685</v>
      </c>
      <c r="C822" s="5" t="s">
        <v>2095</v>
      </c>
      <c r="D822" s="95" t="s">
        <v>1042</v>
      </c>
      <c r="E822" s="5">
        <v>52000183617</v>
      </c>
      <c r="F822" s="5">
        <v>5</v>
      </c>
      <c r="G822" s="5" t="s">
        <v>2101</v>
      </c>
      <c r="H822" s="243">
        <v>950</v>
      </c>
      <c r="I822" s="235">
        <f t="shared" si="48"/>
        <v>4750</v>
      </c>
      <c r="J822" s="361"/>
      <c r="K822" s="266">
        <f>938*5</f>
        <v>4690</v>
      </c>
      <c r="L822" s="245">
        <v>41207</v>
      </c>
      <c r="M822" s="5" t="s">
        <v>2092</v>
      </c>
      <c r="N822" s="235">
        <f t="shared" si="49"/>
        <v>4750</v>
      </c>
      <c r="O822" s="235">
        <f t="shared" si="50"/>
        <v>0</v>
      </c>
      <c r="P822" s="246" t="s">
        <v>3686</v>
      </c>
      <c r="Q822" s="5" t="s">
        <v>2529</v>
      </c>
      <c r="R822" s="247" t="s">
        <v>3687</v>
      </c>
      <c r="S822" s="246" t="s">
        <v>3688</v>
      </c>
      <c r="T822" s="246" t="s">
        <v>3689</v>
      </c>
      <c r="U822" s="246" t="s">
        <v>2097</v>
      </c>
      <c r="V822" s="246" t="s">
        <v>3690</v>
      </c>
      <c r="W822" s="235">
        <v>4750</v>
      </c>
      <c r="X822" s="7">
        <v>41219</v>
      </c>
      <c r="Y822" s="246" t="s">
        <v>3691</v>
      </c>
      <c r="Z822" s="273"/>
      <c r="AA822" s="248"/>
      <c r="AB822" s="1" t="s">
        <v>2551</v>
      </c>
    </row>
    <row r="823" spans="1:28" s="5" customFormat="1" ht="12" customHeight="1">
      <c r="A823" s="7">
        <v>41206</v>
      </c>
      <c r="B823" s="5" t="s">
        <v>2716</v>
      </c>
      <c r="C823" s="5" t="s">
        <v>2095</v>
      </c>
      <c r="D823" s="1" t="s">
        <v>1720</v>
      </c>
      <c r="E823" s="5">
        <v>8210</v>
      </c>
      <c r="F823" s="5">
        <v>800</v>
      </c>
      <c r="G823" s="1" t="s">
        <v>2101</v>
      </c>
      <c r="H823" s="243">
        <v>4</v>
      </c>
      <c r="I823" s="235">
        <f>F823*H823</f>
        <v>3200</v>
      </c>
      <c r="J823" s="361"/>
      <c r="K823" s="266">
        <f>3.63*800</f>
        <v>2904</v>
      </c>
      <c r="L823" s="245">
        <v>41206</v>
      </c>
      <c r="M823" s="5" t="s">
        <v>2092</v>
      </c>
      <c r="N823" s="235">
        <f t="shared" si="49"/>
        <v>3200</v>
      </c>
      <c r="O823" s="235">
        <f t="shared" si="50"/>
        <v>0</v>
      </c>
      <c r="P823" s="246" t="s">
        <v>3692</v>
      </c>
      <c r="Q823" s="7" t="s">
        <v>3693</v>
      </c>
      <c r="R823" s="239" t="s">
        <v>2712</v>
      </c>
      <c r="S823" s="238" t="s">
        <v>2713</v>
      </c>
      <c r="T823" s="238" t="s">
        <v>3454</v>
      </c>
      <c r="U823" s="246" t="s">
        <v>3694</v>
      </c>
      <c r="V823" s="246" t="s">
        <v>3695</v>
      </c>
      <c r="W823" s="235">
        <v>8494</v>
      </c>
      <c r="X823" s="7">
        <v>41219</v>
      </c>
      <c r="Y823" s="246" t="s">
        <v>3696</v>
      </c>
      <c r="Z823" s="273"/>
      <c r="AA823" s="248"/>
      <c r="AB823" s="5" t="s">
        <v>2551</v>
      </c>
    </row>
    <row r="824" spans="1:28" ht="11.25" customHeight="1">
      <c r="A824" s="7">
        <v>41206</v>
      </c>
      <c r="B824" s="5" t="s">
        <v>2716</v>
      </c>
      <c r="C824" s="5" t="s">
        <v>2095</v>
      </c>
      <c r="D824" s="1" t="s">
        <v>2028</v>
      </c>
      <c r="E824" s="5" t="s">
        <v>2822</v>
      </c>
      <c r="F824" s="5">
        <v>50</v>
      </c>
      <c r="G824" s="5" t="s">
        <v>2420</v>
      </c>
      <c r="H824" s="243">
        <v>15.9</v>
      </c>
      <c r="I824" s="235">
        <f t="shared" si="48"/>
        <v>795</v>
      </c>
      <c r="J824" s="361"/>
      <c r="K824" s="266">
        <f>15*50</f>
        <v>750</v>
      </c>
      <c r="L824" s="245">
        <v>41206</v>
      </c>
      <c r="M824" s="5" t="s">
        <v>2092</v>
      </c>
      <c r="N824" s="235">
        <f t="shared" si="49"/>
        <v>795</v>
      </c>
      <c r="O824" s="235">
        <f t="shared" si="50"/>
        <v>0</v>
      </c>
      <c r="P824" s="246" t="s">
        <v>3692</v>
      </c>
      <c r="Q824" s="7" t="s">
        <v>3693</v>
      </c>
      <c r="R824" s="239" t="s">
        <v>2712</v>
      </c>
      <c r="S824" s="238" t="s">
        <v>2713</v>
      </c>
      <c r="T824" s="238" t="s">
        <v>3454</v>
      </c>
      <c r="U824" s="246" t="s">
        <v>3694</v>
      </c>
      <c r="V824" s="246" t="s">
        <v>3695</v>
      </c>
      <c r="W824" s="235">
        <v>8494</v>
      </c>
      <c r="X824" s="7">
        <v>41219</v>
      </c>
      <c r="Y824" s="246" t="s">
        <v>3696</v>
      </c>
      <c r="Z824" s="273"/>
      <c r="AA824" s="248"/>
      <c r="AB824" s="5" t="s">
        <v>2551</v>
      </c>
    </row>
    <row r="825" spans="1:28" ht="11.25" customHeight="1">
      <c r="A825" s="233">
        <v>41206</v>
      </c>
      <c r="B825" s="1" t="s">
        <v>3697</v>
      </c>
      <c r="C825" s="5" t="s">
        <v>2095</v>
      </c>
      <c r="D825" s="1" t="s">
        <v>1720</v>
      </c>
      <c r="E825" s="5">
        <v>8210</v>
      </c>
      <c r="F825" s="5">
        <v>60</v>
      </c>
      <c r="G825" s="1" t="s">
        <v>2101</v>
      </c>
      <c r="H825" s="234">
        <v>6.5</v>
      </c>
      <c r="I825" s="236">
        <f t="shared" si="48"/>
        <v>390</v>
      </c>
      <c r="K825" s="266">
        <f>3.63*60</f>
        <v>217.79999999999998</v>
      </c>
      <c r="L825" s="237">
        <v>41240</v>
      </c>
      <c r="M825" s="1" t="s">
        <v>2092</v>
      </c>
      <c r="N825" s="235">
        <f t="shared" si="49"/>
        <v>390</v>
      </c>
      <c r="O825" s="235">
        <f t="shared" si="50"/>
        <v>0</v>
      </c>
      <c r="P825" s="238" t="s">
        <v>3698</v>
      </c>
      <c r="Q825" s="1" t="s">
        <v>3564</v>
      </c>
      <c r="R825" s="239" t="s">
        <v>3699</v>
      </c>
      <c r="S825" s="238" t="s">
        <v>3700</v>
      </c>
      <c r="T825" s="238" t="s">
        <v>3701</v>
      </c>
      <c r="U825" s="238" t="s">
        <v>3702</v>
      </c>
      <c r="V825" s="238" t="s">
        <v>3703</v>
      </c>
      <c r="W825" s="236">
        <v>4329.5</v>
      </c>
      <c r="X825" s="233">
        <v>41219</v>
      </c>
      <c r="Y825" s="238" t="s">
        <v>3704</v>
      </c>
      <c r="AB825" s="1" t="s">
        <v>2094</v>
      </c>
    </row>
    <row r="826" spans="1:28" ht="11.25" customHeight="1">
      <c r="A826" s="233">
        <v>41206</v>
      </c>
      <c r="B826" s="1" t="s">
        <v>3697</v>
      </c>
      <c r="C826" s="5" t="s">
        <v>2095</v>
      </c>
      <c r="D826" s="1" t="s">
        <v>87</v>
      </c>
      <c r="E826" s="5">
        <v>9032</v>
      </c>
      <c r="F826" s="5">
        <v>500</v>
      </c>
      <c r="G826" s="1" t="s">
        <v>2101</v>
      </c>
      <c r="H826" s="234">
        <v>2.2999999999999998</v>
      </c>
      <c r="I826" s="236">
        <f t="shared" si="48"/>
        <v>1150</v>
      </c>
      <c r="K826" s="266">
        <f>1.4929*500</f>
        <v>746.44999999999993</v>
      </c>
      <c r="L826" s="237">
        <v>41240</v>
      </c>
      <c r="M826" s="1" t="s">
        <v>2092</v>
      </c>
      <c r="N826" s="235">
        <f t="shared" si="49"/>
        <v>1150</v>
      </c>
      <c r="O826" s="235">
        <f t="shared" si="50"/>
        <v>0</v>
      </c>
      <c r="P826" s="238" t="s">
        <v>3698</v>
      </c>
      <c r="Q826" s="1" t="s">
        <v>3564</v>
      </c>
      <c r="R826" s="239" t="s">
        <v>3699</v>
      </c>
      <c r="S826" s="238" t="s">
        <v>3700</v>
      </c>
      <c r="T826" s="238" t="s">
        <v>3701</v>
      </c>
      <c r="U826" s="238" t="s">
        <v>3702</v>
      </c>
      <c r="V826" s="238" t="s">
        <v>3703</v>
      </c>
      <c r="W826" s="236">
        <v>4329.5</v>
      </c>
      <c r="X826" s="233">
        <v>41219</v>
      </c>
      <c r="Y826" s="238" t="s">
        <v>3704</v>
      </c>
      <c r="AB826" s="1" t="s">
        <v>2094</v>
      </c>
    </row>
    <row r="827" spans="1:28" ht="11.25" customHeight="1">
      <c r="A827" s="233">
        <v>41206</v>
      </c>
      <c r="B827" s="1" t="s">
        <v>3697</v>
      </c>
      <c r="C827" s="5" t="s">
        <v>2095</v>
      </c>
      <c r="D827" s="1" t="s">
        <v>694</v>
      </c>
      <c r="E827" s="5" t="s">
        <v>3705</v>
      </c>
      <c r="F827" s="5">
        <v>27</v>
      </c>
      <c r="G827" s="1" t="s">
        <v>2420</v>
      </c>
      <c r="H827" s="234">
        <v>2.5</v>
      </c>
      <c r="I827" s="236">
        <f t="shared" si="48"/>
        <v>67.5</v>
      </c>
      <c r="K827" s="266">
        <f>1.5376*27</f>
        <v>41.5152</v>
      </c>
      <c r="L827" s="237">
        <v>41240</v>
      </c>
      <c r="M827" s="1" t="s">
        <v>2092</v>
      </c>
      <c r="N827" s="235">
        <f t="shared" si="49"/>
        <v>67.5</v>
      </c>
      <c r="O827" s="235">
        <f t="shared" si="50"/>
        <v>0</v>
      </c>
      <c r="P827" s="238" t="s">
        <v>3698</v>
      </c>
      <c r="Q827" s="1" t="s">
        <v>3564</v>
      </c>
      <c r="R827" s="239" t="s">
        <v>3699</v>
      </c>
      <c r="S827" s="238" t="s">
        <v>3700</v>
      </c>
      <c r="T827" s="238" t="s">
        <v>3701</v>
      </c>
      <c r="U827" s="238" t="s">
        <v>3702</v>
      </c>
      <c r="V827" s="238" t="s">
        <v>3703</v>
      </c>
      <c r="W827" s="236">
        <v>4329.5</v>
      </c>
      <c r="X827" s="233">
        <v>41219</v>
      </c>
      <c r="Y827" s="238" t="s">
        <v>3704</v>
      </c>
      <c r="Z827" s="255" t="s">
        <v>2573</v>
      </c>
      <c r="AB827" s="1" t="s">
        <v>2094</v>
      </c>
    </row>
    <row r="828" spans="1:28" ht="11.25" customHeight="1">
      <c r="A828" s="233">
        <v>41206</v>
      </c>
      <c r="B828" s="1" t="s">
        <v>3697</v>
      </c>
      <c r="C828" s="5" t="s">
        <v>2095</v>
      </c>
      <c r="D828" s="1" t="s">
        <v>1921</v>
      </c>
      <c r="E828" s="5">
        <v>8246</v>
      </c>
      <c r="F828" s="5">
        <v>12</v>
      </c>
      <c r="G828" s="1" t="s">
        <v>5641</v>
      </c>
      <c r="H828" s="234">
        <v>19</v>
      </c>
      <c r="I828" s="236">
        <f t="shared" si="48"/>
        <v>228</v>
      </c>
      <c r="K828" s="266">
        <f>12.8*12</f>
        <v>153.60000000000002</v>
      </c>
      <c r="L828" s="237">
        <v>41240</v>
      </c>
      <c r="M828" s="1" t="s">
        <v>2092</v>
      </c>
      <c r="N828" s="235">
        <f t="shared" si="49"/>
        <v>228</v>
      </c>
      <c r="O828" s="235">
        <f t="shared" si="50"/>
        <v>0</v>
      </c>
      <c r="P828" s="238" t="s">
        <v>3698</v>
      </c>
      <c r="Q828" s="1" t="s">
        <v>3564</v>
      </c>
      <c r="R828" s="239" t="s">
        <v>3699</v>
      </c>
      <c r="S828" s="238" t="s">
        <v>3700</v>
      </c>
      <c r="T828" s="238" t="s">
        <v>3701</v>
      </c>
      <c r="U828" s="238" t="s">
        <v>3702</v>
      </c>
      <c r="V828" s="238" t="s">
        <v>3703</v>
      </c>
      <c r="W828" s="236">
        <v>4329.5</v>
      </c>
      <c r="X828" s="233">
        <v>41219</v>
      </c>
      <c r="Y828" s="238" t="s">
        <v>3704</v>
      </c>
      <c r="AB828" s="1" t="s">
        <v>2094</v>
      </c>
    </row>
    <row r="829" spans="1:28" s="5" customFormat="1" ht="11.25" customHeight="1">
      <c r="A829" s="233">
        <v>41206</v>
      </c>
      <c r="B829" s="1" t="s">
        <v>3697</v>
      </c>
      <c r="C829" s="5" t="s">
        <v>2095</v>
      </c>
      <c r="D829" s="1" t="s">
        <v>1884</v>
      </c>
      <c r="E829" s="5">
        <v>8247</v>
      </c>
      <c r="F829" s="5">
        <v>16</v>
      </c>
      <c r="G829" s="1" t="s">
        <v>2514</v>
      </c>
      <c r="H829" s="234">
        <v>19</v>
      </c>
      <c r="I829" s="236">
        <f t="shared" si="48"/>
        <v>304</v>
      </c>
      <c r="J829" s="352" t="s">
        <v>6097</v>
      </c>
      <c r="K829" s="266">
        <f>12.35*16</f>
        <v>197.6</v>
      </c>
      <c r="L829" s="237">
        <v>41240</v>
      </c>
      <c r="M829" s="1" t="s">
        <v>2092</v>
      </c>
      <c r="N829" s="235">
        <f t="shared" si="49"/>
        <v>304</v>
      </c>
      <c r="O829" s="235">
        <f t="shared" si="50"/>
        <v>0</v>
      </c>
      <c r="P829" s="238" t="s">
        <v>3698</v>
      </c>
      <c r="Q829" s="1" t="s">
        <v>3564</v>
      </c>
      <c r="R829" s="239" t="s">
        <v>3699</v>
      </c>
      <c r="S829" s="238" t="s">
        <v>3700</v>
      </c>
      <c r="T829" s="238" t="s">
        <v>3701</v>
      </c>
      <c r="U829" s="238" t="s">
        <v>3702</v>
      </c>
      <c r="V829" s="238" t="s">
        <v>3703</v>
      </c>
      <c r="W829" s="236">
        <v>4329.5</v>
      </c>
      <c r="X829" s="233">
        <v>41219</v>
      </c>
      <c r="Y829" s="238" t="s">
        <v>3704</v>
      </c>
      <c r="Z829" s="255"/>
      <c r="AA829" s="240"/>
      <c r="AB829" s="1" t="s">
        <v>2094</v>
      </c>
    </row>
    <row r="830" spans="1:28" ht="11.25" customHeight="1">
      <c r="A830" s="7">
        <v>41206</v>
      </c>
      <c r="B830" s="5" t="s">
        <v>3706</v>
      </c>
      <c r="C830" s="5" t="s">
        <v>2095</v>
      </c>
      <c r="D830" s="1" t="s">
        <v>2036</v>
      </c>
      <c r="E830" s="5" t="s">
        <v>2590</v>
      </c>
      <c r="F830" s="5">
        <v>50</v>
      </c>
      <c r="G830" s="5" t="s">
        <v>2514</v>
      </c>
      <c r="H830" s="243">
        <v>1.8</v>
      </c>
      <c r="I830" s="235">
        <f t="shared" si="48"/>
        <v>90</v>
      </c>
      <c r="J830" s="361"/>
      <c r="K830" s="266">
        <f>1.5*50</f>
        <v>75</v>
      </c>
      <c r="L830" s="245">
        <v>41207</v>
      </c>
      <c r="M830" s="5" t="s">
        <v>2349</v>
      </c>
      <c r="N830" s="235">
        <f t="shared" si="49"/>
        <v>90</v>
      </c>
      <c r="O830" s="235">
        <f t="shared" si="50"/>
        <v>0</v>
      </c>
      <c r="P830" s="246" t="s">
        <v>3707</v>
      </c>
      <c r="Q830" s="5" t="s">
        <v>3191</v>
      </c>
      <c r="R830" s="247" t="s">
        <v>3708</v>
      </c>
      <c r="S830" s="246" t="s">
        <v>3709</v>
      </c>
      <c r="T830" s="246" t="s">
        <v>3710</v>
      </c>
      <c r="U830" s="246" t="s">
        <v>3711</v>
      </c>
      <c r="V830" s="246" t="s">
        <v>2512</v>
      </c>
      <c r="W830" s="235"/>
      <c r="X830" s="7"/>
      <c r="Y830" s="246"/>
      <c r="Z830" s="273"/>
      <c r="AA830" s="248"/>
      <c r="AB830" s="5" t="s">
        <v>2551</v>
      </c>
    </row>
    <row r="831" spans="1:28" ht="11.25" customHeight="1">
      <c r="A831" s="233">
        <v>41206</v>
      </c>
      <c r="B831" s="1" t="s">
        <v>3706</v>
      </c>
      <c r="C831" s="5" t="s">
        <v>2095</v>
      </c>
      <c r="D831" s="5" t="s">
        <v>2026</v>
      </c>
      <c r="E831" s="5" t="s">
        <v>3712</v>
      </c>
      <c r="F831" s="5">
        <v>50</v>
      </c>
      <c r="G831" s="1" t="s">
        <v>5002</v>
      </c>
      <c r="H831" s="234">
        <v>1.8</v>
      </c>
      <c r="I831" s="235">
        <f t="shared" si="48"/>
        <v>90</v>
      </c>
      <c r="J831" s="360">
        <v>1.46</v>
      </c>
      <c r="K831" s="266">
        <f>1.46*50</f>
        <v>73</v>
      </c>
      <c r="L831" s="237">
        <v>41207</v>
      </c>
      <c r="M831" s="1" t="s">
        <v>2349</v>
      </c>
      <c r="N831" s="235">
        <f t="shared" si="49"/>
        <v>90</v>
      </c>
      <c r="O831" s="235">
        <f t="shared" si="50"/>
        <v>0</v>
      </c>
      <c r="P831" s="238" t="s">
        <v>3707</v>
      </c>
      <c r="Q831" s="5" t="s">
        <v>3191</v>
      </c>
      <c r="R831" s="239" t="s">
        <v>3708</v>
      </c>
      <c r="S831" s="238" t="s">
        <v>3709</v>
      </c>
      <c r="T831" s="238" t="s">
        <v>3710</v>
      </c>
      <c r="U831" s="238" t="s">
        <v>3711</v>
      </c>
      <c r="V831" s="238" t="s">
        <v>2512</v>
      </c>
      <c r="AB831" s="5" t="s">
        <v>2551</v>
      </c>
    </row>
    <row r="832" spans="1:28" ht="11.25" customHeight="1">
      <c r="A832" s="233">
        <v>41206</v>
      </c>
      <c r="B832" s="1" t="s">
        <v>3706</v>
      </c>
      <c r="C832" s="5" t="s">
        <v>2095</v>
      </c>
      <c r="D832" s="1" t="s">
        <v>87</v>
      </c>
      <c r="E832" s="5">
        <v>9032</v>
      </c>
      <c r="F832" s="5">
        <v>200</v>
      </c>
      <c r="G832" s="1" t="s">
        <v>2101</v>
      </c>
      <c r="H832" s="234">
        <v>1.8</v>
      </c>
      <c r="I832" s="235">
        <f t="shared" si="48"/>
        <v>360</v>
      </c>
      <c r="K832" s="266">
        <f>1.4929*200</f>
        <v>298.58</v>
      </c>
      <c r="L832" s="237">
        <v>41207</v>
      </c>
      <c r="M832" s="1" t="s">
        <v>2349</v>
      </c>
      <c r="N832" s="235">
        <f t="shared" si="49"/>
        <v>360</v>
      </c>
      <c r="O832" s="235">
        <f t="shared" si="50"/>
        <v>0</v>
      </c>
      <c r="P832" s="238" t="s">
        <v>3707</v>
      </c>
      <c r="Q832" s="5" t="s">
        <v>3191</v>
      </c>
      <c r="R832" s="239" t="s">
        <v>3708</v>
      </c>
      <c r="S832" s="238" t="s">
        <v>3709</v>
      </c>
      <c r="T832" s="238" t="s">
        <v>3710</v>
      </c>
      <c r="U832" s="238" t="s">
        <v>3711</v>
      </c>
      <c r="V832" s="238" t="s">
        <v>2512</v>
      </c>
      <c r="AB832" s="5" t="s">
        <v>2551</v>
      </c>
    </row>
    <row r="833" spans="1:28" s="5" customFormat="1" ht="11.25" customHeight="1">
      <c r="A833" s="233">
        <v>41206</v>
      </c>
      <c r="B833" s="1" t="s">
        <v>3706</v>
      </c>
      <c r="C833" s="5" t="s">
        <v>2095</v>
      </c>
      <c r="D833" s="5" t="s">
        <v>857</v>
      </c>
      <c r="E833" s="5">
        <v>9031</v>
      </c>
      <c r="F833" s="5">
        <v>150</v>
      </c>
      <c r="G833" s="232" t="s">
        <v>2101</v>
      </c>
      <c r="H833" s="234">
        <v>1.8</v>
      </c>
      <c r="I833" s="235">
        <f t="shared" si="48"/>
        <v>270</v>
      </c>
      <c r="J833" s="352"/>
      <c r="K833" s="266">
        <f>1.4929*150</f>
        <v>223.93499999999997</v>
      </c>
      <c r="L833" s="237">
        <v>41207</v>
      </c>
      <c r="M833" s="1" t="s">
        <v>2349</v>
      </c>
      <c r="N833" s="235">
        <f t="shared" si="49"/>
        <v>270</v>
      </c>
      <c r="O833" s="235">
        <f t="shared" si="50"/>
        <v>0</v>
      </c>
      <c r="P833" s="238" t="s">
        <v>3707</v>
      </c>
      <c r="Q833" s="5" t="s">
        <v>3191</v>
      </c>
      <c r="R833" s="239" t="s">
        <v>3708</v>
      </c>
      <c r="S833" s="238" t="s">
        <v>3709</v>
      </c>
      <c r="T833" s="238" t="s">
        <v>3710</v>
      </c>
      <c r="U833" s="238" t="s">
        <v>3711</v>
      </c>
      <c r="V833" s="238" t="s">
        <v>2512</v>
      </c>
      <c r="W833" s="236"/>
      <c r="X833" s="233"/>
      <c r="Y833" s="238"/>
      <c r="Z833" s="255"/>
      <c r="AA833" s="240"/>
      <c r="AB833" s="5" t="s">
        <v>2551</v>
      </c>
    </row>
    <row r="834" spans="1:28" ht="11.25" customHeight="1">
      <c r="A834" s="7">
        <v>41206</v>
      </c>
      <c r="B834" s="5" t="s">
        <v>3706</v>
      </c>
      <c r="C834" s="5" t="s">
        <v>2095</v>
      </c>
      <c r="D834" s="1" t="s">
        <v>1225</v>
      </c>
      <c r="E834" s="5" t="s">
        <v>2982</v>
      </c>
      <c r="F834" s="5">
        <v>25</v>
      </c>
      <c r="G834" s="5" t="s">
        <v>2101</v>
      </c>
      <c r="H834" s="243">
        <v>4.8</v>
      </c>
      <c r="I834" s="235">
        <f t="shared" si="48"/>
        <v>120</v>
      </c>
      <c r="J834" s="361"/>
      <c r="K834" s="266">
        <f>3.86*25</f>
        <v>96.5</v>
      </c>
      <c r="L834" s="245">
        <v>41207</v>
      </c>
      <c r="M834" s="5" t="s">
        <v>2349</v>
      </c>
      <c r="N834" s="235">
        <f t="shared" si="49"/>
        <v>120</v>
      </c>
      <c r="O834" s="235">
        <f t="shared" si="50"/>
        <v>0</v>
      </c>
      <c r="P834" s="246" t="s">
        <v>3707</v>
      </c>
      <c r="Q834" s="5" t="s">
        <v>3191</v>
      </c>
      <c r="R834" s="247" t="s">
        <v>3708</v>
      </c>
      <c r="S834" s="246" t="s">
        <v>3709</v>
      </c>
      <c r="T834" s="246" t="s">
        <v>3710</v>
      </c>
      <c r="U834" s="246" t="s">
        <v>3711</v>
      </c>
      <c r="V834" s="246" t="s">
        <v>2512</v>
      </c>
      <c r="W834" s="235"/>
      <c r="X834" s="7"/>
      <c r="Y834" s="246"/>
      <c r="Z834" s="273"/>
      <c r="AA834" s="248"/>
      <c r="AB834" s="5" t="s">
        <v>2551</v>
      </c>
    </row>
    <row r="835" spans="1:28" ht="12" customHeight="1">
      <c r="A835" s="233">
        <v>41207</v>
      </c>
      <c r="B835" s="1" t="s">
        <v>2186</v>
      </c>
      <c r="C835" s="1" t="s">
        <v>2095</v>
      </c>
      <c r="D835" s="1" t="s">
        <v>1923</v>
      </c>
      <c r="E835" s="5" t="s">
        <v>3519</v>
      </c>
      <c r="F835" s="5">
        <v>30</v>
      </c>
      <c r="G835" s="1" t="s">
        <v>2101</v>
      </c>
      <c r="H835" s="234">
        <v>2.0099999999999998</v>
      </c>
      <c r="I835" s="235">
        <f t="shared" si="48"/>
        <v>60.3</v>
      </c>
      <c r="K835" s="266">
        <f>1.82*10+1.88*10+1.82*10</f>
        <v>55.2</v>
      </c>
      <c r="N835" s="235">
        <v>0</v>
      </c>
      <c r="O835" s="235">
        <f>I835-N835</f>
        <v>60.3</v>
      </c>
      <c r="P835" s="238" t="s">
        <v>2097</v>
      </c>
      <c r="Q835" s="1" t="s">
        <v>3713</v>
      </c>
      <c r="R835" s="239" t="s">
        <v>2642</v>
      </c>
      <c r="S835" s="238" t="s">
        <v>2643</v>
      </c>
      <c r="T835" s="238" t="s">
        <v>3714</v>
      </c>
      <c r="U835" s="238" t="s">
        <v>3715</v>
      </c>
      <c r="AB835" s="5" t="s">
        <v>2551</v>
      </c>
    </row>
    <row r="836" spans="1:28" s="5" customFormat="1" ht="11.25" customHeight="1">
      <c r="A836" s="233">
        <v>41207</v>
      </c>
      <c r="B836" s="1" t="s">
        <v>3716</v>
      </c>
      <c r="C836" s="1" t="s">
        <v>2095</v>
      </c>
      <c r="D836" s="225" t="s">
        <v>986</v>
      </c>
      <c r="E836" s="5">
        <v>6800</v>
      </c>
      <c r="F836" s="5">
        <v>1</v>
      </c>
      <c r="G836" s="1" t="s">
        <v>2101</v>
      </c>
      <c r="H836" s="234">
        <v>467</v>
      </c>
      <c r="I836" s="235">
        <f t="shared" si="48"/>
        <v>467</v>
      </c>
      <c r="J836" s="352"/>
      <c r="K836" s="266">
        <f>430*1</f>
        <v>430</v>
      </c>
      <c r="L836" s="237">
        <v>41207</v>
      </c>
      <c r="M836" s="1" t="s">
        <v>2412</v>
      </c>
      <c r="N836" s="235">
        <f t="shared" ref="N836:N898" si="51">I836</f>
        <v>467</v>
      </c>
      <c r="O836" s="235">
        <f t="shared" ref="O836:O843" si="52">I836-N836</f>
        <v>0</v>
      </c>
      <c r="P836" s="238" t="s">
        <v>3717</v>
      </c>
      <c r="Q836" s="1" t="s">
        <v>2230</v>
      </c>
      <c r="R836" s="239" t="s">
        <v>3718</v>
      </c>
      <c r="S836" s="238" t="s">
        <v>3719</v>
      </c>
      <c r="T836" s="238" t="s">
        <v>3720</v>
      </c>
      <c r="U836" s="238" t="s">
        <v>2097</v>
      </c>
      <c r="V836" s="238" t="s">
        <v>2512</v>
      </c>
      <c r="W836" s="236"/>
      <c r="X836" s="233"/>
      <c r="Y836" s="238"/>
      <c r="Z836" s="255"/>
      <c r="AA836" s="240"/>
      <c r="AB836" s="5" t="s">
        <v>2551</v>
      </c>
    </row>
    <row r="837" spans="1:28" s="5" customFormat="1" ht="11.25" customHeight="1">
      <c r="A837" s="7">
        <v>41211</v>
      </c>
      <c r="B837" s="5" t="s">
        <v>2589</v>
      </c>
      <c r="C837" s="5" t="s">
        <v>2095</v>
      </c>
      <c r="D837" s="5" t="s">
        <v>2026</v>
      </c>
      <c r="E837" s="5" t="s">
        <v>2513</v>
      </c>
      <c r="F837" s="5">
        <v>500</v>
      </c>
      <c r="G837" s="1" t="s">
        <v>5002</v>
      </c>
      <c r="H837" s="243">
        <v>1.59</v>
      </c>
      <c r="I837" s="235">
        <f t="shared" si="48"/>
        <v>795</v>
      </c>
      <c r="J837" s="360">
        <v>1.46</v>
      </c>
      <c r="K837" s="266">
        <f>1.46*500</f>
        <v>730</v>
      </c>
      <c r="L837" s="237">
        <v>41283</v>
      </c>
      <c r="M837" s="1" t="s">
        <v>2349</v>
      </c>
      <c r="N837" s="235">
        <f t="shared" si="51"/>
        <v>795</v>
      </c>
      <c r="O837" s="235">
        <f t="shared" si="52"/>
        <v>0</v>
      </c>
      <c r="P837" s="246" t="s">
        <v>3721</v>
      </c>
      <c r="Q837" s="5" t="s">
        <v>3722</v>
      </c>
      <c r="R837" s="247" t="s">
        <v>2591</v>
      </c>
      <c r="S837" s="246" t="s">
        <v>2592</v>
      </c>
      <c r="T837" s="246" t="s">
        <v>3723</v>
      </c>
      <c r="U837" s="246" t="s">
        <v>3724</v>
      </c>
      <c r="V837" s="246" t="s">
        <v>2512</v>
      </c>
      <c r="W837" s="235"/>
      <c r="X837" s="7"/>
      <c r="Y837" s="246"/>
      <c r="Z837" s="273"/>
      <c r="AA837" s="248"/>
      <c r="AB837" s="5" t="s">
        <v>2551</v>
      </c>
    </row>
    <row r="838" spans="1:28" s="5" customFormat="1" ht="11.25" customHeight="1">
      <c r="A838" s="7">
        <v>41211</v>
      </c>
      <c r="B838" s="5" t="s">
        <v>2589</v>
      </c>
      <c r="C838" s="5" t="s">
        <v>2095</v>
      </c>
      <c r="D838" s="1" t="s">
        <v>1225</v>
      </c>
      <c r="E838" s="5" t="s">
        <v>2982</v>
      </c>
      <c r="F838" s="5">
        <v>300</v>
      </c>
      <c r="G838" s="5" t="s">
        <v>2101</v>
      </c>
      <c r="H838" s="243">
        <v>4.0999999999999996</v>
      </c>
      <c r="I838" s="235">
        <f>H838*F838</f>
        <v>1230</v>
      </c>
      <c r="J838" s="361"/>
      <c r="K838" s="266">
        <f>3.86*300</f>
        <v>1158</v>
      </c>
      <c r="L838" s="237">
        <v>41283</v>
      </c>
      <c r="M838" s="1" t="s">
        <v>2349</v>
      </c>
      <c r="N838" s="235">
        <f t="shared" si="51"/>
        <v>1230</v>
      </c>
      <c r="O838" s="235">
        <f t="shared" si="52"/>
        <v>0</v>
      </c>
      <c r="P838" s="246" t="s">
        <v>3721</v>
      </c>
      <c r="Q838" s="5" t="s">
        <v>3722</v>
      </c>
      <c r="R838" s="247" t="s">
        <v>2591</v>
      </c>
      <c r="S838" s="246" t="s">
        <v>2592</v>
      </c>
      <c r="T838" s="246" t="s">
        <v>3723</v>
      </c>
      <c r="U838" s="246" t="s">
        <v>3724</v>
      </c>
      <c r="V838" s="246" t="s">
        <v>2512</v>
      </c>
      <c r="W838" s="235"/>
      <c r="X838" s="7"/>
      <c r="Y838" s="246"/>
      <c r="Z838" s="273"/>
      <c r="AA838" s="248"/>
      <c r="AB838" s="5" t="s">
        <v>2551</v>
      </c>
    </row>
    <row r="839" spans="1:28" s="5" customFormat="1" ht="11.25" customHeight="1">
      <c r="A839" s="7">
        <v>41211</v>
      </c>
      <c r="B839" s="5" t="s">
        <v>2589</v>
      </c>
      <c r="C839" s="5" t="s">
        <v>2095</v>
      </c>
      <c r="D839" s="1" t="s">
        <v>2024</v>
      </c>
      <c r="E839" s="5">
        <v>10434</v>
      </c>
      <c r="F839" s="5">
        <v>40</v>
      </c>
      <c r="G839" s="5" t="s">
        <v>2420</v>
      </c>
      <c r="H839" s="243">
        <v>16.559999999999999</v>
      </c>
      <c r="I839" s="235">
        <f>H839*F839</f>
        <v>662.4</v>
      </c>
      <c r="J839" s="361"/>
      <c r="K839" s="266">
        <f>14.5*40</f>
        <v>580</v>
      </c>
      <c r="L839" s="237">
        <v>41283</v>
      </c>
      <c r="M839" s="1" t="s">
        <v>2349</v>
      </c>
      <c r="N839" s="235">
        <f t="shared" si="51"/>
        <v>662.4</v>
      </c>
      <c r="O839" s="235">
        <f t="shared" si="52"/>
        <v>0</v>
      </c>
      <c r="P839" s="246" t="s">
        <v>3721</v>
      </c>
      <c r="Q839" s="5" t="s">
        <v>3722</v>
      </c>
      <c r="R839" s="247" t="s">
        <v>2591</v>
      </c>
      <c r="S839" s="246" t="s">
        <v>2592</v>
      </c>
      <c r="T839" s="246" t="s">
        <v>3723</v>
      </c>
      <c r="U839" s="246" t="s">
        <v>3724</v>
      </c>
      <c r="V839" s="246" t="s">
        <v>2512</v>
      </c>
      <c r="W839" s="235"/>
      <c r="X839" s="7"/>
      <c r="Y839" s="246"/>
      <c r="Z839" s="273"/>
      <c r="AA839" s="248"/>
      <c r="AB839" s="5" t="s">
        <v>2551</v>
      </c>
    </row>
    <row r="840" spans="1:28" s="5" customFormat="1" ht="11.25" customHeight="1">
      <c r="A840" s="7">
        <v>41211</v>
      </c>
      <c r="B840" s="5" t="s">
        <v>3682</v>
      </c>
      <c r="C840" s="5" t="s">
        <v>2095</v>
      </c>
      <c r="D840" s="5" t="s">
        <v>1947</v>
      </c>
      <c r="E840" s="5">
        <v>1110</v>
      </c>
      <c r="F840" s="5">
        <v>200</v>
      </c>
      <c r="G840" s="5" t="s">
        <v>2420</v>
      </c>
      <c r="H840" s="243">
        <v>0.86</v>
      </c>
      <c r="I840" s="235">
        <f>F840*H840</f>
        <v>172</v>
      </c>
      <c r="J840" s="361"/>
      <c r="K840" s="266">
        <f>0.77*200</f>
        <v>154</v>
      </c>
      <c r="L840" s="245">
        <v>41211</v>
      </c>
      <c r="M840" s="5" t="s">
        <v>2412</v>
      </c>
      <c r="N840" s="235">
        <f t="shared" si="51"/>
        <v>172</v>
      </c>
      <c r="O840" s="235">
        <f t="shared" si="52"/>
        <v>0</v>
      </c>
      <c r="P840" s="246" t="s">
        <v>3725</v>
      </c>
      <c r="Q840" s="5" t="s">
        <v>2230</v>
      </c>
      <c r="R840" s="247" t="s">
        <v>2097</v>
      </c>
      <c r="S840" s="246" t="s">
        <v>2097</v>
      </c>
      <c r="T840" s="246" t="s">
        <v>2097</v>
      </c>
      <c r="U840" s="246" t="s">
        <v>2097</v>
      </c>
      <c r="V840" s="238" t="s">
        <v>3684</v>
      </c>
      <c r="W840" s="235">
        <v>1077</v>
      </c>
      <c r="X840" s="7">
        <v>41256</v>
      </c>
      <c r="Y840" s="255">
        <v>23000504124</v>
      </c>
      <c r="Z840" s="273"/>
      <c r="AA840" s="248"/>
      <c r="AB840" s="5" t="s">
        <v>2551</v>
      </c>
    </row>
    <row r="841" spans="1:28" ht="11.25" customHeight="1">
      <c r="A841" s="7">
        <v>41211</v>
      </c>
      <c r="B841" s="5" t="s">
        <v>3559</v>
      </c>
      <c r="C841" s="5" t="s">
        <v>2095</v>
      </c>
      <c r="D841" s="5" t="s">
        <v>1974</v>
      </c>
      <c r="E841" s="5">
        <v>1426</v>
      </c>
      <c r="F841" s="5">
        <v>2</v>
      </c>
      <c r="G841" s="5" t="s">
        <v>2420</v>
      </c>
      <c r="H841" s="243">
        <v>22.4</v>
      </c>
      <c r="I841" s="235">
        <f>F841*H841</f>
        <v>44.8</v>
      </c>
      <c r="J841" s="361"/>
      <c r="K841" s="266">
        <f>19.422*2</f>
        <v>38.844000000000001</v>
      </c>
      <c r="L841" s="245">
        <v>41211</v>
      </c>
      <c r="M841" s="5" t="s">
        <v>2412</v>
      </c>
      <c r="N841" s="235">
        <f t="shared" si="51"/>
        <v>44.8</v>
      </c>
      <c r="O841" s="235">
        <f t="shared" si="52"/>
        <v>0</v>
      </c>
      <c r="P841" s="246" t="s">
        <v>3726</v>
      </c>
      <c r="Q841" s="5" t="s">
        <v>2529</v>
      </c>
      <c r="R841" s="247" t="s">
        <v>2097</v>
      </c>
      <c r="S841" s="246" t="s">
        <v>2097</v>
      </c>
      <c r="T841" s="238" t="s">
        <v>3562</v>
      </c>
      <c r="U841" s="246" t="s">
        <v>2097</v>
      </c>
      <c r="V841" s="246" t="s">
        <v>2512</v>
      </c>
      <c r="W841" s="235"/>
      <c r="X841" s="7"/>
      <c r="Y841" s="246"/>
      <c r="Z841" s="273"/>
      <c r="AA841" s="248"/>
      <c r="AB841" s="5" t="s">
        <v>2551</v>
      </c>
    </row>
    <row r="842" spans="1:28" ht="11.25" customHeight="1">
      <c r="A842" s="233">
        <v>41211</v>
      </c>
      <c r="B842" s="1" t="s">
        <v>3697</v>
      </c>
      <c r="C842" s="5" t="s">
        <v>2095</v>
      </c>
      <c r="D842" s="1" t="s">
        <v>87</v>
      </c>
      <c r="E842" s="5">
        <v>9032</v>
      </c>
      <c r="F842" s="5">
        <v>500</v>
      </c>
      <c r="G842" s="1" t="s">
        <v>2101</v>
      </c>
      <c r="H842" s="234">
        <v>2.2999999999999998</v>
      </c>
      <c r="I842" s="235">
        <f t="shared" ref="I842:I864" si="53">F842*H842</f>
        <v>1150</v>
      </c>
      <c r="K842" s="266">
        <f>1.4929*500</f>
        <v>746.44999999999993</v>
      </c>
      <c r="L842" s="237">
        <v>41240</v>
      </c>
      <c r="M842" s="1" t="s">
        <v>2092</v>
      </c>
      <c r="N842" s="235">
        <f t="shared" si="51"/>
        <v>1150</v>
      </c>
      <c r="O842" s="235">
        <f t="shared" si="52"/>
        <v>0</v>
      </c>
      <c r="P842" s="238" t="s">
        <v>3727</v>
      </c>
      <c r="Q842" s="1" t="s">
        <v>3564</v>
      </c>
      <c r="R842" s="239" t="s">
        <v>3699</v>
      </c>
      <c r="S842" s="238" t="s">
        <v>3700</v>
      </c>
      <c r="T842" s="238" t="s">
        <v>3701</v>
      </c>
      <c r="U842" s="238" t="s">
        <v>3728</v>
      </c>
      <c r="V842" s="238" t="s">
        <v>3703</v>
      </c>
      <c r="W842" s="236">
        <v>4329.5</v>
      </c>
      <c r="X842" s="233">
        <v>41219</v>
      </c>
      <c r="Y842" s="238" t="s">
        <v>3704</v>
      </c>
      <c r="AB842" s="1" t="s">
        <v>2094</v>
      </c>
    </row>
    <row r="843" spans="1:28" ht="14.25" customHeight="1">
      <c r="A843" s="233">
        <v>41211</v>
      </c>
      <c r="B843" s="1" t="s">
        <v>3697</v>
      </c>
      <c r="C843" s="5" t="s">
        <v>2095</v>
      </c>
      <c r="D843" s="1" t="s">
        <v>1720</v>
      </c>
      <c r="E843" s="5">
        <v>8210</v>
      </c>
      <c r="F843" s="5">
        <v>160</v>
      </c>
      <c r="G843" s="1" t="s">
        <v>2101</v>
      </c>
      <c r="H843" s="234">
        <v>6.5</v>
      </c>
      <c r="I843" s="235">
        <f t="shared" si="53"/>
        <v>1040</v>
      </c>
      <c r="K843" s="266">
        <f>3.63*160</f>
        <v>580.79999999999995</v>
      </c>
      <c r="L843" s="237">
        <v>41240</v>
      </c>
      <c r="M843" s="1" t="s">
        <v>2092</v>
      </c>
      <c r="N843" s="235">
        <f t="shared" si="51"/>
        <v>1040</v>
      </c>
      <c r="O843" s="235">
        <f t="shared" si="52"/>
        <v>0</v>
      </c>
      <c r="P843" s="238" t="s">
        <v>3727</v>
      </c>
      <c r="Q843" s="1" t="s">
        <v>3564</v>
      </c>
      <c r="R843" s="239" t="s">
        <v>3699</v>
      </c>
      <c r="S843" s="238" t="s">
        <v>3700</v>
      </c>
      <c r="T843" s="238" t="s">
        <v>3701</v>
      </c>
      <c r="U843" s="238" t="s">
        <v>3728</v>
      </c>
      <c r="V843" s="238" t="s">
        <v>3703</v>
      </c>
      <c r="W843" s="236">
        <v>4329.5</v>
      </c>
      <c r="X843" s="233">
        <v>41219</v>
      </c>
      <c r="Y843" s="238" t="s">
        <v>3704</v>
      </c>
      <c r="AB843" s="1" t="s">
        <v>2094</v>
      </c>
    </row>
    <row r="844" spans="1:28" ht="11.25" customHeight="1">
      <c r="A844" s="233">
        <v>41211</v>
      </c>
      <c r="B844" s="1" t="s">
        <v>2186</v>
      </c>
      <c r="C844" s="5" t="s">
        <v>2095</v>
      </c>
      <c r="D844" s="1" t="s">
        <v>1923</v>
      </c>
      <c r="E844" s="5" t="s">
        <v>3519</v>
      </c>
      <c r="F844" s="5">
        <v>10</v>
      </c>
      <c r="G844" s="1" t="s">
        <v>2101</v>
      </c>
      <c r="H844" s="234">
        <v>2.0099999999999998</v>
      </c>
      <c r="I844" s="235">
        <f t="shared" si="53"/>
        <v>20.099999999999998</v>
      </c>
      <c r="K844" s="266">
        <f>1.88*10</f>
        <v>18.799999999999997</v>
      </c>
      <c r="N844" s="235">
        <v>0</v>
      </c>
      <c r="O844" s="235">
        <f>I844-N844</f>
        <v>20.099999999999998</v>
      </c>
      <c r="P844" s="238" t="s">
        <v>2097</v>
      </c>
      <c r="Q844" s="1" t="s">
        <v>3564</v>
      </c>
      <c r="R844" s="239" t="s">
        <v>2642</v>
      </c>
      <c r="S844" s="238" t="s">
        <v>2643</v>
      </c>
      <c r="T844" s="238" t="s">
        <v>3714</v>
      </c>
      <c r="U844" s="238" t="s">
        <v>3729</v>
      </c>
      <c r="AB844" s="1" t="s">
        <v>2551</v>
      </c>
    </row>
    <row r="845" spans="1:28" ht="11.25" customHeight="1">
      <c r="A845" s="233">
        <v>41212</v>
      </c>
      <c r="B845" s="1" t="s">
        <v>2099</v>
      </c>
      <c r="C845" s="5" t="s">
        <v>2095</v>
      </c>
      <c r="D845" s="1" t="s">
        <v>2027</v>
      </c>
      <c r="E845" s="5" t="s">
        <v>3730</v>
      </c>
      <c r="F845" s="5">
        <v>25</v>
      </c>
      <c r="G845" s="1" t="s">
        <v>3155</v>
      </c>
      <c r="H845" s="234">
        <v>38.26</v>
      </c>
      <c r="I845" s="235">
        <f t="shared" si="53"/>
        <v>956.5</v>
      </c>
      <c r="K845" s="266">
        <f>33.111*25</f>
        <v>827.77499999999998</v>
      </c>
      <c r="L845" s="237">
        <v>41212</v>
      </c>
      <c r="M845" s="1" t="s">
        <v>2349</v>
      </c>
      <c r="N845" s="235">
        <f t="shared" si="51"/>
        <v>956.5</v>
      </c>
      <c r="O845" s="235">
        <f t="shared" ref="O845:O855" si="54">I845-N845</f>
        <v>0</v>
      </c>
      <c r="P845" s="238" t="s">
        <v>3731</v>
      </c>
      <c r="Q845" s="1" t="s">
        <v>2529</v>
      </c>
      <c r="R845" s="239" t="s">
        <v>3732</v>
      </c>
      <c r="S845" s="238" t="s">
        <v>3733</v>
      </c>
      <c r="T845" s="238" t="s">
        <v>3734</v>
      </c>
      <c r="U845" s="238" t="s">
        <v>2097</v>
      </c>
      <c r="V845" s="238" t="s">
        <v>2097</v>
      </c>
      <c r="AB845" s="1" t="s">
        <v>2551</v>
      </c>
    </row>
    <row r="846" spans="1:28" ht="12" customHeight="1">
      <c r="A846" s="233">
        <v>41212</v>
      </c>
      <c r="B846" s="1" t="s">
        <v>2099</v>
      </c>
      <c r="C846" s="5" t="s">
        <v>2095</v>
      </c>
      <c r="D846" s="1" t="s">
        <v>1887</v>
      </c>
      <c r="E846" s="5" t="s">
        <v>3592</v>
      </c>
      <c r="F846" s="5">
        <v>500</v>
      </c>
      <c r="G846" s="1" t="s">
        <v>2514</v>
      </c>
      <c r="H846" s="234">
        <v>1.97</v>
      </c>
      <c r="I846" s="235">
        <f t="shared" si="53"/>
        <v>985</v>
      </c>
      <c r="J846" s="359">
        <v>1.54</v>
      </c>
      <c r="K846" s="266">
        <f>1.54*500</f>
        <v>770</v>
      </c>
      <c r="L846" s="237">
        <v>41212</v>
      </c>
      <c r="M846" s="1" t="s">
        <v>2349</v>
      </c>
      <c r="N846" s="235">
        <f t="shared" si="51"/>
        <v>985</v>
      </c>
      <c r="O846" s="235">
        <f t="shared" si="54"/>
        <v>0</v>
      </c>
      <c r="P846" s="238" t="s">
        <v>3731</v>
      </c>
      <c r="Q846" s="1" t="s">
        <v>2529</v>
      </c>
      <c r="R846" s="239" t="s">
        <v>3732</v>
      </c>
      <c r="S846" s="238" t="s">
        <v>3733</v>
      </c>
      <c r="T846" s="238" t="s">
        <v>3734</v>
      </c>
      <c r="U846" s="238" t="s">
        <v>2097</v>
      </c>
      <c r="V846" s="238" t="s">
        <v>2097</v>
      </c>
      <c r="AB846" s="1" t="s">
        <v>2551</v>
      </c>
    </row>
    <row r="847" spans="1:28" ht="12" customHeight="1">
      <c r="A847" s="233">
        <v>41212</v>
      </c>
      <c r="B847" s="1" t="s">
        <v>3735</v>
      </c>
      <c r="C847" s="5" t="s">
        <v>2095</v>
      </c>
      <c r="D847" s="1" t="s">
        <v>2053</v>
      </c>
      <c r="E847" s="5" t="s">
        <v>3736</v>
      </c>
      <c r="F847" s="5">
        <v>4</v>
      </c>
      <c r="G847" s="1" t="s">
        <v>2553</v>
      </c>
      <c r="H847" s="270">
        <v>720</v>
      </c>
      <c r="I847" s="236">
        <f t="shared" si="53"/>
        <v>2880</v>
      </c>
      <c r="K847" s="266">
        <f>220*4</f>
        <v>880</v>
      </c>
      <c r="L847" s="237">
        <v>41236</v>
      </c>
      <c r="M847" s="1" t="s">
        <v>2092</v>
      </c>
      <c r="N847" s="235">
        <f t="shared" si="51"/>
        <v>2880</v>
      </c>
      <c r="O847" s="235">
        <f t="shared" si="54"/>
        <v>0</v>
      </c>
      <c r="P847" s="238" t="s">
        <v>3737</v>
      </c>
      <c r="Q847" s="1" t="s">
        <v>2529</v>
      </c>
      <c r="R847" s="239" t="s">
        <v>2097</v>
      </c>
      <c r="S847" s="238" t="s">
        <v>2097</v>
      </c>
      <c r="T847" s="238" t="s">
        <v>2097</v>
      </c>
      <c r="U847" s="238" t="s">
        <v>2097</v>
      </c>
      <c r="V847" s="238" t="s">
        <v>3738</v>
      </c>
      <c r="W847" s="236">
        <v>11540</v>
      </c>
      <c r="X847" s="233">
        <v>41219</v>
      </c>
      <c r="Y847" s="238" t="s">
        <v>3739</v>
      </c>
      <c r="AA847" s="240" t="s">
        <v>2692</v>
      </c>
      <c r="AB847" s="1" t="s">
        <v>2094</v>
      </c>
    </row>
    <row r="848" spans="1:28" ht="12" customHeight="1">
      <c r="A848" s="233">
        <v>41212</v>
      </c>
      <c r="B848" s="1" t="s">
        <v>3735</v>
      </c>
      <c r="C848" s="5" t="s">
        <v>2095</v>
      </c>
      <c r="D848" s="1" t="s">
        <v>1920</v>
      </c>
      <c r="E848" s="5" t="s">
        <v>3740</v>
      </c>
      <c r="F848" s="5">
        <v>4</v>
      </c>
      <c r="G848" s="1" t="s">
        <v>3741</v>
      </c>
      <c r="H848" s="234">
        <v>480</v>
      </c>
      <c r="I848" s="236">
        <f t="shared" si="53"/>
        <v>1920</v>
      </c>
      <c r="K848" s="266">
        <f>210*4</f>
        <v>840</v>
      </c>
      <c r="L848" s="237">
        <v>41236</v>
      </c>
      <c r="M848" s="1" t="s">
        <v>2092</v>
      </c>
      <c r="N848" s="235">
        <f t="shared" si="51"/>
        <v>1920</v>
      </c>
      <c r="O848" s="235">
        <f t="shared" si="54"/>
        <v>0</v>
      </c>
      <c r="P848" s="238" t="s">
        <v>3737</v>
      </c>
      <c r="Q848" s="1" t="s">
        <v>2529</v>
      </c>
      <c r="R848" s="239" t="s">
        <v>2097</v>
      </c>
      <c r="S848" s="238" t="s">
        <v>2097</v>
      </c>
      <c r="T848" s="238" t="s">
        <v>2097</v>
      </c>
      <c r="U848" s="238" t="s">
        <v>2097</v>
      </c>
      <c r="V848" s="238" t="s">
        <v>3738</v>
      </c>
      <c r="W848" s="236">
        <v>11540</v>
      </c>
      <c r="X848" s="233">
        <v>41219</v>
      </c>
      <c r="Y848" s="238" t="s">
        <v>3739</v>
      </c>
      <c r="AA848" s="240" t="s">
        <v>2692</v>
      </c>
      <c r="AB848" s="1" t="s">
        <v>2094</v>
      </c>
    </row>
    <row r="849" spans="1:28" ht="12" customHeight="1">
      <c r="A849" s="233">
        <v>41212</v>
      </c>
      <c r="B849" s="1" t="s">
        <v>3735</v>
      </c>
      <c r="C849" s="5" t="s">
        <v>2095</v>
      </c>
      <c r="D849" s="1" t="s">
        <v>1924</v>
      </c>
      <c r="E849" s="5">
        <v>3511</v>
      </c>
      <c r="F849" s="5">
        <v>3</v>
      </c>
      <c r="G849" s="1" t="s">
        <v>3742</v>
      </c>
      <c r="H849" s="234">
        <v>125</v>
      </c>
      <c r="I849" s="236">
        <f t="shared" si="53"/>
        <v>375</v>
      </c>
      <c r="K849" s="266">
        <f>92*3</f>
        <v>276</v>
      </c>
      <c r="L849" s="237">
        <v>41236</v>
      </c>
      <c r="M849" s="1" t="s">
        <v>2092</v>
      </c>
      <c r="N849" s="235">
        <f t="shared" si="51"/>
        <v>375</v>
      </c>
      <c r="O849" s="235">
        <f t="shared" si="54"/>
        <v>0</v>
      </c>
      <c r="P849" s="238" t="s">
        <v>3737</v>
      </c>
      <c r="Q849" s="1" t="s">
        <v>2529</v>
      </c>
      <c r="R849" s="239" t="s">
        <v>2097</v>
      </c>
      <c r="S849" s="238" t="s">
        <v>2097</v>
      </c>
      <c r="T849" s="238" t="s">
        <v>2097</v>
      </c>
      <c r="U849" s="238" t="s">
        <v>2097</v>
      </c>
      <c r="V849" s="238" t="s">
        <v>3738</v>
      </c>
      <c r="W849" s="236">
        <v>11540</v>
      </c>
      <c r="X849" s="233">
        <v>41219</v>
      </c>
      <c r="Y849" s="238" t="s">
        <v>3739</v>
      </c>
      <c r="AA849" s="240" t="s">
        <v>2692</v>
      </c>
      <c r="AB849" s="1" t="s">
        <v>2094</v>
      </c>
    </row>
    <row r="850" spans="1:28" ht="12" customHeight="1">
      <c r="A850" s="233">
        <v>41212</v>
      </c>
      <c r="B850" s="1" t="s">
        <v>3735</v>
      </c>
      <c r="C850" s="5" t="s">
        <v>2095</v>
      </c>
      <c r="D850" s="1" t="s">
        <v>1925</v>
      </c>
      <c r="E850" s="5">
        <v>3511</v>
      </c>
      <c r="F850" s="5">
        <v>2</v>
      </c>
      <c r="G850" s="1" t="s">
        <v>3742</v>
      </c>
      <c r="H850" s="234">
        <v>125</v>
      </c>
      <c r="I850" s="236">
        <f t="shared" si="53"/>
        <v>250</v>
      </c>
      <c r="K850" s="266">
        <f>92*2</f>
        <v>184</v>
      </c>
      <c r="L850" s="237">
        <v>41236</v>
      </c>
      <c r="M850" s="1" t="s">
        <v>2092</v>
      </c>
      <c r="N850" s="235">
        <f t="shared" si="51"/>
        <v>250</v>
      </c>
      <c r="O850" s="235">
        <f t="shared" si="54"/>
        <v>0</v>
      </c>
      <c r="P850" s="238" t="s">
        <v>3737</v>
      </c>
      <c r="Q850" s="1" t="s">
        <v>2529</v>
      </c>
      <c r="R850" s="239" t="s">
        <v>2097</v>
      </c>
      <c r="S850" s="238" t="s">
        <v>2097</v>
      </c>
      <c r="T850" s="238" t="s">
        <v>2097</v>
      </c>
      <c r="U850" s="238" t="s">
        <v>2097</v>
      </c>
      <c r="V850" s="238" t="s">
        <v>3738</v>
      </c>
      <c r="W850" s="236">
        <v>11540</v>
      </c>
      <c r="X850" s="233">
        <v>41219</v>
      </c>
      <c r="Y850" s="238" t="s">
        <v>3739</v>
      </c>
      <c r="AA850" s="240" t="s">
        <v>2692</v>
      </c>
      <c r="AB850" s="1" t="s">
        <v>2094</v>
      </c>
    </row>
    <row r="851" spans="1:28" s="5" customFormat="1" ht="12" customHeight="1">
      <c r="A851" s="233">
        <v>41212</v>
      </c>
      <c r="B851" s="1" t="s">
        <v>3735</v>
      </c>
      <c r="C851" s="5" t="s">
        <v>2095</v>
      </c>
      <c r="D851" s="1" t="s">
        <v>1926</v>
      </c>
      <c r="E851" s="5" t="s">
        <v>2097</v>
      </c>
      <c r="F851" s="5">
        <v>5</v>
      </c>
      <c r="G851" s="1" t="s">
        <v>2553</v>
      </c>
      <c r="H851" s="234">
        <v>23</v>
      </c>
      <c r="I851" s="236">
        <f t="shared" si="53"/>
        <v>115</v>
      </c>
      <c r="J851" s="352"/>
      <c r="K851" s="266">
        <f>17*5</f>
        <v>85</v>
      </c>
      <c r="L851" s="237">
        <v>41236</v>
      </c>
      <c r="M851" s="1" t="s">
        <v>2092</v>
      </c>
      <c r="N851" s="235">
        <f t="shared" si="51"/>
        <v>115</v>
      </c>
      <c r="O851" s="235">
        <f t="shared" si="54"/>
        <v>0</v>
      </c>
      <c r="P851" s="238" t="s">
        <v>3737</v>
      </c>
      <c r="Q851" s="1" t="s">
        <v>2529</v>
      </c>
      <c r="R851" s="239" t="s">
        <v>2097</v>
      </c>
      <c r="S851" s="238" t="s">
        <v>2097</v>
      </c>
      <c r="T851" s="238" t="s">
        <v>2097</v>
      </c>
      <c r="U851" s="238" t="s">
        <v>2097</v>
      </c>
      <c r="V851" s="238" t="s">
        <v>3738</v>
      </c>
      <c r="W851" s="236">
        <v>11540</v>
      </c>
      <c r="X851" s="233">
        <v>41219</v>
      </c>
      <c r="Y851" s="238" t="s">
        <v>3739</v>
      </c>
      <c r="Z851" s="255"/>
      <c r="AA851" s="240" t="s">
        <v>2692</v>
      </c>
      <c r="AB851" s="1" t="s">
        <v>2094</v>
      </c>
    </row>
    <row r="852" spans="1:28" s="5" customFormat="1" ht="12" customHeight="1">
      <c r="A852" s="7">
        <v>41212</v>
      </c>
      <c r="B852" s="5" t="s">
        <v>3743</v>
      </c>
      <c r="C852" s="5" t="s">
        <v>2095</v>
      </c>
      <c r="D852" s="1" t="s">
        <v>1216</v>
      </c>
      <c r="E852" s="5">
        <v>3200</v>
      </c>
      <c r="F852" s="5">
        <v>40</v>
      </c>
      <c r="G852" s="5" t="s">
        <v>2101</v>
      </c>
      <c r="H852" s="243">
        <v>30.5</v>
      </c>
      <c r="I852" s="235">
        <f t="shared" si="53"/>
        <v>1220</v>
      </c>
      <c r="J852" s="361"/>
      <c r="K852" s="266">
        <f>23.94*40</f>
        <v>957.6</v>
      </c>
      <c r="L852" s="245"/>
      <c r="N852" s="235">
        <v>0</v>
      </c>
      <c r="O852" s="235">
        <f t="shared" si="54"/>
        <v>1220</v>
      </c>
      <c r="P852" s="246" t="s">
        <v>3744</v>
      </c>
      <c r="Q852" s="5" t="s">
        <v>2529</v>
      </c>
      <c r="R852" s="239" t="s">
        <v>2097</v>
      </c>
      <c r="S852" s="238" t="s">
        <v>2097</v>
      </c>
      <c r="T852" s="238" t="s">
        <v>2097</v>
      </c>
      <c r="U852" s="238" t="s">
        <v>2097</v>
      </c>
      <c r="V852" s="246" t="s">
        <v>3745</v>
      </c>
      <c r="W852" s="235">
        <v>2170</v>
      </c>
      <c r="X852" s="7">
        <v>41219</v>
      </c>
      <c r="Y852" s="246" t="s">
        <v>3746</v>
      </c>
      <c r="Z852" s="273"/>
      <c r="AA852" s="248"/>
      <c r="AB852" s="1" t="s">
        <v>2094</v>
      </c>
    </row>
    <row r="853" spans="1:28" s="5" customFormat="1" ht="12" customHeight="1">
      <c r="A853" s="7">
        <v>41212</v>
      </c>
      <c r="B853" s="5" t="s">
        <v>3743</v>
      </c>
      <c r="C853" s="5" t="s">
        <v>2095</v>
      </c>
      <c r="D853" s="1" t="s">
        <v>1887</v>
      </c>
      <c r="E853" s="5" t="s">
        <v>2639</v>
      </c>
      <c r="F853" s="5">
        <v>40</v>
      </c>
      <c r="G853" s="1" t="s">
        <v>2514</v>
      </c>
      <c r="H853" s="243">
        <v>2</v>
      </c>
      <c r="I853" s="235">
        <f t="shared" si="53"/>
        <v>80</v>
      </c>
      <c r="J853" s="361">
        <v>1.7</v>
      </c>
      <c r="K853" s="266">
        <f>1.7*40</f>
        <v>68</v>
      </c>
      <c r="L853" s="245"/>
      <c r="N853" s="235">
        <v>0</v>
      </c>
      <c r="O853" s="235">
        <f t="shared" si="54"/>
        <v>80</v>
      </c>
      <c r="P853" s="246" t="s">
        <v>3744</v>
      </c>
      <c r="Q853" s="5" t="s">
        <v>2529</v>
      </c>
      <c r="R853" s="239" t="s">
        <v>2097</v>
      </c>
      <c r="S853" s="238" t="s">
        <v>2097</v>
      </c>
      <c r="T853" s="238" t="s">
        <v>2097</v>
      </c>
      <c r="U853" s="238" t="s">
        <v>2097</v>
      </c>
      <c r="V853" s="246" t="s">
        <v>3745</v>
      </c>
      <c r="W853" s="235">
        <v>2170</v>
      </c>
      <c r="X853" s="7">
        <v>41219</v>
      </c>
      <c r="Y853" s="246" t="s">
        <v>3746</v>
      </c>
      <c r="Z853" s="273"/>
      <c r="AA853" s="248"/>
      <c r="AB853" s="1" t="s">
        <v>2094</v>
      </c>
    </row>
    <row r="854" spans="1:28" s="5" customFormat="1" ht="12" customHeight="1">
      <c r="A854" s="7">
        <v>41212</v>
      </c>
      <c r="B854" s="5" t="s">
        <v>3743</v>
      </c>
      <c r="C854" s="5" t="s">
        <v>2095</v>
      </c>
      <c r="D854" s="1" t="s">
        <v>348</v>
      </c>
      <c r="E854" s="5">
        <v>3700</v>
      </c>
      <c r="F854" s="5">
        <v>40</v>
      </c>
      <c r="G854" s="1" t="s">
        <v>2101</v>
      </c>
      <c r="H854" s="243">
        <v>4.7</v>
      </c>
      <c r="I854" s="235">
        <f t="shared" si="53"/>
        <v>188</v>
      </c>
      <c r="J854" s="361">
        <v>3.09</v>
      </c>
      <c r="K854" s="266">
        <f>3.09*40</f>
        <v>123.6</v>
      </c>
      <c r="L854" s="245"/>
      <c r="N854" s="235">
        <v>0</v>
      </c>
      <c r="O854" s="235">
        <f t="shared" si="54"/>
        <v>188</v>
      </c>
      <c r="P854" s="246" t="s">
        <v>3744</v>
      </c>
      <c r="Q854" s="5" t="s">
        <v>2529</v>
      </c>
      <c r="R854" s="239" t="s">
        <v>2097</v>
      </c>
      <c r="S854" s="238" t="s">
        <v>2097</v>
      </c>
      <c r="T854" s="238" t="s">
        <v>2097</v>
      </c>
      <c r="U854" s="238" t="s">
        <v>2097</v>
      </c>
      <c r="V854" s="246" t="s">
        <v>3745</v>
      </c>
      <c r="W854" s="235">
        <v>2170</v>
      </c>
      <c r="X854" s="7">
        <v>41219</v>
      </c>
      <c r="Y854" s="246" t="s">
        <v>3746</v>
      </c>
      <c r="Z854" s="273"/>
      <c r="AA854" s="248"/>
      <c r="AB854" s="1" t="s">
        <v>2094</v>
      </c>
    </row>
    <row r="855" spans="1:28" ht="11.25" customHeight="1">
      <c r="A855" s="7">
        <v>41212</v>
      </c>
      <c r="B855" s="5" t="s">
        <v>3743</v>
      </c>
      <c r="C855" s="5" t="s">
        <v>2095</v>
      </c>
      <c r="D855" s="5" t="s">
        <v>307</v>
      </c>
      <c r="E855" s="5">
        <v>1270</v>
      </c>
      <c r="F855" s="5">
        <v>100</v>
      </c>
      <c r="G855" s="5" t="s">
        <v>2420</v>
      </c>
      <c r="H855" s="243">
        <v>5.0999999999999996</v>
      </c>
      <c r="I855" s="235">
        <f t="shared" si="53"/>
        <v>509.99999999999994</v>
      </c>
      <c r="J855" s="361"/>
      <c r="K855" s="266">
        <f>4.31*100</f>
        <v>430.99999999999994</v>
      </c>
      <c r="L855" s="245"/>
      <c r="M855" s="5"/>
      <c r="N855" s="235">
        <v>0</v>
      </c>
      <c r="O855" s="235">
        <f t="shared" si="54"/>
        <v>509.99999999999994</v>
      </c>
      <c r="P855" s="246" t="s">
        <v>3744</v>
      </c>
      <c r="Q855" s="5" t="s">
        <v>2529</v>
      </c>
      <c r="R855" s="239" t="s">
        <v>2097</v>
      </c>
      <c r="S855" s="238" t="s">
        <v>2097</v>
      </c>
      <c r="T855" s="238" t="s">
        <v>2097</v>
      </c>
      <c r="U855" s="238" t="s">
        <v>2097</v>
      </c>
      <c r="V855" s="246" t="s">
        <v>3745</v>
      </c>
      <c r="W855" s="235">
        <v>2170</v>
      </c>
      <c r="X855" s="7">
        <v>41219</v>
      </c>
      <c r="Y855" s="246" t="s">
        <v>3746</v>
      </c>
      <c r="Z855" s="273"/>
      <c r="AA855" s="248"/>
      <c r="AB855" s="5" t="s">
        <v>2094</v>
      </c>
    </row>
    <row r="856" spans="1:28" ht="11.25" customHeight="1">
      <c r="A856" s="233">
        <v>41212</v>
      </c>
      <c r="B856" s="1" t="s">
        <v>3747</v>
      </c>
      <c r="C856" s="1" t="s">
        <v>2095</v>
      </c>
      <c r="D856" s="1" t="s">
        <v>1927</v>
      </c>
      <c r="E856" s="5">
        <v>82518</v>
      </c>
      <c r="F856" s="5">
        <v>300</v>
      </c>
      <c r="G856" s="1" t="s">
        <v>2101</v>
      </c>
      <c r="H856" s="234">
        <v>190</v>
      </c>
      <c r="I856" s="235">
        <f t="shared" si="53"/>
        <v>57000</v>
      </c>
      <c r="K856" s="266">
        <f>127*300</f>
        <v>38100</v>
      </c>
      <c r="L856" s="237">
        <v>41212</v>
      </c>
      <c r="M856" s="1" t="s">
        <v>2092</v>
      </c>
      <c r="N856" s="235">
        <f t="shared" si="51"/>
        <v>57000</v>
      </c>
      <c r="O856" s="235">
        <f t="shared" ref="O856:O859" si="55">I856-N856</f>
        <v>0</v>
      </c>
      <c r="P856" s="238" t="s">
        <v>2097</v>
      </c>
      <c r="Q856" s="1" t="s">
        <v>2097</v>
      </c>
      <c r="R856" s="239" t="s">
        <v>2097</v>
      </c>
      <c r="S856" s="238" t="s">
        <v>2097</v>
      </c>
      <c r="T856" s="238" t="s">
        <v>2097</v>
      </c>
      <c r="U856" s="238" t="s">
        <v>2097</v>
      </c>
      <c r="V856" s="238" t="s">
        <v>3748</v>
      </c>
      <c r="W856" s="236" t="s">
        <v>3749</v>
      </c>
      <c r="X856" s="233">
        <v>41219</v>
      </c>
      <c r="Y856" s="238" t="s">
        <v>3750</v>
      </c>
      <c r="AB856" s="1" t="s">
        <v>2551</v>
      </c>
    </row>
    <row r="857" spans="1:28" ht="11.25" customHeight="1">
      <c r="A857" s="233">
        <v>41212</v>
      </c>
      <c r="B857" s="1" t="s">
        <v>3751</v>
      </c>
      <c r="C857" s="1" t="s">
        <v>2095</v>
      </c>
      <c r="D857" s="1" t="s">
        <v>2036</v>
      </c>
      <c r="E857" s="5" t="s">
        <v>2590</v>
      </c>
      <c r="F857" s="5">
        <v>5000</v>
      </c>
      <c r="G857" s="1" t="s">
        <v>2514</v>
      </c>
      <c r="H857" s="234">
        <v>1.85</v>
      </c>
      <c r="I857" s="235">
        <f t="shared" si="53"/>
        <v>9250</v>
      </c>
      <c r="K857" s="266">
        <f>1.53*5000</f>
        <v>7650</v>
      </c>
      <c r="L857" s="237">
        <v>41212</v>
      </c>
      <c r="M857" s="1" t="s">
        <v>2412</v>
      </c>
      <c r="N857" s="235">
        <f t="shared" si="51"/>
        <v>9250</v>
      </c>
      <c r="O857" s="235">
        <f t="shared" si="55"/>
        <v>0</v>
      </c>
      <c r="P857" s="238" t="s">
        <v>3752</v>
      </c>
      <c r="Q857" s="1" t="s">
        <v>2230</v>
      </c>
      <c r="R857" s="239" t="s">
        <v>3753</v>
      </c>
      <c r="S857" s="238" t="s">
        <v>3754</v>
      </c>
      <c r="T857" s="238" t="s">
        <v>3755</v>
      </c>
      <c r="U857" s="238" t="s">
        <v>5679</v>
      </c>
      <c r="V857" s="238" t="s">
        <v>3756</v>
      </c>
      <c r="W857" s="236">
        <v>9250</v>
      </c>
      <c r="X857" s="233">
        <v>41243</v>
      </c>
      <c r="Y857" s="238" t="s">
        <v>3757</v>
      </c>
      <c r="AB857" s="1" t="s">
        <v>2551</v>
      </c>
    </row>
    <row r="858" spans="1:28" ht="11.25" customHeight="1">
      <c r="A858" s="233">
        <v>41213</v>
      </c>
      <c r="B858" s="1" t="s">
        <v>2579</v>
      </c>
      <c r="C858" s="1" t="s">
        <v>2095</v>
      </c>
      <c r="D858" s="5" t="s">
        <v>309</v>
      </c>
      <c r="E858" s="5">
        <v>1110</v>
      </c>
      <c r="F858" s="5">
        <v>200</v>
      </c>
      <c r="G858" s="1" t="s">
        <v>2420</v>
      </c>
      <c r="H858" s="234">
        <v>0.8</v>
      </c>
      <c r="I858" s="236">
        <f t="shared" si="53"/>
        <v>160</v>
      </c>
      <c r="K858" s="266">
        <f>0.77*200</f>
        <v>154</v>
      </c>
      <c r="L858" s="245">
        <v>41248</v>
      </c>
      <c r="M858" s="5" t="s">
        <v>2092</v>
      </c>
      <c r="N858" s="235">
        <f t="shared" si="51"/>
        <v>160</v>
      </c>
      <c r="O858" s="235">
        <f t="shared" si="55"/>
        <v>0</v>
      </c>
      <c r="P858" s="238" t="s">
        <v>2097</v>
      </c>
      <c r="Q858" s="1" t="s">
        <v>2586</v>
      </c>
      <c r="R858" s="239" t="s">
        <v>2624</v>
      </c>
      <c r="S858" s="238" t="s">
        <v>2625</v>
      </c>
      <c r="T858" s="238" t="s">
        <v>3758</v>
      </c>
      <c r="U858" s="238" t="s">
        <v>3759</v>
      </c>
      <c r="V858" s="238" t="s">
        <v>3760</v>
      </c>
      <c r="W858" s="236" t="s">
        <v>3761</v>
      </c>
      <c r="X858" s="233">
        <v>41239</v>
      </c>
      <c r="Y858" s="238" t="s">
        <v>3762</v>
      </c>
      <c r="AB858" s="1" t="s">
        <v>2551</v>
      </c>
    </row>
    <row r="859" spans="1:28" ht="11.25" customHeight="1">
      <c r="A859" s="233">
        <v>41213</v>
      </c>
      <c r="B859" s="1" t="s">
        <v>2579</v>
      </c>
      <c r="C859" s="1" t="s">
        <v>2095</v>
      </c>
      <c r="D859" s="1" t="s">
        <v>1225</v>
      </c>
      <c r="E859" s="5" t="s">
        <v>3469</v>
      </c>
      <c r="F859" s="5">
        <v>100</v>
      </c>
      <c r="G859" s="1" t="s">
        <v>2101</v>
      </c>
      <c r="H859" s="234">
        <v>4.08</v>
      </c>
      <c r="I859" s="236">
        <f t="shared" si="53"/>
        <v>408</v>
      </c>
      <c r="K859" s="266">
        <f>100*4</f>
        <v>400</v>
      </c>
      <c r="L859" s="245">
        <v>41248</v>
      </c>
      <c r="M859" s="5" t="s">
        <v>2092</v>
      </c>
      <c r="N859" s="235">
        <f t="shared" si="51"/>
        <v>408</v>
      </c>
      <c r="O859" s="235">
        <f t="shared" si="55"/>
        <v>0</v>
      </c>
      <c r="P859" s="238" t="s">
        <v>2097</v>
      </c>
      <c r="Q859" s="1" t="s">
        <v>2586</v>
      </c>
      <c r="R859" s="239" t="s">
        <v>2624</v>
      </c>
      <c r="S859" s="238" t="s">
        <v>2625</v>
      </c>
      <c r="T859" s="238" t="s">
        <v>3758</v>
      </c>
      <c r="U859" s="238" t="s">
        <v>3759</v>
      </c>
      <c r="V859" s="238" t="s">
        <v>3760</v>
      </c>
      <c r="W859" s="236" t="s">
        <v>3761</v>
      </c>
      <c r="X859" s="233">
        <v>41239</v>
      </c>
      <c r="Y859" s="238" t="s">
        <v>3762</v>
      </c>
      <c r="AB859" s="1" t="s">
        <v>2551</v>
      </c>
    </row>
    <row r="860" spans="1:28" ht="11.25" customHeight="1">
      <c r="A860" s="233">
        <v>41213</v>
      </c>
      <c r="B860" s="1" t="s">
        <v>3743</v>
      </c>
      <c r="C860" s="1" t="s">
        <v>2095</v>
      </c>
      <c r="D860" s="5" t="s">
        <v>2026</v>
      </c>
      <c r="E860" s="5" t="s">
        <v>3465</v>
      </c>
      <c r="F860" s="5">
        <v>100</v>
      </c>
      <c r="G860" s="1" t="s">
        <v>5002</v>
      </c>
      <c r="H860" s="234">
        <v>1.72</v>
      </c>
      <c r="I860" s="236">
        <f t="shared" si="53"/>
        <v>172</v>
      </c>
      <c r="J860" s="360">
        <v>1.46</v>
      </c>
      <c r="K860" s="266">
        <f>1.46*100</f>
        <v>146</v>
      </c>
      <c r="N860" s="235">
        <v>0</v>
      </c>
      <c r="O860" s="235">
        <f>I860-N860</f>
        <v>172</v>
      </c>
      <c r="P860" s="238" t="s">
        <v>3763</v>
      </c>
      <c r="Q860" s="1" t="s">
        <v>3713</v>
      </c>
      <c r="R860" s="239" t="s">
        <v>3764</v>
      </c>
      <c r="S860" s="238" t="s">
        <v>3765</v>
      </c>
      <c r="T860" s="238" t="s">
        <v>3766</v>
      </c>
      <c r="U860" s="238" t="s">
        <v>3767</v>
      </c>
      <c r="V860" s="238" t="s">
        <v>3745</v>
      </c>
      <c r="W860" s="236">
        <v>2170</v>
      </c>
      <c r="X860" s="233">
        <v>41219</v>
      </c>
      <c r="Y860" s="238" t="s">
        <v>3746</v>
      </c>
      <c r="AB860" s="1" t="s">
        <v>2094</v>
      </c>
    </row>
    <row r="861" spans="1:28" ht="11.25" customHeight="1">
      <c r="A861" s="233">
        <v>41213</v>
      </c>
      <c r="B861" s="1" t="s">
        <v>3372</v>
      </c>
      <c r="C861" s="1" t="s">
        <v>2095</v>
      </c>
      <c r="D861" s="1" t="s">
        <v>87</v>
      </c>
      <c r="E861" s="5">
        <v>9032</v>
      </c>
      <c r="F861" s="5">
        <v>250</v>
      </c>
      <c r="G861" s="1" t="s">
        <v>2101</v>
      </c>
      <c r="H861" s="234">
        <v>1.73</v>
      </c>
      <c r="I861" s="236">
        <f t="shared" si="53"/>
        <v>432.5</v>
      </c>
      <c r="K861" s="266">
        <f>1.4929*250</f>
        <v>373.22499999999997</v>
      </c>
      <c r="L861" s="237">
        <v>41214</v>
      </c>
      <c r="M861" s="1" t="s">
        <v>2349</v>
      </c>
      <c r="N861" s="235">
        <f t="shared" si="51"/>
        <v>432.5</v>
      </c>
      <c r="O861" s="235">
        <f t="shared" ref="O861:O883" si="56">I861-N861</f>
        <v>0</v>
      </c>
      <c r="P861" s="238" t="s">
        <v>3768</v>
      </c>
      <c r="Q861" s="1" t="s">
        <v>3373</v>
      </c>
      <c r="R861" s="239" t="s">
        <v>3769</v>
      </c>
      <c r="S861" s="238" t="s">
        <v>3770</v>
      </c>
      <c r="T861" s="238" t="s">
        <v>3375</v>
      </c>
      <c r="U861" s="238" t="s">
        <v>3771</v>
      </c>
      <c r="V861" s="238" t="s">
        <v>2512</v>
      </c>
      <c r="AB861" s="1" t="s">
        <v>2551</v>
      </c>
    </row>
    <row r="862" spans="1:28" ht="11.25" customHeight="1">
      <c r="A862" s="233">
        <v>41213</v>
      </c>
      <c r="B862" s="1" t="s">
        <v>3372</v>
      </c>
      <c r="C862" s="1" t="s">
        <v>2095</v>
      </c>
      <c r="D862" s="5" t="s">
        <v>857</v>
      </c>
      <c r="E862" s="5">
        <v>9031</v>
      </c>
      <c r="F862" s="5">
        <v>250</v>
      </c>
      <c r="G862" s="232" t="s">
        <v>2101</v>
      </c>
      <c r="H862" s="234">
        <v>1.73</v>
      </c>
      <c r="I862" s="236">
        <f t="shared" si="53"/>
        <v>432.5</v>
      </c>
      <c r="K862" s="266">
        <f>1.4929*250</f>
        <v>373.22499999999997</v>
      </c>
      <c r="L862" s="237">
        <v>41214</v>
      </c>
      <c r="M862" s="1" t="s">
        <v>2349</v>
      </c>
      <c r="N862" s="235">
        <f t="shared" si="51"/>
        <v>432.5</v>
      </c>
      <c r="O862" s="235">
        <f t="shared" si="56"/>
        <v>0</v>
      </c>
      <c r="P862" s="238" t="s">
        <v>3768</v>
      </c>
      <c r="Q862" s="1" t="s">
        <v>3373</v>
      </c>
      <c r="R862" s="239" t="s">
        <v>3769</v>
      </c>
      <c r="S862" s="238" t="s">
        <v>3770</v>
      </c>
      <c r="T862" s="238" t="s">
        <v>3375</v>
      </c>
      <c r="U862" s="238" t="s">
        <v>3771</v>
      </c>
      <c r="V862" s="238" t="s">
        <v>2512</v>
      </c>
      <c r="AB862" s="1" t="s">
        <v>2551</v>
      </c>
    </row>
    <row r="863" spans="1:28" ht="11.25" customHeight="1">
      <c r="A863" s="233">
        <v>41213</v>
      </c>
      <c r="B863" s="1" t="s">
        <v>3372</v>
      </c>
      <c r="C863" s="1" t="s">
        <v>2095</v>
      </c>
      <c r="D863" s="1" t="s">
        <v>1720</v>
      </c>
      <c r="E863" s="5">
        <v>8210</v>
      </c>
      <c r="F863" s="5">
        <v>20</v>
      </c>
      <c r="G863" s="1" t="s">
        <v>2101</v>
      </c>
      <c r="H863" s="234">
        <v>4.3</v>
      </c>
      <c r="I863" s="236">
        <f t="shared" si="53"/>
        <v>86</v>
      </c>
      <c r="K863" s="266">
        <f>3.63*20</f>
        <v>72.599999999999994</v>
      </c>
      <c r="L863" s="237">
        <v>41214</v>
      </c>
      <c r="M863" s="1" t="s">
        <v>2349</v>
      </c>
      <c r="N863" s="235">
        <f t="shared" si="51"/>
        <v>86</v>
      </c>
      <c r="O863" s="235">
        <f t="shared" si="56"/>
        <v>0</v>
      </c>
      <c r="P863" s="238" t="s">
        <v>3768</v>
      </c>
      <c r="Q863" s="1" t="s">
        <v>3373</v>
      </c>
      <c r="R863" s="239" t="s">
        <v>3769</v>
      </c>
      <c r="S863" s="238" t="s">
        <v>3770</v>
      </c>
      <c r="T863" s="238" t="s">
        <v>3375</v>
      </c>
      <c r="U863" s="238" t="s">
        <v>3771</v>
      </c>
      <c r="V863" s="238" t="s">
        <v>2512</v>
      </c>
      <c r="AB863" s="1" t="s">
        <v>2551</v>
      </c>
    </row>
    <row r="864" spans="1:28" ht="11.25" customHeight="1">
      <c r="A864" s="233">
        <v>41213</v>
      </c>
      <c r="B864" s="1" t="s">
        <v>3372</v>
      </c>
      <c r="C864" s="1" t="s">
        <v>2095</v>
      </c>
      <c r="D864" s="5" t="s">
        <v>309</v>
      </c>
      <c r="E864" s="5">
        <v>1110</v>
      </c>
      <c r="F864" s="5">
        <v>100</v>
      </c>
      <c r="G864" s="1" t="s">
        <v>2420</v>
      </c>
      <c r="H864" s="234">
        <v>0.9</v>
      </c>
      <c r="I864" s="236">
        <f t="shared" si="53"/>
        <v>90</v>
      </c>
      <c r="K864" s="266">
        <f>0.77*100</f>
        <v>77</v>
      </c>
      <c r="L864" s="237">
        <v>41214</v>
      </c>
      <c r="M864" s="1" t="s">
        <v>2349</v>
      </c>
      <c r="N864" s="235">
        <f t="shared" si="51"/>
        <v>90</v>
      </c>
      <c r="O864" s="235">
        <f t="shared" si="56"/>
        <v>0</v>
      </c>
      <c r="P864" s="238" t="s">
        <v>3768</v>
      </c>
      <c r="Q864" s="1" t="s">
        <v>3373</v>
      </c>
      <c r="R864" s="239" t="s">
        <v>3769</v>
      </c>
      <c r="S864" s="238" t="s">
        <v>3770</v>
      </c>
      <c r="T864" s="238" t="s">
        <v>3375</v>
      </c>
      <c r="U864" s="238" t="s">
        <v>3771</v>
      </c>
      <c r="V864" s="238" t="s">
        <v>2512</v>
      </c>
      <c r="AB864" s="1" t="s">
        <v>2551</v>
      </c>
    </row>
    <row r="865" spans="1:28" s="5" customFormat="1" ht="11.25" customHeight="1">
      <c r="A865" s="233">
        <v>41213</v>
      </c>
      <c r="B865" s="1" t="s">
        <v>3772</v>
      </c>
      <c r="C865" s="5" t="s">
        <v>2095</v>
      </c>
      <c r="D865" s="5" t="s">
        <v>857</v>
      </c>
      <c r="E865" s="5">
        <v>9031</v>
      </c>
      <c r="F865" s="5">
        <v>1000</v>
      </c>
      <c r="G865" s="232" t="s">
        <v>2101</v>
      </c>
      <c r="H865" s="234">
        <v>2.2999999999999998</v>
      </c>
      <c r="I865" s="235">
        <f>F865*H865</f>
        <v>2300</v>
      </c>
      <c r="J865" s="352"/>
      <c r="K865" s="266">
        <f>1.4929*1000</f>
        <v>1492.8999999999999</v>
      </c>
      <c r="L865" s="237">
        <v>41212</v>
      </c>
      <c r="M865" s="1" t="s">
        <v>2349</v>
      </c>
      <c r="N865" s="235">
        <f t="shared" si="51"/>
        <v>2300</v>
      </c>
      <c r="O865" s="235">
        <f t="shared" si="56"/>
        <v>0</v>
      </c>
      <c r="P865" s="238" t="s">
        <v>3773</v>
      </c>
      <c r="Q865" s="1" t="s">
        <v>3774</v>
      </c>
      <c r="R865" s="239" t="s">
        <v>3775</v>
      </c>
      <c r="S865" s="238" t="s">
        <v>3776</v>
      </c>
      <c r="T865" s="238" t="s">
        <v>3777</v>
      </c>
      <c r="U865" s="238" t="s">
        <v>3778</v>
      </c>
      <c r="V865" s="238" t="s">
        <v>2512</v>
      </c>
      <c r="W865" s="236"/>
      <c r="X865" s="233"/>
      <c r="Y865" s="238"/>
      <c r="Z865" s="255"/>
      <c r="AA865" s="240"/>
      <c r="AB865" s="1" t="s">
        <v>2094</v>
      </c>
    </row>
    <row r="866" spans="1:28" ht="11.25" customHeight="1">
      <c r="A866" s="7">
        <v>41213</v>
      </c>
      <c r="B866" s="5" t="s">
        <v>3772</v>
      </c>
      <c r="C866" s="5" t="s">
        <v>2095</v>
      </c>
      <c r="D866" s="1" t="s">
        <v>355</v>
      </c>
      <c r="E866" s="5" t="s">
        <v>2516</v>
      </c>
      <c r="F866" s="5">
        <v>60</v>
      </c>
      <c r="G866" s="5" t="s">
        <v>2101</v>
      </c>
      <c r="H866" s="243">
        <v>27</v>
      </c>
      <c r="I866" s="235">
        <f>F866*H866</f>
        <v>1620</v>
      </c>
      <c r="J866" s="361">
        <v>17.5</v>
      </c>
      <c r="K866" s="266">
        <f>17.5*60</f>
        <v>1050</v>
      </c>
      <c r="L866" s="245">
        <v>41212</v>
      </c>
      <c r="M866" s="5" t="s">
        <v>2349</v>
      </c>
      <c r="N866" s="235">
        <f t="shared" si="51"/>
        <v>1620</v>
      </c>
      <c r="O866" s="235">
        <f t="shared" si="56"/>
        <v>0</v>
      </c>
      <c r="P866" s="246" t="s">
        <v>3773</v>
      </c>
      <c r="Q866" s="1" t="s">
        <v>3774</v>
      </c>
      <c r="R866" s="239" t="s">
        <v>3775</v>
      </c>
      <c r="S866" s="238" t="s">
        <v>3776</v>
      </c>
      <c r="T866" s="238" t="s">
        <v>3777</v>
      </c>
      <c r="U866" s="238" t="s">
        <v>3778</v>
      </c>
      <c r="V866" s="246" t="s">
        <v>2512</v>
      </c>
      <c r="W866" s="235"/>
      <c r="X866" s="7"/>
      <c r="Y866" s="246"/>
      <c r="Z866" s="273"/>
      <c r="AA866" s="248"/>
      <c r="AB866" s="5" t="s">
        <v>2094</v>
      </c>
    </row>
    <row r="867" spans="1:28" ht="11.25" customHeight="1">
      <c r="A867" s="233">
        <v>41213</v>
      </c>
      <c r="B867" s="1" t="s">
        <v>3772</v>
      </c>
      <c r="C867" s="5" t="s">
        <v>2095</v>
      </c>
      <c r="D867" s="1" t="s">
        <v>1887</v>
      </c>
      <c r="E867" s="5" t="s">
        <v>3551</v>
      </c>
      <c r="F867" s="5">
        <v>120</v>
      </c>
      <c r="G867" s="1" t="s">
        <v>232</v>
      </c>
      <c r="H867" s="234">
        <v>7.5</v>
      </c>
      <c r="I867" s="235">
        <f>F867*H867</f>
        <v>900</v>
      </c>
      <c r="K867" s="266">
        <f>4.78*120</f>
        <v>573.6</v>
      </c>
      <c r="L867" s="237">
        <v>41212</v>
      </c>
      <c r="M867" s="1" t="s">
        <v>2349</v>
      </c>
      <c r="N867" s="235">
        <f t="shared" si="51"/>
        <v>900</v>
      </c>
      <c r="O867" s="235">
        <f t="shared" si="56"/>
        <v>0</v>
      </c>
      <c r="P867" s="238" t="s">
        <v>3773</v>
      </c>
      <c r="Q867" s="1" t="s">
        <v>3774</v>
      </c>
      <c r="R867" s="239" t="s">
        <v>3775</v>
      </c>
      <c r="S867" s="238" t="s">
        <v>3776</v>
      </c>
      <c r="T867" s="238" t="s">
        <v>3777</v>
      </c>
      <c r="U867" s="238" t="s">
        <v>3778</v>
      </c>
      <c r="V867" s="238" t="s">
        <v>2512</v>
      </c>
      <c r="AB867" s="1" t="s">
        <v>2094</v>
      </c>
    </row>
    <row r="868" spans="1:28" ht="11.25" customHeight="1">
      <c r="A868" s="233">
        <v>41213</v>
      </c>
      <c r="B868" s="1" t="s">
        <v>3772</v>
      </c>
      <c r="C868" s="1" t="s">
        <v>2845</v>
      </c>
      <c r="D868" s="95" t="s">
        <v>5040</v>
      </c>
      <c r="E868" s="5" t="s">
        <v>3779</v>
      </c>
      <c r="F868" s="5">
        <v>12</v>
      </c>
      <c r="G868" s="1" t="s">
        <v>2847</v>
      </c>
      <c r="H868" s="234">
        <v>15</v>
      </c>
      <c r="I868" s="235">
        <f>F868*H868</f>
        <v>180</v>
      </c>
      <c r="K868" s="266">
        <f>10*12</f>
        <v>120</v>
      </c>
      <c r="L868" s="237">
        <v>41212</v>
      </c>
      <c r="M868" s="1" t="s">
        <v>2349</v>
      </c>
      <c r="N868" s="235">
        <f t="shared" si="51"/>
        <v>180</v>
      </c>
      <c r="O868" s="235">
        <f t="shared" si="56"/>
        <v>0</v>
      </c>
      <c r="P868" s="238" t="s">
        <v>3773</v>
      </c>
      <c r="Q868" s="1" t="s">
        <v>3774</v>
      </c>
      <c r="R868" s="239" t="s">
        <v>3775</v>
      </c>
      <c r="S868" s="238" t="s">
        <v>3776</v>
      </c>
      <c r="T868" s="238" t="s">
        <v>3777</v>
      </c>
      <c r="U868" s="238" t="s">
        <v>3778</v>
      </c>
      <c r="V868" s="238" t="s">
        <v>2512</v>
      </c>
      <c r="AB868" s="1" t="s">
        <v>2094</v>
      </c>
    </row>
    <row r="869" spans="1:28" ht="11.25" customHeight="1">
      <c r="A869" s="233">
        <v>41215</v>
      </c>
      <c r="B869" s="1" t="s">
        <v>3372</v>
      </c>
      <c r="C869" s="1" t="s">
        <v>2095</v>
      </c>
      <c r="D869" s="1" t="s">
        <v>2038</v>
      </c>
      <c r="E869" s="5" t="s">
        <v>3780</v>
      </c>
      <c r="F869" s="5">
        <v>100</v>
      </c>
      <c r="G869" s="1" t="s">
        <v>2514</v>
      </c>
      <c r="H869" s="234">
        <v>4.5</v>
      </c>
      <c r="I869" s="236">
        <f t="shared" ref="I869:I874" si="57">F869*H869</f>
        <v>450</v>
      </c>
      <c r="K869" s="266">
        <f>3.59*100</f>
        <v>359</v>
      </c>
      <c r="L869" s="237">
        <v>41214</v>
      </c>
      <c r="M869" s="1" t="s">
        <v>2349</v>
      </c>
      <c r="N869" s="235">
        <f t="shared" si="51"/>
        <v>450</v>
      </c>
      <c r="O869" s="235">
        <f t="shared" si="56"/>
        <v>0</v>
      </c>
      <c r="P869" s="238" t="s">
        <v>3781</v>
      </c>
      <c r="Q869" s="1" t="s">
        <v>3373</v>
      </c>
      <c r="R869" s="239" t="s">
        <v>3769</v>
      </c>
      <c r="S869" s="238" t="s">
        <v>3770</v>
      </c>
      <c r="T869" s="238" t="s">
        <v>3375</v>
      </c>
      <c r="U869" s="238" t="s">
        <v>3782</v>
      </c>
      <c r="V869" s="238" t="s">
        <v>2512</v>
      </c>
      <c r="AB869" s="1" t="s">
        <v>2551</v>
      </c>
    </row>
    <row r="870" spans="1:28" ht="12.75" customHeight="1">
      <c r="A870" s="233">
        <v>41215</v>
      </c>
      <c r="B870" s="1" t="s">
        <v>3783</v>
      </c>
      <c r="C870" s="1" t="s">
        <v>2095</v>
      </c>
      <c r="D870" s="1" t="s">
        <v>1219</v>
      </c>
      <c r="E870" s="5" t="s">
        <v>3577</v>
      </c>
      <c r="F870" s="5">
        <v>12</v>
      </c>
      <c r="G870" s="1" t="s">
        <v>2420</v>
      </c>
      <c r="H870" s="234">
        <v>20</v>
      </c>
      <c r="I870" s="235">
        <f t="shared" si="57"/>
        <v>240</v>
      </c>
      <c r="K870" s="274">
        <f>13*12</f>
        <v>156</v>
      </c>
      <c r="L870" s="237">
        <v>41215</v>
      </c>
      <c r="M870" s="1" t="s">
        <v>2349</v>
      </c>
      <c r="N870" s="235">
        <f t="shared" si="51"/>
        <v>240</v>
      </c>
      <c r="O870" s="235">
        <f t="shared" si="56"/>
        <v>0</v>
      </c>
      <c r="P870" s="238" t="s">
        <v>4918</v>
      </c>
      <c r="Q870" s="1" t="s">
        <v>2586</v>
      </c>
      <c r="R870" s="239" t="s">
        <v>3784</v>
      </c>
      <c r="S870" s="238" t="s">
        <v>3785</v>
      </c>
      <c r="T870" s="238" t="s">
        <v>3786</v>
      </c>
      <c r="U870" s="238" t="s">
        <v>3787</v>
      </c>
      <c r="V870" s="238" t="s">
        <v>2512</v>
      </c>
      <c r="AB870" s="1" t="s">
        <v>2551</v>
      </c>
    </row>
    <row r="871" spans="1:28" ht="12" customHeight="1">
      <c r="A871" s="233">
        <v>41216</v>
      </c>
      <c r="B871" s="1" t="s">
        <v>3788</v>
      </c>
      <c r="C871" s="1" t="s">
        <v>2095</v>
      </c>
      <c r="D871" s="5" t="s">
        <v>2026</v>
      </c>
      <c r="E871" s="5" t="s">
        <v>3465</v>
      </c>
      <c r="F871" s="5">
        <v>10000</v>
      </c>
      <c r="G871" s="1" t="s">
        <v>5002</v>
      </c>
      <c r="H871" s="234">
        <v>1.54</v>
      </c>
      <c r="I871" s="236">
        <f t="shared" si="57"/>
        <v>15400</v>
      </c>
      <c r="J871" s="360">
        <v>1.4</v>
      </c>
      <c r="K871" s="266">
        <f>1.4*10000</f>
        <v>14000</v>
      </c>
      <c r="L871" s="237">
        <v>41215</v>
      </c>
      <c r="M871" s="1" t="s">
        <v>2092</v>
      </c>
      <c r="N871" s="235">
        <f t="shared" si="51"/>
        <v>15400</v>
      </c>
      <c r="O871" s="235">
        <f t="shared" si="56"/>
        <v>0</v>
      </c>
      <c r="P871" s="238" t="s">
        <v>4918</v>
      </c>
      <c r="Q871" s="1" t="s">
        <v>3789</v>
      </c>
      <c r="R871" s="239" t="s">
        <v>3790</v>
      </c>
      <c r="S871" s="238" t="s">
        <v>3791</v>
      </c>
      <c r="T871" s="238" t="s">
        <v>2581</v>
      </c>
      <c r="U871" s="238" t="s">
        <v>3792</v>
      </c>
      <c r="V871" s="238" t="s">
        <v>3793</v>
      </c>
      <c r="W871" s="236" t="s">
        <v>3794</v>
      </c>
      <c r="X871" s="233">
        <v>41234</v>
      </c>
      <c r="Y871" s="238" t="s">
        <v>3795</v>
      </c>
      <c r="AB871" s="1" t="s">
        <v>2551</v>
      </c>
    </row>
    <row r="872" spans="1:28" ht="13.5" customHeight="1">
      <c r="A872" s="233">
        <v>41216</v>
      </c>
      <c r="B872" s="1" t="s">
        <v>2589</v>
      </c>
      <c r="C872" s="1" t="s">
        <v>2095</v>
      </c>
      <c r="D872" s="1" t="s">
        <v>1887</v>
      </c>
      <c r="E872" s="5" t="s">
        <v>2639</v>
      </c>
      <c r="F872" s="5">
        <v>3000</v>
      </c>
      <c r="G872" s="1" t="s">
        <v>2514</v>
      </c>
      <c r="H872" s="234">
        <v>1.8</v>
      </c>
      <c r="I872" s="235">
        <f t="shared" si="57"/>
        <v>5400</v>
      </c>
      <c r="J872" s="352">
        <v>1.54</v>
      </c>
      <c r="K872" s="266">
        <f>1.54*3000</f>
        <v>4620</v>
      </c>
      <c r="L872" s="237">
        <v>41338</v>
      </c>
      <c r="M872" s="1" t="s">
        <v>166</v>
      </c>
      <c r="N872" s="235">
        <f t="shared" si="51"/>
        <v>5400</v>
      </c>
      <c r="O872" s="235">
        <f t="shared" si="56"/>
        <v>0</v>
      </c>
      <c r="P872" s="238" t="s">
        <v>3796</v>
      </c>
      <c r="Q872" s="1" t="s">
        <v>3722</v>
      </c>
      <c r="R872" s="239" t="s">
        <v>2591</v>
      </c>
      <c r="S872" s="238" t="s">
        <v>2592</v>
      </c>
      <c r="T872" s="238" t="s">
        <v>3797</v>
      </c>
      <c r="U872" s="238" t="s">
        <v>3798</v>
      </c>
      <c r="V872" s="238" t="s">
        <v>2512</v>
      </c>
      <c r="AB872" s="1" t="s">
        <v>2551</v>
      </c>
    </row>
    <row r="873" spans="1:28" ht="11.25" customHeight="1">
      <c r="A873" s="233">
        <v>41216</v>
      </c>
      <c r="B873" s="1" t="s">
        <v>2589</v>
      </c>
      <c r="C873" s="1" t="s">
        <v>2095</v>
      </c>
      <c r="D873" s="1" t="s">
        <v>355</v>
      </c>
      <c r="E873" s="5" t="s">
        <v>3550</v>
      </c>
      <c r="F873" s="5">
        <v>100</v>
      </c>
      <c r="G873" s="1" t="s">
        <v>2101</v>
      </c>
      <c r="H873" s="234">
        <v>20.75</v>
      </c>
      <c r="I873" s="235">
        <f t="shared" si="57"/>
        <v>2075</v>
      </c>
      <c r="K873" s="266">
        <f>16.5*100</f>
        <v>1650</v>
      </c>
      <c r="L873" s="237">
        <v>41292</v>
      </c>
      <c r="M873" s="1" t="s">
        <v>2349</v>
      </c>
      <c r="N873" s="235">
        <f t="shared" si="51"/>
        <v>2075</v>
      </c>
      <c r="O873" s="235">
        <f t="shared" si="56"/>
        <v>0</v>
      </c>
      <c r="P873" s="238" t="s">
        <v>3796</v>
      </c>
      <c r="Q873" s="1" t="s">
        <v>3722</v>
      </c>
      <c r="R873" s="239" t="s">
        <v>2591</v>
      </c>
      <c r="S873" s="238" t="s">
        <v>2592</v>
      </c>
      <c r="T873" s="238" t="s">
        <v>3797</v>
      </c>
      <c r="U873" s="238" t="s">
        <v>3798</v>
      </c>
      <c r="V873" s="238" t="s">
        <v>2512</v>
      </c>
      <c r="AB873" s="1" t="s">
        <v>2551</v>
      </c>
    </row>
    <row r="874" spans="1:28" ht="12" customHeight="1">
      <c r="A874" s="233">
        <v>41216</v>
      </c>
      <c r="B874" s="1" t="s">
        <v>2589</v>
      </c>
      <c r="C874" s="1" t="s">
        <v>2095</v>
      </c>
      <c r="D874" s="1" t="s">
        <v>1887</v>
      </c>
      <c r="E874" s="5" t="s">
        <v>3551</v>
      </c>
      <c r="F874" s="5">
        <v>200</v>
      </c>
      <c r="G874" s="1" t="s">
        <v>232</v>
      </c>
      <c r="H874" s="234">
        <v>5.2</v>
      </c>
      <c r="I874" s="235">
        <f t="shared" si="57"/>
        <v>1040</v>
      </c>
      <c r="K874" s="266">
        <f>4.78*160</f>
        <v>764.80000000000007</v>
      </c>
      <c r="L874" s="237">
        <v>41292</v>
      </c>
      <c r="M874" s="1" t="s">
        <v>2349</v>
      </c>
      <c r="N874" s="235">
        <f t="shared" si="51"/>
        <v>1040</v>
      </c>
      <c r="O874" s="235">
        <f t="shared" si="56"/>
        <v>0</v>
      </c>
      <c r="P874" s="238" t="s">
        <v>3796</v>
      </c>
      <c r="Q874" s="1" t="s">
        <v>3722</v>
      </c>
      <c r="R874" s="239" t="s">
        <v>2591</v>
      </c>
      <c r="S874" s="238" t="s">
        <v>2592</v>
      </c>
      <c r="T874" s="238" t="s">
        <v>3797</v>
      </c>
      <c r="U874" s="238" t="s">
        <v>3798</v>
      </c>
      <c r="V874" s="238" t="s">
        <v>2512</v>
      </c>
      <c r="AB874" s="1" t="s">
        <v>2551</v>
      </c>
    </row>
    <row r="875" spans="1:28" ht="12" customHeight="1">
      <c r="A875" s="233">
        <v>41219</v>
      </c>
      <c r="B875" s="1" t="s">
        <v>3799</v>
      </c>
      <c r="C875" s="1" t="s">
        <v>2095</v>
      </c>
      <c r="D875" s="225" t="s">
        <v>1932</v>
      </c>
      <c r="E875" s="5">
        <v>8577</v>
      </c>
      <c r="F875" s="5">
        <v>80</v>
      </c>
      <c r="G875" s="1" t="s">
        <v>2514</v>
      </c>
      <c r="H875" s="234">
        <v>29.45</v>
      </c>
      <c r="I875" s="235">
        <f t="shared" ref="I875:I907" si="58">F875*H875</f>
        <v>2356</v>
      </c>
      <c r="K875" s="266">
        <f>28*30+25.86*38+28.65*12</f>
        <v>2166.4799999999996</v>
      </c>
      <c r="L875" s="237">
        <v>41212</v>
      </c>
      <c r="M875" s="1" t="s">
        <v>2092</v>
      </c>
      <c r="N875" s="235">
        <f t="shared" si="51"/>
        <v>2356</v>
      </c>
      <c r="O875" s="235">
        <f t="shared" si="56"/>
        <v>0</v>
      </c>
      <c r="P875" s="238" t="s">
        <v>3800</v>
      </c>
      <c r="Q875" s="1" t="s">
        <v>2230</v>
      </c>
      <c r="R875" s="239" t="s">
        <v>3801</v>
      </c>
      <c r="S875" s="238" t="s">
        <v>3802</v>
      </c>
      <c r="T875" s="238" t="s">
        <v>2097</v>
      </c>
      <c r="U875" s="238" t="s">
        <v>2097</v>
      </c>
      <c r="V875" s="238" t="s">
        <v>3803</v>
      </c>
      <c r="W875" s="236">
        <v>8445.1</v>
      </c>
      <c r="X875" s="233">
        <v>41219</v>
      </c>
      <c r="Y875" s="238" t="s">
        <v>2230</v>
      </c>
      <c r="AB875" s="1" t="s">
        <v>2551</v>
      </c>
    </row>
    <row r="876" spans="1:28" ht="11.25" customHeight="1">
      <c r="A876" s="233">
        <v>41219</v>
      </c>
      <c r="B876" s="1" t="s">
        <v>3799</v>
      </c>
      <c r="C876" s="1" t="s">
        <v>2095</v>
      </c>
      <c r="D876" s="225" t="s">
        <v>1933</v>
      </c>
      <c r="E876" s="5" t="s">
        <v>3804</v>
      </c>
      <c r="F876" s="5">
        <v>3</v>
      </c>
      <c r="G876" s="1" t="s">
        <v>3805</v>
      </c>
      <c r="H876" s="234">
        <v>557.70000000000005</v>
      </c>
      <c r="I876" s="235">
        <f t="shared" si="58"/>
        <v>1673.1000000000001</v>
      </c>
      <c r="K876" s="266">
        <f>361.3*3</f>
        <v>1083.9000000000001</v>
      </c>
      <c r="L876" s="237">
        <v>41212</v>
      </c>
      <c r="M876" s="1" t="s">
        <v>2092</v>
      </c>
      <c r="N876" s="235">
        <f t="shared" si="51"/>
        <v>1673.1000000000001</v>
      </c>
      <c r="O876" s="235">
        <f t="shared" si="56"/>
        <v>0</v>
      </c>
      <c r="P876" s="238" t="s">
        <v>3800</v>
      </c>
      <c r="Q876" s="1" t="s">
        <v>2230</v>
      </c>
      <c r="R876" s="239" t="s">
        <v>3801</v>
      </c>
      <c r="S876" s="238" t="s">
        <v>3802</v>
      </c>
      <c r="T876" s="238" t="s">
        <v>2097</v>
      </c>
      <c r="U876" s="238" t="s">
        <v>2097</v>
      </c>
      <c r="V876" s="238" t="s">
        <v>3803</v>
      </c>
      <c r="W876" s="236">
        <v>8445.1</v>
      </c>
      <c r="X876" s="233">
        <v>41219</v>
      </c>
      <c r="Y876" s="238" t="s">
        <v>2230</v>
      </c>
      <c r="AB876" s="1" t="s">
        <v>2551</v>
      </c>
    </row>
    <row r="877" spans="1:28" ht="11.25" customHeight="1">
      <c r="A877" s="233">
        <v>41219</v>
      </c>
      <c r="B877" s="1" t="s">
        <v>3799</v>
      </c>
      <c r="C877" s="1" t="s">
        <v>2095</v>
      </c>
      <c r="D877" s="1" t="s">
        <v>1912</v>
      </c>
      <c r="E877" s="5">
        <v>3100</v>
      </c>
      <c r="F877" s="5">
        <v>20</v>
      </c>
      <c r="G877" s="1" t="s">
        <v>2101</v>
      </c>
      <c r="H877" s="234">
        <v>35</v>
      </c>
      <c r="I877" s="235">
        <f t="shared" si="58"/>
        <v>700</v>
      </c>
      <c r="K877" s="266">
        <f>30.2*20</f>
        <v>604</v>
      </c>
      <c r="L877" s="237">
        <v>41219</v>
      </c>
      <c r="M877" s="1" t="s">
        <v>2092</v>
      </c>
      <c r="N877" s="235">
        <f t="shared" si="51"/>
        <v>700</v>
      </c>
      <c r="O877" s="235">
        <f t="shared" si="56"/>
        <v>0</v>
      </c>
      <c r="P877" s="238" t="s">
        <v>3800</v>
      </c>
      <c r="Q877" s="1" t="s">
        <v>2230</v>
      </c>
      <c r="R877" s="239" t="s">
        <v>3801</v>
      </c>
      <c r="S877" s="238" t="s">
        <v>3802</v>
      </c>
      <c r="T877" s="238" t="s">
        <v>2097</v>
      </c>
      <c r="U877" s="238" t="s">
        <v>2097</v>
      </c>
      <c r="V877" s="238" t="s">
        <v>3803</v>
      </c>
      <c r="W877" s="236">
        <v>8445.1</v>
      </c>
      <c r="X877" s="233">
        <v>41219</v>
      </c>
      <c r="Y877" s="238" t="s">
        <v>2230</v>
      </c>
      <c r="AB877" s="1" t="s">
        <v>2551</v>
      </c>
    </row>
    <row r="878" spans="1:28" ht="11.25" customHeight="1">
      <c r="A878" s="233">
        <v>41219</v>
      </c>
      <c r="B878" s="1" t="s">
        <v>3799</v>
      </c>
      <c r="C878" s="1" t="s">
        <v>2095</v>
      </c>
      <c r="D878" s="1" t="s">
        <v>348</v>
      </c>
      <c r="E878" s="5">
        <v>3700</v>
      </c>
      <c r="F878" s="5">
        <v>100</v>
      </c>
      <c r="G878" s="1" t="s">
        <v>2101</v>
      </c>
      <c r="H878" s="234">
        <v>3.48</v>
      </c>
      <c r="I878" s="235">
        <f t="shared" si="58"/>
        <v>348</v>
      </c>
      <c r="J878" s="352">
        <v>3.09</v>
      </c>
      <c r="K878" s="266">
        <f>3.09*100</f>
        <v>309</v>
      </c>
      <c r="L878" s="237">
        <v>41219</v>
      </c>
      <c r="M878" s="1" t="s">
        <v>2092</v>
      </c>
      <c r="N878" s="235">
        <f t="shared" si="51"/>
        <v>348</v>
      </c>
      <c r="O878" s="235">
        <f t="shared" si="56"/>
        <v>0</v>
      </c>
      <c r="P878" s="238" t="s">
        <v>3800</v>
      </c>
      <c r="Q878" s="1" t="s">
        <v>2230</v>
      </c>
      <c r="R878" s="239" t="s">
        <v>3801</v>
      </c>
      <c r="S878" s="238" t="s">
        <v>3802</v>
      </c>
      <c r="T878" s="238" t="s">
        <v>2097</v>
      </c>
      <c r="U878" s="238" t="s">
        <v>2097</v>
      </c>
      <c r="V878" s="238" t="s">
        <v>3803</v>
      </c>
      <c r="W878" s="236">
        <v>8445.1</v>
      </c>
      <c r="X878" s="233">
        <v>41219</v>
      </c>
      <c r="Y878" s="238" t="s">
        <v>2230</v>
      </c>
      <c r="AB878" s="1" t="s">
        <v>2551</v>
      </c>
    </row>
    <row r="879" spans="1:28" ht="12" customHeight="1">
      <c r="A879" s="233">
        <v>41219</v>
      </c>
      <c r="B879" s="1" t="s">
        <v>3799</v>
      </c>
      <c r="C879" s="1" t="s">
        <v>2095</v>
      </c>
      <c r="D879" s="5" t="s">
        <v>1227</v>
      </c>
      <c r="E879" s="1" t="s">
        <v>2649</v>
      </c>
      <c r="F879" s="5">
        <v>60</v>
      </c>
      <c r="G879" s="1" t="s">
        <v>2101</v>
      </c>
      <c r="H879" s="234">
        <v>38</v>
      </c>
      <c r="I879" s="235">
        <f t="shared" si="58"/>
        <v>2280</v>
      </c>
      <c r="K879" s="266">
        <f>34.8*60</f>
        <v>2088</v>
      </c>
      <c r="L879" s="237">
        <v>41219</v>
      </c>
      <c r="M879" s="1" t="s">
        <v>2092</v>
      </c>
      <c r="N879" s="235">
        <f t="shared" si="51"/>
        <v>2280</v>
      </c>
      <c r="O879" s="235">
        <f t="shared" si="56"/>
        <v>0</v>
      </c>
      <c r="P879" s="238" t="s">
        <v>3800</v>
      </c>
      <c r="Q879" s="1" t="s">
        <v>2230</v>
      </c>
      <c r="R879" s="239" t="s">
        <v>3801</v>
      </c>
      <c r="S879" s="238" t="s">
        <v>3802</v>
      </c>
      <c r="T879" s="238" t="s">
        <v>2097</v>
      </c>
      <c r="U879" s="238" t="s">
        <v>2097</v>
      </c>
      <c r="V879" s="238" t="s">
        <v>3803</v>
      </c>
      <c r="W879" s="236">
        <v>8445.1</v>
      </c>
      <c r="X879" s="233">
        <v>41219</v>
      </c>
      <c r="Y879" s="238" t="s">
        <v>2230</v>
      </c>
      <c r="AB879" s="1" t="s">
        <v>2551</v>
      </c>
    </row>
    <row r="880" spans="1:28" ht="11.25" customHeight="1">
      <c r="A880" s="233">
        <v>41219</v>
      </c>
      <c r="B880" s="1" t="s">
        <v>3799</v>
      </c>
      <c r="C880" s="1" t="s">
        <v>2095</v>
      </c>
      <c r="D880" s="1" t="s">
        <v>3806</v>
      </c>
      <c r="E880" s="5" t="s">
        <v>3529</v>
      </c>
      <c r="F880" s="5">
        <v>200</v>
      </c>
      <c r="G880" s="1" t="s">
        <v>2514</v>
      </c>
      <c r="H880" s="234">
        <v>5.44</v>
      </c>
      <c r="I880" s="235">
        <f t="shared" si="58"/>
        <v>1088</v>
      </c>
      <c r="K880" s="266">
        <f>164*4.9+36*5.77</f>
        <v>1011.3199999999999</v>
      </c>
      <c r="L880" s="237">
        <v>41219</v>
      </c>
      <c r="M880" s="1" t="s">
        <v>2092</v>
      </c>
      <c r="N880" s="235">
        <f t="shared" si="51"/>
        <v>1088</v>
      </c>
      <c r="O880" s="235">
        <f t="shared" si="56"/>
        <v>0</v>
      </c>
      <c r="P880" s="238" t="s">
        <v>3800</v>
      </c>
      <c r="Q880" s="1" t="s">
        <v>2230</v>
      </c>
      <c r="R880" s="239" t="s">
        <v>3801</v>
      </c>
      <c r="S880" s="238" t="s">
        <v>3802</v>
      </c>
      <c r="T880" s="238" t="s">
        <v>2097</v>
      </c>
      <c r="U880" s="238" t="s">
        <v>2097</v>
      </c>
      <c r="V880" s="238" t="s">
        <v>3803</v>
      </c>
      <c r="W880" s="236">
        <v>8445.1</v>
      </c>
      <c r="X880" s="233">
        <v>41219</v>
      </c>
      <c r="Y880" s="238" t="s">
        <v>2230</v>
      </c>
      <c r="AB880" s="1" t="s">
        <v>2551</v>
      </c>
    </row>
    <row r="881" spans="1:28" ht="11.25" customHeight="1">
      <c r="A881" s="233">
        <v>41219</v>
      </c>
      <c r="B881" s="1" t="s">
        <v>3161</v>
      </c>
      <c r="C881" s="277" t="s">
        <v>680</v>
      </c>
      <c r="D881" s="1" t="s">
        <v>355</v>
      </c>
      <c r="E881" s="5" t="s">
        <v>3550</v>
      </c>
      <c r="F881" s="5">
        <v>60</v>
      </c>
      <c r="G881" s="1" t="s">
        <v>2101</v>
      </c>
      <c r="H881" s="234">
        <v>25</v>
      </c>
      <c r="I881" s="235">
        <f t="shared" si="58"/>
        <v>1500</v>
      </c>
      <c r="K881" s="266">
        <f>16.5*60</f>
        <v>990</v>
      </c>
      <c r="L881" s="237">
        <v>41219</v>
      </c>
      <c r="M881" s="1" t="s">
        <v>2412</v>
      </c>
      <c r="N881" s="235">
        <f t="shared" si="51"/>
        <v>1500</v>
      </c>
      <c r="O881" s="235">
        <f t="shared" si="56"/>
        <v>0</v>
      </c>
      <c r="P881" s="238" t="s">
        <v>3807</v>
      </c>
      <c r="Q881" s="1" t="s">
        <v>2230</v>
      </c>
      <c r="R881" s="239" t="s">
        <v>3808</v>
      </c>
      <c r="S881" s="238" t="s">
        <v>3809</v>
      </c>
      <c r="T881" s="238" t="s">
        <v>3159</v>
      </c>
      <c r="U881" s="238" t="s">
        <v>2097</v>
      </c>
      <c r="V881" s="238" t="s">
        <v>3810</v>
      </c>
      <c r="W881" s="236">
        <v>2520</v>
      </c>
      <c r="X881" s="233">
        <v>41219</v>
      </c>
      <c r="Y881" s="238" t="s">
        <v>2230</v>
      </c>
      <c r="AB881" s="1" t="s">
        <v>2094</v>
      </c>
    </row>
    <row r="882" spans="1:28" ht="12" customHeight="1">
      <c r="A882" s="233">
        <v>41219</v>
      </c>
      <c r="B882" s="1" t="s">
        <v>3161</v>
      </c>
      <c r="C882" s="277" t="s">
        <v>680</v>
      </c>
      <c r="D882" s="1" t="s">
        <v>1887</v>
      </c>
      <c r="E882" s="5" t="s">
        <v>3551</v>
      </c>
      <c r="F882" s="5">
        <v>120</v>
      </c>
      <c r="G882" s="1" t="s">
        <v>232</v>
      </c>
      <c r="H882" s="234">
        <v>8.5</v>
      </c>
      <c r="I882" s="235">
        <f t="shared" si="58"/>
        <v>1020</v>
      </c>
      <c r="K882" s="266">
        <f>120*5.3</f>
        <v>636</v>
      </c>
      <c r="L882" s="237">
        <v>41219</v>
      </c>
      <c r="M882" s="1" t="s">
        <v>2412</v>
      </c>
      <c r="N882" s="235">
        <f t="shared" si="51"/>
        <v>1020</v>
      </c>
      <c r="O882" s="235">
        <f t="shared" si="56"/>
        <v>0</v>
      </c>
      <c r="P882" s="238" t="s">
        <v>3807</v>
      </c>
      <c r="Q882" s="1" t="s">
        <v>2230</v>
      </c>
      <c r="R882" s="239" t="s">
        <v>3808</v>
      </c>
      <c r="S882" s="238" t="s">
        <v>3809</v>
      </c>
      <c r="T882" s="238" t="s">
        <v>3159</v>
      </c>
      <c r="U882" s="238" t="s">
        <v>2097</v>
      </c>
      <c r="V882" s="238" t="s">
        <v>3810</v>
      </c>
      <c r="W882" s="236">
        <v>2520</v>
      </c>
      <c r="X882" s="233">
        <v>41219</v>
      </c>
      <c r="Y882" s="238" t="s">
        <v>2230</v>
      </c>
      <c r="AB882" s="1" t="s">
        <v>2094</v>
      </c>
    </row>
    <row r="883" spans="1:28" ht="11.25" customHeight="1">
      <c r="A883" s="233">
        <v>41219</v>
      </c>
      <c r="B883" s="1" t="s">
        <v>2579</v>
      </c>
      <c r="C883" s="1" t="s">
        <v>2095</v>
      </c>
      <c r="D883" s="225" t="s">
        <v>1918</v>
      </c>
      <c r="E883" s="5" t="s">
        <v>3648</v>
      </c>
      <c r="F883" s="5">
        <v>2</v>
      </c>
      <c r="G883" s="1" t="s">
        <v>2101</v>
      </c>
      <c r="H883" s="234">
        <v>307.22000000000003</v>
      </c>
      <c r="I883" s="236">
        <f t="shared" si="58"/>
        <v>614.44000000000005</v>
      </c>
      <c r="K883" s="266">
        <f>295*2</f>
        <v>590</v>
      </c>
      <c r="L883" s="245">
        <v>41248</v>
      </c>
      <c r="M883" s="5" t="s">
        <v>2092</v>
      </c>
      <c r="N883" s="235">
        <f t="shared" si="51"/>
        <v>614.44000000000005</v>
      </c>
      <c r="O883" s="235">
        <f t="shared" si="56"/>
        <v>0</v>
      </c>
      <c r="P883" s="238" t="s">
        <v>2097</v>
      </c>
      <c r="Q883" s="1" t="s">
        <v>2097</v>
      </c>
      <c r="R883" s="239" t="s">
        <v>2097</v>
      </c>
      <c r="S883" s="238" t="s">
        <v>2097</v>
      </c>
      <c r="T883" s="238" t="s">
        <v>2097</v>
      </c>
      <c r="U883" s="238" t="s">
        <v>2097</v>
      </c>
      <c r="V883" s="238" t="s">
        <v>3760</v>
      </c>
      <c r="W883" s="236" t="s">
        <v>3761</v>
      </c>
      <c r="X883" s="233">
        <v>41239</v>
      </c>
      <c r="Y883" s="238" t="s">
        <v>3762</v>
      </c>
      <c r="AB883" s="1" t="s">
        <v>2551</v>
      </c>
    </row>
    <row r="884" spans="1:28" ht="12" customHeight="1">
      <c r="A884" s="233">
        <v>41219</v>
      </c>
      <c r="B884" s="1" t="s">
        <v>466</v>
      </c>
      <c r="C884" s="5" t="s">
        <v>2095</v>
      </c>
      <c r="D884" s="1" t="s">
        <v>1923</v>
      </c>
      <c r="E884" s="5" t="s">
        <v>3519</v>
      </c>
      <c r="F884" s="5">
        <v>100</v>
      </c>
      <c r="G884" s="1" t="s">
        <v>2101</v>
      </c>
      <c r="H884" s="234">
        <v>2.0099999999999998</v>
      </c>
      <c r="I884" s="235">
        <f t="shared" si="58"/>
        <v>200.99999999999997</v>
      </c>
      <c r="K884" s="266">
        <f>1.6*100</f>
        <v>160</v>
      </c>
      <c r="N884" s="235">
        <v>0</v>
      </c>
      <c r="O884" s="235">
        <f>I884-N884</f>
        <v>200.99999999999997</v>
      </c>
      <c r="P884" s="238" t="s">
        <v>4918</v>
      </c>
      <c r="Q884" s="1" t="s">
        <v>3811</v>
      </c>
      <c r="R884" s="239" t="s">
        <v>2642</v>
      </c>
      <c r="S884" s="238" t="s">
        <v>2643</v>
      </c>
      <c r="T884" s="238" t="s">
        <v>3714</v>
      </c>
      <c r="U884" s="238" t="s">
        <v>3812</v>
      </c>
      <c r="AB884" s="1" t="s">
        <v>2551</v>
      </c>
    </row>
    <row r="885" spans="1:28" ht="11.25" customHeight="1">
      <c r="A885" s="233">
        <v>41220</v>
      </c>
      <c r="B885" s="1" t="s">
        <v>3813</v>
      </c>
      <c r="C885" s="5" t="s">
        <v>2095</v>
      </c>
      <c r="D885" s="5" t="s">
        <v>87</v>
      </c>
      <c r="E885" s="1">
        <v>9032</v>
      </c>
      <c r="F885" s="5">
        <v>300</v>
      </c>
      <c r="G885" s="1" t="s">
        <v>2101</v>
      </c>
      <c r="H885" s="234">
        <v>1.9</v>
      </c>
      <c r="I885" s="235">
        <f t="shared" si="58"/>
        <v>570</v>
      </c>
      <c r="K885" s="266">
        <f>1.4929*300</f>
        <v>447.86999999999995</v>
      </c>
      <c r="L885" s="237">
        <v>41219</v>
      </c>
      <c r="M885" s="1" t="s">
        <v>2092</v>
      </c>
      <c r="N885" s="235">
        <f t="shared" si="51"/>
        <v>570</v>
      </c>
      <c r="O885" s="235">
        <f t="shared" ref="O885:O917" si="59">I885-N885</f>
        <v>0</v>
      </c>
      <c r="P885" s="238" t="s">
        <v>3814</v>
      </c>
      <c r="Q885" s="1" t="s">
        <v>3629</v>
      </c>
      <c r="R885" s="239" t="s">
        <v>3815</v>
      </c>
      <c r="S885" s="238" t="s">
        <v>3816</v>
      </c>
      <c r="T885" s="238" t="s">
        <v>3817</v>
      </c>
      <c r="U885" s="238" t="s">
        <v>3818</v>
      </c>
      <c r="AB885" s="1" t="s">
        <v>2551</v>
      </c>
    </row>
    <row r="886" spans="1:28" ht="11.25" customHeight="1">
      <c r="A886" s="233">
        <v>41220</v>
      </c>
      <c r="B886" s="1" t="s">
        <v>3496</v>
      </c>
      <c r="C886" s="5" t="s">
        <v>3819</v>
      </c>
      <c r="D886" s="1" t="s">
        <v>2033</v>
      </c>
      <c r="E886" s="1" t="s">
        <v>2621</v>
      </c>
      <c r="F886" s="5">
        <v>500</v>
      </c>
      <c r="G886" s="1" t="s">
        <v>2101</v>
      </c>
      <c r="H886" s="234">
        <v>2.5</v>
      </c>
      <c r="I886" s="236">
        <f t="shared" si="58"/>
        <v>1250</v>
      </c>
      <c r="K886" s="266">
        <f>1.65*500</f>
        <v>825</v>
      </c>
      <c r="L886" s="237">
        <v>41305</v>
      </c>
      <c r="M886" s="1" t="s">
        <v>167</v>
      </c>
      <c r="N886" s="235">
        <f t="shared" si="51"/>
        <v>1250</v>
      </c>
      <c r="O886" s="235">
        <f t="shared" si="59"/>
        <v>0</v>
      </c>
      <c r="P886" s="238" t="s">
        <v>3820</v>
      </c>
      <c r="Q886" s="1" t="s">
        <v>2230</v>
      </c>
      <c r="R886" s="239" t="s">
        <v>1395</v>
      </c>
      <c r="S886" s="238" t="s">
        <v>604</v>
      </c>
      <c r="T886" s="238" t="s">
        <v>2275</v>
      </c>
      <c r="U886" s="238" t="s">
        <v>2276</v>
      </c>
      <c r="V886" s="238" t="s">
        <v>3821</v>
      </c>
      <c r="W886" s="236">
        <v>2987.5</v>
      </c>
      <c r="X886" s="233">
        <v>41247</v>
      </c>
      <c r="Y886" s="238" t="s">
        <v>2276</v>
      </c>
      <c r="AB886" s="1" t="s">
        <v>3822</v>
      </c>
    </row>
    <row r="887" spans="1:28" ht="11.25" customHeight="1">
      <c r="A887" s="233">
        <v>41220</v>
      </c>
      <c r="B887" s="1" t="s">
        <v>2279</v>
      </c>
      <c r="C887" s="5" t="s">
        <v>3823</v>
      </c>
      <c r="D887" s="5" t="s">
        <v>3824</v>
      </c>
      <c r="E887" s="1">
        <v>4620</v>
      </c>
      <c r="F887" s="5">
        <v>9</v>
      </c>
      <c r="G887" s="1" t="s">
        <v>3825</v>
      </c>
      <c r="H887" s="234">
        <v>22.5</v>
      </c>
      <c r="I887" s="236">
        <f t="shared" si="58"/>
        <v>202.5</v>
      </c>
      <c r="K887" s="266">
        <f>17.79*9</f>
        <v>160.10999999999999</v>
      </c>
      <c r="L887" s="237">
        <v>41305</v>
      </c>
      <c r="M887" s="1" t="s">
        <v>167</v>
      </c>
      <c r="N887" s="235">
        <f t="shared" si="51"/>
        <v>202.5</v>
      </c>
      <c r="O887" s="235">
        <f t="shared" si="59"/>
        <v>0</v>
      </c>
      <c r="P887" s="238" t="s">
        <v>3826</v>
      </c>
      <c r="Q887" s="1" t="s">
        <v>3827</v>
      </c>
      <c r="R887" s="239" t="s">
        <v>1395</v>
      </c>
      <c r="S887" s="238" t="s">
        <v>604</v>
      </c>
      <c r="T887" s="238" t="s">
        <v>2275</v>
      </c>
      <c r="U887" s="238" t="s">
        <v>2276</v>
      </c>
      <c r="V887" s="238" t="s">
        <v>3821</v>
      </c>
      <c r="W887" s="236">
        <v>2987.5</v>
      </c>
      <c r="X887" s="233">
        <v>41247</v>
      </c>
      <c r="Y887" s="238" t="s">
        <v>2276</v>
      </c>
      <c r="AB887" s="1" t="s">
        <v>3822</v>
      </c>
    </row>
    <row r="888" spans="1:28" ht="11.25" customHeight="1">
      <c r="A888" s="233">
        <v>41220</v>
      </c>
      <c r="B888" s="1" t="s">
        <v>2279</v>
      </c>
      <c r="C888" s="5" t="s">
        <v>3823</v>
      </c>
      <c r="D888" s="1" t="s">
        <v>3828</v>
      </c>
      <c r="E888" s="1">
        <v>11329</v>
      </c>
      <c r="F888" s="5">
        <v>5</v>
      </c>
      <c r="G888" s="1" t="s">
        <v>3829</v>
      </c>
      <c r="H888" s="234">
        <v>19</v>
      </c>
      <c r="I888" s="236">
        <f t="shared" si="58"/>
        <v>95</v>
      </c>
      <c r="K888" s="266">
        <f>13*5</f>
        <v>65</v>
      </c>
      <c r="L888" s="237">
        <v>41305</v>
      </c>
      <c r="M888" s="1" t="s">
        <v>167</v>
      </c>
      <c r="N888" s="235">
        <f t="shared" si="51"/>
        <v>95</v>
      </c>
      <c r="O888" s="235">
        <f t="shared" si="59"/>
        <v>0</v>
      </c>
      <c r="P888" s="238" t="s">
        <v>3826</v>
      </c>
      <c r="Q888" s="1" t="s">
        <v>3827</v>
      </c>
      <c r="R888" s="239" t="s">
        <v>1395</v>
      </c>
      <c r="S888" s="238" t="s">
        <v>604</v>
      </c>
      <c r="T888" s="238" t="s">
        <v>2275</v>
      </c>
      <c r="U888" s="238" t="s">
        <v>2276</v>
      </c>
      <c r="V888" s="238" t="s">
        <v>3821</v>
      </c>
      <c r="W888" s="236">
        <v>2987.5</v>
      </c>
      <c r="X888" s="233">
        <v>41247</v>
      </c>
      <c r="Y888" s="238" t="s">
        <v>2276</v>
      </c>
      <c r="AB888" s="1" t="s">
        <v>3822</v>
      </c>
    </row>
    <row r="889" spans="1:28" ht="12" customHeight="1">
      <c r="A889" s="233">
        <v>41220</v>
      </c>
      <c r="B889" s="1" t="s">
        <v>2279</v>
      </c>
      <c r="C889" s="5" t="s">
        <v>3823</v>
      </c>
      <c r="D889" s="5" t="s">
        <v>233</v>
      </c>
      <c r="E889" s="1" t="s">
        <v>2290</v>
      </c>
      <c r="F889" s="5">
        <v>25</v>
      </c>
      <c r="G889" s="1" t="s">
        <v>232</v>
      </c>
      <c r="H889" s="234">
        <v>2.8</v>
      </c>
      <c r="I889" s="236">
        <f t="shared" si="58"/>
        <v>70</v>
      </c>
      <c r="J889" s="352">
        <v>1.54</v>
      </c>
      <c r="K889" s="266">
        <f>1.7*25</f>
        <v>42.5</v>
      </c>
      <c r="L889" s="237">
        <v>41305</v>
      </c>
      <c r="M889" s="1" t="s">
        <v>167</v>
      </c>
      <c r="N889" s="235">
        <f t="shared" si="51"/>
        <v>70</v>
      </c>
      <c r="O889" s="235">
        <f t="shared" si="59"/>
        <v>0</v>
      </c>
      <c r="P889" s="238" t="s">
        <v>3826</v>
      </c>
      <c r="Q889" s="1" t="s">
        <v>3827</v>
      </c>
      <c r="R889" s="239" t="s">
        <v>1395</v>
      </c>
      <c r="S889" s="238" t="s">
        <v>604</v>
      </c>
      <c r="T889" s="238" t="s">
        <v>2275</v>
      </c>
      <c r="U889" s="238" t="s">
        <v>2276</v>
      </c>
      <c r="V889" s="238" t="s">
        <v>3821</v>
      </c>
      <c r="W889" s="236">
        <v>2987.5</v>
      </c>
      <c r="X889" s="233">
        <v>41247</v>
      </c>
      <c r="Y889" s="238" t="s">
        <v>2276</v>
      </c>
      <c r="AB889" s="1" t="s">
        <v>3822</v>
      </c>
    </row>
    <row r="890" spans="1:28" ht="11.25" customHeight="1">
      <c r="A890" s="233">
        <v>41220</v>
      </c>
      <c r="B890" s="1" t="s">
        <v>3830</v>
      </c>
      <c r="C890" s="5" t="s">
        <v>2259</v>
      </c>
      <c r="D890" s="5" t="s">
        <v>2281</v>
      </c>
      <c r="E890" s="1" t="s">
        <v>2282</v>
      </c>
      <c r="F890" s="5">
        <v>10000</v>
      </c>
      <c r="G890" s="1" t="s">
        <v>5002</v>
      </c>
      <c r="H890" s="234">
        <v>1.48</v>
      </c>
      <c r="I890" s="235">
        <f>F890*H890</f>
        <v>14800</v>
      </c>
      <c r="J890" s="360">
        <v>1.4</v>
      </c>
      <c r="K890" s="266">
        <f>1.4*10000</f>
        <v>14000</v>
      </c>
      <c r="L890" s="237">
        <v>41220</v>
      </c>
      <c r="M890" s="5" t="s">
        <v>2262</v>
      </c>
      <c r="N890" s="235">
        <f t="shared" si="51"/>
        <v>14800</v>
      </c>
      <c r="O890" s="235">
        <f t="shared" si="59"/>
        <v>0</v>
      </c>
      <c r="P890" s="238" t="s">
        <v>3832</v>
      </c>
      <c r="Q890" s="1" t="s">
        <v>3827</v>
      </c>
      <c r="R890" s="239" t="s">
        <v>3833</v>
      </c>
      <c r="S890" s="238" t="s">
        <v>3834</v>
      </c>
      <c r="T890" s="238" t="s">
        <v>2276</v>
      </c>
      <c r="U890" s="238" t="s">
        <v>2276</v>
      </c>
      <c r="V890" s="238" t="s">
        <v>3835</v>
      </c>
      <c r="W890" s="236" t="s">
        <v>3836</v>
      </c>
      <c r="X890" s="233">
        <v>41229</v>
      </c>
      <c r="Y890" s="238" t="s">
        <v>3837</v>
      </c>
      <c r="AB890" s="1" t="s">
        <v>3838</v>
      </c>
    </row>
    <row r="891" spans="1:28" ht="12" customHeight="1">
      <c r="A891" s="233">
        <v>41220</v>
      </c>
      <c r="B891" s="1" t="s">
        <v>3839</v>
      </c>
      <c r="C891" s="5" t="s">
        <v>3823</v>
      </c>
      <c r="D891" s="5" t="s">
        <v>986</v>
      </c>
      <c r="E891" s="1">
        <v>6800</v>
      </c>
      <c r="F891" s="5">
        <v>1</v>
      </c>
      <c r="G891" s="1" t="s">
        <v>3840</v>
      </c>
      <c r="H891" s="234">
        <v>450</v>
      </c>
      <c r="I891" s="235">
        <f>F891*H891</f>
        <v>450</v>
      </c>
      <c r="K891" s="266">
        <f>418*1</f>
        <v>418</v>
      </c>
      <c r="L891" s="237">
        <v>41292</v>
      </c>
      <c r="M891" s="1" t="s">
        <v>3841</v>
      </c>
      <c r="N891" s="235">
        <f t="shared" si="51"/>
        <v>450</v>
      </c>
      <c r="O891" s="235">
        <f t="shared" si="59"/>
        <v>0</v>
      </c>
      <c r="P891" s="238" t="s">
        <v>3842</v>
      </c>
      <c r="Q891" s="1" t="s">
        <v>3843</v>
      </c>
      <c r="R891" s="239" t="s">
        <v>3844</v>
      </c>
      <c r="S891" s="238" t="s">
        <v>3845</v>
      </c>
      <c r="T891" s="238" t="s">
        <v>3846</v>
      </c>
      <c r="U891" s="238" t="s">
        <v>3847</v>
      </c>
      <c r="V891" s="238" t="s">
        <v>2286</v>
      </c>
      <c r="AB891" s="1" t="s">
        <v>3838</v>
      </c>
    </row>
    <row r="892" spans="1:28" ht="11.25" customHeight="1">
      <c r="A892" s="233">
        <v>41220</v>
      </c>
      <c r="B892" s="1" t="s">
        <v>3839</v>
      </c>
      <c r="C892" s="5" t="s">
        <v>3823</v>
      </c>
      <c r="D892" s="5" t="s">
        <v>3848</v>
      </c>
      <c r="E892" s="1" t="s">
        <v>3849</v>
      </c>
      <c r="F892" s="5">
        <v>2</v>
      </c>
      <c r="G892" s="1" t="s">
        <v>3850</v>
      </c>
      <c r="H892" s="234">
        <v>378</v>
      </c>
      <c r="I892" s="235">
        <f>F892*H892</f>
        <v>756</v>
      </c>
      <c r="K892" s="266">
        <f>210*2</f>
        <v>420</v>
      </c>
      <c r="L892" s="237">
        <v>41309</v>
      </c>
      <c r="M892" s="1" t="s">
        <v>166</v>
      </c>
      <c r="N892" s="235">
        <f t="shared" si="51"/>
        <v>756</v>
      </c>
      <c r="O892" s="235">
        <f t="shared" si="59"/>
        <v>0</v>
      </c>
      <c r="P892" s="238" t="s">
        <v>3842</v>
      </c>
      <c r="Q892" s="1" t="s">
        <v>3851</v>
      </c>
      <c r="R892" s="239" t="s">
        <v>3844</v>
      </c>
      <c r="S892" s="238" t="s">
        <v>3845</v>
      </c>
      <c r="T892" s="238" t="s">
        <v>3846</v>
      </c>
      <c r="U892" s="238" t="s">
        <v>3852</v>
      </c>
      <c r="V892" s="238" t="s">
        <v>2286</v>
      </c>
      <c r="AB892" s="1" t="s">
        <v>3838</v>
      </c>
    </row>
    <row r="893" spans="1:28" ht="11.25" customHeight="1">
      <c r="A893" s="233">
        <v>41220</v>
      </c>
      <c r="B893" s="1" t="s">
        <v>3853</v>
      </c>
      <c r="C893" s="5" t="s">
        <v>3823</v>
      </c>
      <c r="D893" s="5" t="s">
        <v>87</v>
      </c>
      <c r="E893" s="1">
        <v>9032</v>
      </c>
      <c r="F893" s="5">
        <v>300</v>
      </c>
      <c r="G893" s="1" t="s">
        <v>3840</v>
      </c>
      <c r="H893" s="234">
        <v>2.2999999999999998</v>
      </c>
      <c r="I893" s="235">
        <f>F893*H893</f>
        <v>690</v>
      </c>
      <c r="K893" s="266">
        <f>1.4929*300</f>
        <v>447.86999999999995</v>
      </c>
      <c r="L893" s="237">
        <v>41220</v>
      </c>
      <c r="M893" s="1" t="s">
        <v>3854</v>
      </c>
      <c r="N893" s="235">
        <f t="shared" si="51"/>
        <v>690</v>
      </c>
      <c r="O893" s="235">
        <f t="shared" si="59"/>
        <v>0</v>
      </c>
      <c r="P893" s="238" t="s">
        <v>3855</v>
      </c>
      <c r="Q893" s="1" t="s">
        <v>3827</v>
      </c>
      <c r="R893" s="239" t="s">
        <v>3856</v>
      </c>
      <c r="S893" s="238" t="s">
        <v>3857</v>
      </c>
      <c r="T893" s="238" t="s">
        <v>3858</v>
      </c>
      <c r="U893" s="238" t="s">
        <v>2276</v>
      </c>
      <c r="V893" s="238" t="s">
        <v>3859</v>
      </c>
      <c r="W893" s="236">
        <v>690</v>
      </c>
      <c r="X893" s="233">
        <v>41220</v>
      </c>
      <c r="Y893" s="238" t="s">
        <v>3827</v>
      </c>
      <c r="AA893" s="240" t="s">
        <v>3860</v>
      </c>
      <c r="AB893" s="1" t="s">
        <v>3822</v>
      </c>
    </row>
    <row r="894" spans="1:28" ht="12" customHeight="1">
      <c r="A894" s="233">
        <v>41220</v>
      </c>
      <c r="B894" s="1" t="s">
        <v>3861</v>
      </c>
      <c r="C894" s="5" t="s">
        <v>3823</v>
      </c>
      <c r="D894" s="5" t="s">
        <v>3862</v>
      </c>
      <c r="E894" s="1">
        <v>8246</v>
      </c>
      <c r="F894" s="5">
        <v>120</v>
      </c>
      <c r="G894" s="1" t="s">
        <v>5641</v>
      </c>
      <c r="H894" s="234">
        <v>14.3</v>
      </c>
      <c r="I894" s="236">
        <f t="shared" si="58"/>
        <v>1716</v>
      </c>
      <c r="K894" s="266">
        <f>20*11.7+100*12.8</f>
        <v>1514</v>
      </c>
      <c r="L894" s="245">
        <v>41215</v>
      </c>
      <c r="M894" s="5" t="s">
        <v>3863</v>
      </c>
      <c r="N894" s="235">
        <f t="shared" si="51"/>
        <v>1716</v>
      </c>
      <c r="O894" s="235">
        <f t="shared" si="59"/>
        <v>0</v>
      </c>
      <c r="P894" s="238" t="s">
        <v>4918</v>
      </c>
      <c r="Q894" s="1" t="s">
        <v>3864</v>
      </c>
      <c r="R894" s="239" t="s">
        <v>3865</v>
      </c>
      <c r="S894" s="238" t="s">
        <v>3866</v>
      </c>
      <c r="T894" s="238" t="s">
        <v>3867</v>
      </c>
      <c r="U894" s="238" t="s">
        <v>3868</v>
      </c>
      <c r="V894" s="238" t="s">
        <v>3869</v>
      </c>
      <c r="W894" s="236">
        <v>8494</v>
      </c>
      <c r="X894" s="233">
        <v>41219</v>
      </c>
      <c r="Y894" s="238" t="s">
        <v>3870</v>
      </c>
      <c r="AB894" s="1" t="s">
        <v>3838</v>
      </c>
    </row>
    <row r="895" spans="1:28" ht="11.25" customHeight="1">
      <c r="A895" s="233">
        <v>41220</v>
      </c>
      <c r="B895" s="1" t="s">
        <v>3861</v>
      </c>
      <c r="C895" s="5" t="s">
        <v>3823</v>
      </c>
      <c r="D895" s="5" t="s">
        <v>1725</v>
      </c>
      <c r="E895" s="1">
        <v>8576</v>
      </c>
      <c r="F895" s="5">
        <v>80</v>
      </c>
      <c r="G895" s="1" t="s">
        <v>3831</v>
      </c>
      <c r="H895" s="234">
        <v>29.4</v>
      </c>
      <c r="I895" s="236">
        <f t="shared" si="58"/>
        <v>2352</v>
      </c>
      <c r="K895" s="266">
        <f>30*24+10*28.7+40*27.8</f>
        <v>2119</v>
      </c>
      <c r="L895" s="245">
        <v>41216</v>
      </c>
      <c r="M895" s="5" t="s">
        <v>3863</v>
      </c>
      <c r="N895" s="235">
        <f t="shared" si="51"/>
        <v>2352</v>
      </c>
      <c r="O895" s="235">
        <f t="shared" si="59"/>
        <v>0</v>
      </c>
      <c r="P895" s="238" t="s">
        <v>4918</v>
      </c>
      <c r="Q895" s="1" t="s">
        <v>3864</v>
      </c>
      <c r="R895" s="239" t="s">
        <v>3865</v>
      </c>
      <c r="S895" s="239" t="s">
        <v>3866</v>
      </c>
      <c r="T895" s="239" t="s">
        <v>3867</v>
      </c>
      <c r="U895" s="239" t="s">
        <v>3868</v>
      </c>
      <c r="V895" s="238" t="s">
        <v>3869</v>
      </c>
      <c r="W895" s="236">
        <v>8494</v>
      </c>
      <c r="X895" s="233">
        <v>41219</v>
      </c>
      <c r="Y895" s="238" t="s">
        <v>3870</v>
      </c>
      <c r="AB895" s="1" t="s">
        <v>3838</v>
      </c>
    </row>
    <row r="896" spans="1:28" ht="12" customHeight="1">
      <c r="A896" s="233">
        <v>41220</v>
      </c>
      <c r="B896" s="1" t="s">
        <v>3861</v>
      </c>
      <c r="C896" s="5" t="s">
        <v>3823</v>
      </c>
      <c r="D896" s="1" t="s">
        <v>1219</v>
      </c>
      <c r="E896" s="1" t="s">
        <v>2288</v>
      </c>
      <c r="F896" s="5">
        <v>1</v>
      </c>
      <c r="G896" s="1" t="s">
        <v>3829</v>
      </c>
      <c r="H896" s="234">
        <v>15</v>
      </c>
      <c r="I896" s="236">
        <f t="shared" si="58"/>
        <v>15</v>
      </c>
      <c r="K896" s="274">
        <v>13</v>
      </c>
      <c r="L896" s="245">
        <v>41217</v>
      </c>
      <c r="M896" s="5" t="s">
        <v>3863</v>
      </c>
      <c r="N896" s="235">
        <f t="shared" si="51"/>
        <v>15</v>
      </c>
      <c r="O896" s="235">
        <f t="shared" si="59"/>
        <v>0</v>
      </c>
      <c r="P896" s="238" t="s">
        <v>4918</v>
      </c>
      <c r="Q896" s="1" t="s">
        <v>3864</v>
      </c>
      <c r="R896" s="239" t="s">
        <v>3865</v>
      </c>
      <c r="S896" s="238" t="s">
        <v>3866</v>
      </c>
      <c r="T896" s="238" t="s">
        <v>3867</v>
      </c>
      <c r="U896" s="238" t="s">
        <v>3868</v>
      </c>
      <c r="V896" s="238" t="s">
        <v>3869</v>
      </c>
      <c r="W896" s="236">
        <v>8494</v>
      </c>
      <c r="X896" s="233">
        <v>41219</v>
      </c>
      <c r="Y896" s="238" t="s">
        <v>3870</v>
      </c>
      <c r="AB896" s="1" t="s">
        <v>3838</v>
      </c>
    </row>
    <row r="897" spans="1:28" ht="12" customHeight="1">
      <c r="A897" s="233">
        <v>41220</v>
      </c>
      <c r="B897" s="1" t="s">
        <v>3861</v>
      </c>
      <c r="C897" s="5" t="s">
        <v>3823</v>
      </c>
      <c r="D897" s="5" t="s">
        <v>3871</v>
      </c>
      <c r="E897" s="1" t="s">
        <v>3872</v>
      </c>
      <c r="F897" s="5">
        <v>4</v>
      </c>
      <c r="G897" s="1" t="s">
        <v>3840</v>
      </c>
      <c r="H897" s="234">
        <v>74</v>
      </c>
      <c r="I897" s="236">
        <f t="shared" si="58"/>
        <v>296</v>
      </c>
      <c r="K897" s="266">
        <f>58.3*F897</f>
        <v>233.2</v>
      </c>
      <c r="L897" s="245">
        <v>41218</v>
      </c>
      <c r="M897" s="5" t="s">
        <v>3863</v>
      </c>
      <c r="N897" s="235">
        <f t="shared" si="51"/>
        <v>296</v>
      </c>
      <c r="O897" s="235">
        <f t="shared" si="59"/>
        <v>0</v>
      </c>
      <c r="P897" s="238" t="s">
        <v>4918</v>
      </c>
      <c r="Q897" s="1" t="s">
        <v>3864</v>
      </c>
      <c r="R897" s="239" t="s">
        <v>3865</v>
      </c>
      <c r="S897" s="238" t="s">
        <v>3866</v>
      </c>
      <c r="T897" s="238" t="s">
        <v>3867</v>
      </c>
      <c r="U897" s="238" t="s">
        <v>3868</v>
      </c>
      <c r="V897" s="238" t="s">
        <v>3869</v>
      </c>
      <c r="W897" s="236">
        <v>8494</v>
      </c>
      <c r="X897" s="233">
        <v>41219</v>
      </c>
      <c r="Y897" s="238" t="s">
        <v>3870</v>
      </c>
      <c r="AB897" s="1" t="s">
        <v>3838</v>
      </c>
    </row>
    <row r="898" spans="1:28" ht="11.25" customHeight="1">
      <c r="A898" s="233">
        <v>41220</v>
      </c>
      <c r="B898" s="1" t="s">
        <v>3861</v>
      </c>
      <c r="C898" s="5" t="s">
        <v>3823</v>
      </c>
      <c r="D898" s="5" t="s">
        <v>3873</v>
      </c>
      <c r="E898" s="1" t="s">
        <v>3874</v>
      </c>
      <c r="F898" s="5">
        <v>8</v>
      </c>
      <c r="G898" s="1" t="s">
        <v>3840</v>
      </c>
      <c r="H898" s="234">
        <v>15</v>
      </c>
      <c r="I898" s="236">
        <f t="shared" si="58"/>
        <v>120</v>
      </c>
      <c r="K898" s="266">
        <f>13.6*F898</f>
        <v>108.8</v>
      </c>
      <c r="L898" s="245">
        <v>41219</v>
      </c>
      <c r="M898" s="5" t="s">
        <v>3863</v>
      </c>
      <c r="N898" s="235">
        <f t="shared" si="51"/>
        <v>120</v>
      </c>
      <c r="O898" s="235">
        <f t="shared" si="59"/>
        <v>0</v>
      </c>
      <c r="P898" s="238" t="s">
        <v>4918</v>
      </c>
      <c r="Q898" s="1" t="s">
        <v>3864</v>
      </c>
      <c r="R898" s="239" t="s">
        <v>3865</v>
      </c>
      <c r="S898" s="238" t="s">
        <v>3866</v>
      </c>
      <c r="T898" s="238" t="s">
        <v>3867</v>
      </c>
      <c r="U898" s="238" t="s">
        <v>3868</v>
      </c>
      <c r="V898" s="238" t="s">
        <v>3869</v>
      </c>
      <c r="W898" s="236">
        <v>8494</v>
      </c>
      <c r="X898" s="233">
        <v>41219</v>
      </c>
      <c r="Y898" s="238" t="s">
        <v>3870</v>
      </c>
      <c r="AB898" s="1" t="s">
        <v>3838</v>
      </c>
    </row>
    <row r="899" spans="1:28" ht="11.25" customHeight="1">
      <c r="A899" s="233">
        <v>41220</v>
      </c>
      <c r="B899" s="1" t="s">
        <v>3875</v>
      </c>
      <c r="C899" s="5" t="s">
        <v>3823</v>
      </c>
      <c r="D899" s="5" t="s">
        <v>307</v>
      </c>
      <c r="E899" s="1">
        <v>1270</v>
      </c>
      <c r="F899" s="5">
        <v>50</v>
      </c>
      <c r="G899" s="1" t="s">
        <v>3829</v>
      </c>
      <c r="H899" s="234">
        <v>6</v>
      </c>
      <c r="I899" s="235">
        <f t="shared" si="58"/>
        <v>300</v>
      </c>
      <c r="K899" s="266">
        <f>4.31*50</f>
        <v>215.49999999999997</v>
      </c>
      <c r="L899" s="237">
        <v>41241</v>
      </c>
      <c r="M899" s="1" t="s">
        <v>2262</v>
      </c>
      <c r="N899" s="235">
        <f t="shared" ref="N899:N962" si="60">I899</f>
        <v>300</v>
      </c>
      <c r="O899" s="235">
        <f t="shared" si="59"/>
        <v>0</v>
      </c>
      <c r="P899" s="238" t="s">
        <v>3876</v>
      </c>
      <c r="Q899" s="1" t="s">
        <v>3877</v>
      </c>
      <c r="R899" s="239" t="s">
        <v>3878</v>
      </c>
      <c r="S899" s="238" t="s">
        <v>3879</v>
      </c>
      <c r="T899" s="238" t="s">
        <v>3880</v>
      </c>
      <c r="U899" s="238" t="s">
        <v>3881</v>
      </c>
      <c r="V899" s="238" t="s">
        <v>3882</v>
      </c>
      <c r="W899" s="236">
        <v>1450</v>
      </c>
      <c r="X899" s="233">
        <v>41220</v>
      </c>
      <c r="Y899" s="238" t="s">
        <v>3881</v>
      </c>
      <c r="AB899" s="1" t="s">
        <v>3822</v>
      </c>
    </row>
    <row r="900" spans="1:28" ht="11.25" customHeight="1">
      <c r="A900" s="233">
        <v>41220</v>
      </c>
      <c r="B900" s="1" t="s">
        <v>3875</v>
      </c>
      <c r="C900" s="5" t="s">
        <v>3823</v>
      </c>
      <c r="D900" s="1" t="s">
        <v>3883</v>
      </c>
      <c r="E900" s="1">
        <v>10434</v>
      </c>
      <c r="F900" s="5">
        <v>50</v>
      </c>
      <c r="G900" s="1" t="s">
        <v>3829</v>
      </c>
      <c r="H900" s="234">
        <v>23</v>
      </c>
      <c r="I900" s="235">
        <f t="shared" si="58"/>
        <v>1150</v>
      </c>
      <c r="K900" s="266">
        <f>14.5*50</f>
        <v>725</v>
      </c>
      <c r="L900" s="237">
        <v>41241</v>
      </c>
      <c r="M900" s="1" t="s">
        <v>2262</v>
      </c>
      <c r="N900" s="235">
        <f t="shared" si="60"/>
        <v>1150</v>
      </c>
      <c r="O900" s="235">
        <f t="shared" si="59"/>
        <v>0</v>
      </c>
      <c r="P900" s="238" t="s">
        <v>3876</v>
      </c>
      <c r="Q900" s="1" t="s">
        <v>3877</v>
      </c>
      <c r="R900" s="239" t="s">
        <v>3878</v>
      </c>
      <c r="S900" s="238" t="s">
        <v>3879</v>
      </c>
      <c r="T900" s="238" t="s">
        <v>3880</v>
      </c>
      <c r="U900" s="238" t="s">
        <v>3881</v>
      </c>
      <c r="V900" s="238" t="s">
        <v>3882</v>
      </c>
      <c r="W900" s="236">
        <v>1450</v>
      </c>
      <c r="X900" s="233">
        <v>41220</v>
      </c>
      <c r="Y900" s="238" t="s">
        <v>3881</v>
      </c>
      <c r="AB900" s="1" t="s">
        <v>3822</v>
      </c>
    </row>
    <row r="901" spans="1:28" ht="11.25" customHeight="1">
      <c r="A901" s="233">
        <v>41221</v>
      </c>
      <c r="B901" s="1" t="s">
        <v>3884</v>
      </c>
      <c r="C901" s="5" t="s">
        <v>3823</v>
      </c>
      <c r="D901" s="1" t="s">
        <v>3883</v>
      </c>
      <c r="E901" s="1">
        <v>10434</v>
      </c>
      <c r="F901" s="5">
        <v>160</v>
      </c>
      <c r="G901" s="1" t="s">
        <v>3829</v>
      </c>
      <c r="H901" s="234">
        <v>23</v>
      </c>
      <c r="I901" s="235">
        <f t="shared" si="58"/>
        <v>3680</v>
      </c>
      <c r="K901" s="266">
        <f>14.2*F901</f>
        <v>2272</v>
      </c>
      <c r="L901" s="237">
        <v>41310</v>
      </c>
      <c r="M901" s="1" t="s">
        <v>5029</v>
      </c>
      <c r="N901" s="235">
        <f t="shared" si="60"/>
        <v>3680</v>
      </c>
      <c r="O901" s="235">
        <f t="shared" si="59"/>
        <v>0</v>
      </c>
      <c r="P901" s="238" t="s">
        <v>3885</v>
      </c>
      <c r="Q901" s="1" t="s">
        <v>3886</v>
      </c>
      <c r="R901" s="239" t="s">
        <v>3887</v>
      </c>
      <c r="S901" s="238" t="s">
        <v>3888</v>
      </c>
      <c r="T901" s="238" t="s">
        <v>3889</v>
      </c>
      <c r="U901" s="238" t="s">
        <v>2276</v>
      </c>
      <c r="V901" s="238" t="s">
        <v>3890</v>
      </c>
      <c r="W901" s="236" t="s">
        <v>3891</v>
      </c>
      <c r="X901" s="233">
        <v>41234</v>
      </c>
      <c r="Y901" s="238" t="s">
        <v>3892</v>
      </c>
      <c r="AB901" s="1" t="s">
        <v>3822</v>
      </c>
    </row>
    <row r="902" spans="1:28" ht="11.25" customHeight="1">
      <c r="A902" s="233">
        <v>41221</v>
      </c>
      <c r="B902" s="1" t="s">
        <v>3884</v>
      </c>
      <c r="C902" s="5" t="s">
        <v>3823</v>
      </c>
      <c r="D902" s="5" t="s">
        <v>2263</v>
      </c>
      <c r="E902" s="1" t="s">
        <v>2264</v>
      </c>
      <c r="F902" s="5">
        <v>200</v>
      </c>
      <c r="G902" s="1" t="s">
        <v>232</v>
      </c>
      <c r="H902" s="234">
        <v>9.1999999999999993</v>
      </c>
      <c r="I902" s="235">
        <f t="shared" si="58"/>
        <v>1839.9999999999998</v>
      </c>
      <c r="K902" s="266">
        <f>4.78*F902</f>
        <v>956</v>
      </c>
      <c r="L902" s="237">
        <v>41310</v>
      </c>
      <c r="M902" s="1" t="s">
        <v>5029</v>
      </c>
      <c r="N902" s="235">
        <f t="shared" si="60"/>
        <v>1839.9999999999998</v>
      </c>
      <c r="O902" s="235">
        <f t="shared" si="59"/>
        <v>0</v>
      </c>
      <c r="P902" s="238" t="s">
        <v>3885</v>
      </c>
      <c r="Q902" s="1" t="s">
        <v>3886</v>
      </c>
      <c r="R902" s="239" t="s">
        <v>3887</v>
      </c>
      <c r="S902" s="238" t="s">
        <v>3888</v>
      </c>
      <c r="T902" s="238" t="s">
        <v>3889</v>
      </c>
      <c r="U902" s="238" t="s">
        <v>2276</v>
      </c>
      <c r="V902" s="238" t="s">
        <v>3890</v>
      </c>
      <c r="W902" s="236" t="s">
        <v>3891</v>
      </c>
      <c r="X902" s="233">
        <v>41234</v>
      </c>
      <c r="Y902" s="238" t="s">
        <v>3892</v>
      </c>
      <c r="AB902" s="1" t="s">
        <v>3822</v>
      </c>
    </row>
    <row r="903" spans="1:28" ht="12" customHeight="1">
      <c r="A903" s="233">
        <v>41221</v>
      </c>
      <c r="B903" s="1" t="s">
        <v>3884</v>
      </c>
      <c r="C903" s="5" t="s">
        <v>3823</v>
      </c>
      <c r="D903" s="5" t="s">
        <v>355</v>
      </c>
      <c r="E903" s="1" t="s">
        <v>2261</v>
      </c>
      <c r="F903" s="5">
        <v>200</v>
      </c>
      <c r="G903" s="1" t="s">
        <v>3840</v>
      </c>
      <c r="H903" s="234">
        <v>35</v>
      </c>
      <c r="I903" s="235">
        <f t="shared" si="58"/>
        <v>7000</v>
      </c>
      <c r="K903" s="266">
        <f>16.5*F903</f>
        <v>3300</v>
      </c>
      <c r="L903" s="237">
        <v>41310</v>
      </c>
      <c r="M903" s="1" t="s">
        <v>5029</v>
      </c>
      <c r="N903" s="235">
        <f t="shared" si="60"/>
        <v>7000</v>
      </c>
      <c r="O903" s="235">
        <f t="shared" si="59"/>
        <v>0</v>
      </c>
      <c r="P903" s="238" t="s">
        <v>3885</v>
      </c>
      <c r="Q903" s="1" t="s">
        <v>3886</v>
      </c>
      <c r="R903" s="239" t="s">
        <v>3887</v>
      </c>
      <c r="S903" s="238" t="s">
        <v>3888</v>
      </c>
      <c r="T903" s="238" t="s">
        <v>3889</v>
      </c>
      <c r="U903" s="238" t="s">
        <v>2276</v>
      </c>
      <c r="V903" s="238" t="s">
        <v>3890</v>
      </c>
      <c r="W903" s="236" t="s">
        <v>3891</v>
      </c>
      <c r="X903" s="233">
        <v>41234</v>
      </c>
      <c r="Y903" s="238" t="s">
        <v>3892</v>
      </c>
      <c r="AB903" s="1" t="s">
        <v>3822</v>
      </c>
    </row>
    <row r="904" spans="1:28" ht="12" customHeight="1">
      <c r="A904" s="233">
        <v>41221</v>
      </c>
      <c r="B904" s="1" t="s">
        <v>3884</v>
      </c>
      <c r="C904" s="5" t="s">
        <v>3823</v>
      </c>
      <c r="D904" s="5" t="s">
        <v>3893</v>
      </c>
      <c r="E904" s="1">
        <v>6885</v>
      </c>
      <c r="F904" s="5">
        <v>200</v>
      </c>
      <c r="G904" s="1" t="s">
        <v>3840</v>
      </c>
      <c r="H904" s="234">
        <v>6.5</v>
      </c>
      <c r="I904" s="235">
        <f t="shared" si="58"/>
        <v>1300</v>
      </c>
      <c r="K904" s="266">
        <f>80*4.2+120*4.4</f>
        <v>864</v>
      </c>
      <c r="L904" s="237">
        <v>41310</v>
      </c>
      <c r="M904" s="1" t="s">
        <v>5029</v>
      </c>
      <c r="N904" s="235">
        <f t="shared" si="60"/>
        <v>1300</v>
      </c>
      <c r="O904" s="235">
        <f t="shared" si="59"/>
        <v>0</v>
      </c>
      <c r="P904" s="238" t="s">
        <v>3885</v>
      </c>
      <c r="Q904" s="1" t="s">
        <v>3886</v>
      </c>
      <c r="R904" s="239" t="s">
        <v>3887</v>
      </c>
      <c r="S904" s="238" t="s">
        <v>3888</v>
      </c>
      <c r="T904" s="238" t="s">
        <v>3889</v>
      </c>
      <c r="U904" s="238" t="s">
        <v>2276</v>
      </c>
      <c r="V904" s="238" t="s">
        <v>3890</v>
      </c>
      <c r="W904" s="236" t="s">
        <v>3891</v>
      </c>
      <c r="X904" s="233">
        <v>41234</v>
      </c>
      <c r="Y904" s="238" t="s">
        <v>3892</v>
      </c>
      <c r="AB904" s="1" t="s">
        <v>3822</v>
      </c>
    </row>
    <row r="905" spans="1:28" ht="12" customHeight="1">
      <c r="A905" s="233">
        <v>41221</v>
      </c>
      <c r="B905" s="1" t="s">
        <v>3884</v>
      </c>
      <c r="C905" s="5" t="s">
        <v>3823</v>
      </c>
      <c r="D905" s="5" t="s">
        <v>3894</v>
      </c>
      <c r="E905" s="1">
        <v>52000183617</v>
      </c>
      <c r="F905" s="5">
        <v>12</v>
      </c>
      <c r="G905" s="1" t="s">
        <v>3840</v>
      </c>
      <c r="H905" s="234">
        <v>1680</v>
      </c>
      <c r="I905" s="235">
        <f t="shared" si="58"/>
        <v>20160</v>
      </c>
      <c r="K905" s="266">
        <f>938*12</f>
        <v>11256</v>
      </c>
      <c r="L905" s="237">
        <v>41310</v>
      </c>
      <c r="M905" s="1" t="s">
        <v>5029</v>
      </c>
      <c r="N905" s="235">
        <f t="shared" si="60"/>
        <v>20160</v>
      </c>
      <c r="O905" s="235">
        <f t="shared" si="59"/>
        <v>0</v>
      </c>
      <c r="P905" s="238" t="s">
        <v>3885</v>
      </c>
      <c r="Q905" s="1" t="s">
        <v>3886</v>
      </c>
      <c r="R905" s="239" t="s">
        <v>3887</v>
      </c>
      <c r="S905" s="238" t="s">
        <v>3888</v>
      </c>
      <c r="T905" s="238" t="s">
        <v>3889</v>
      </c>
      <c r="U905" s="238" t="s">
        <v>2276</v>
      </c>
      <c r="V905" s="238" t="s">
        <v>3890</v>
      </c>
      <c r="W905" s="236" t="s">
        <v>3891</v>
      </c>
      <c r="X905" s="233">
        <v>41234</v>
      </c>
      <c r="Y905" s="238" t="s">
        <v>3892</v>
      </c>
      <c r="AB905" s="1" t="s">
        <v>3822</v>
      </c>
    </row>
    <row r="906" spans="1:28" ht="12" customHeight="1">
      <c r="A906" s="233">
        <v>41221</v>
      </c>
      <c r="B906" s="1" t="s">
        <v>3884</v>
      </c>
      <c r="C906" s="5" t="s">
        <v>3823</v>
      </c>
      <c r="D906" s="5" t="s">
        <v>87</v>
      </c>
      <c r="E906" s="1">
        <v>9032</v>
      </c>
      <c r="F906" s="5">
        <v>300</v>
      </c>
      <c r="G906" s="1" t="s">
        <v>3840</v>
      </c>
      <c r="H906" s="234">
        <v>2.7</v>
      </c>
      <c r="I906" s="235">
        <f t="shared" si="58"/>
        <v>810</v>
      </c>
      <c r="K906" s="266">
        <f>1.4929*300</f>
        <v>447.86999999999995</v>
      </c>
      <c r="L906" s="237">
        <v>41310</v>
      </c>
      <c r="M906" s="1" t="s">
        <v>5029</v>
      </c>
      <c r="N906" s="235">
        <f t="shared" si="60"/>
        <v>810</v>
      </c>
      <c r="O906" s="235">
        <f t="shared" si="59"/>
        <v>0</v>
      </c>
      <c r="P906" s="238" t="s">
        <v>3885</v>
      </c>
      <c r="Q906" s="1" t="s">
        <v>3886</v>
      </c>
      <c r="R906" s="239" t="s">
        <v>3887</v>
      </c>
      <c r="S906" s="238" t="s">
        <v>3888</v>
      </c>
      <c r="T906" s="238" t="s">
        <v>3889</v>
      </c>
      <c r="U906" s="238" t="s">
        <v>2276</v>
      </c>
      <c r="V906" s="238" t="s">
        <v>1323</v>
      </c>
      <c r="W906" s="236">
        <v>1500</v>
      </c>
      <c r="X906" s="233">
        <v>41236</v>
      </c>
      <c r="Y906" s="238" t="s">
        <v>3895</v>
      </c>
      <c r="AB906" s="1" t="s">
        <v>3822</v>
      </c>
    </row>
    <row r="907" spans="1:28" ht="11.25" customHeight="1">
      <c r="A907" s="233">
        <v>41221</v>
      </c>
      <c r="B907" s="1" t="s">
        <v>3884</v>
      </c>
      <c r="C907" s="5" t="s">
        <v>3823</v>
      </c>
      <c r="D907" s="1" t="s">
        <v>1720</v>
      </c>
      <c r="E907" s="1">
        <v>8210</v>
      </c>
      <c r="F907" s="5">
        <v>100</v>
      </c>
      <c r="G907" s="1" t="s">
        <v>3840</v>
      </c>
      <c r="H907" s="234">
        <v>6.9</v>
      </c>
      <c r="I907" s="235">
        <f t="shared" si="58"/>
        <v>690</v>
      </c>
      <c r="K907" s="266">
        <f>3.63*100</f>
        <v>363</v>
      </c>
      <c r="L907" s="237">
        <v>41310</v>
      </c>
      <c r="M907" s="1" t="s">
        <v>5029</v>
      </c>
      <c r="N907" s="235">
        <f t="shared" si="60"/>
        <v>690</v>
      </c>
      <c r="O907" s="235">
        <f t="shared" si="59"/>
        <v>0</v>
      </c>
      <c r="P907" s="238" t="s">
        <v>3885</v>
      </c>
      <c r="Q907" s="1" t="s">
        <v>3886</v>
      </c>
      <c r="R907" s="239" t="s">
        <v>3887</v>
      </c>
      <c r="S907" s="238" t="s">
        <v>3888</v>
      </c>
      <c r="T907" s="238" t="s">
        <v>3889</v>
      </c>
      <c r="U907" s="238" t="s">
        <v>2276</v>
      </c>
      <c r="V907" s="238" t="s">
        <v>1323</v>
      </c>
      <c r="W907" s="236">
        <v>1500</v>
      </c>
      <c r="X907" s="233">
        <v>41236</v>
      </c>
      <c r="Y907" s="238" t="s">
        <v>3895</v>
      </c>
      <c r="AB907" s="1" t="s">
        <v>3822</v>
      </c>
    </row>
    <row r="908" spans="1:28" ht="12" customHeight="1">
      <c r="A908" s="233">
        <v>41221</v>
      </c>
      <c r="B908" s="1" t="s">
        <v>3896</v>
      </c>
      <c r="C908" s="5" t="s">
        <v>2259</v>
      </c>
      <c r="D908" s="5" t="s">
        <v>3897</v>
      </c>
      <c r="E908" s="1">
        <v>1110</v>
      </c>
      <c r="F908" s="5">
        <v>100</v>
      </c>
      <c r="G908" s="1" t="s">
        <v>3829</v>
      </c>
      <c r="H908" s="234">
        <v>1.1000000000000001</v>
      </c>
      <c r="I908" s="235">
        <f t="shared" ref="I908:I914" si="61">F908*H908</f>
        <v>110.00000000000001</v>
      </c>
      <c r="K908" s="266">
        <f>0.77*100</f>
        <v>77</v>
      </c>
      <c r="L908" s="237">
        <v>41221</v>
      </c>
      <c r="M908" s="1" t="s">
        <v>3854</v>
      </c>
      <c r="N908" s="235">
        <f t="shared" si="60"/>
        <v>110.00000000000001</v>
      </c>
      <c r="O908" s="235">
        <f t="shared" si="59"/>
        <v>0</v>
      </c>
      <c r="P908" s="238" t="s">
        <v>3898</v>
      </c>
      <c r="Q908" s="1" t="s">
        <v>3827</v>
      </c>
      <c r="V908" s="238" t="s">
        <v>2286</v>
      </c>
      <c r="AB908" s="1" t="s">
        <v>3822</v>
      </c>
    </row>
    <row r="909" spans="1:28" ht="12" customHeight="1">
      <c r="A909" s="233">
        <v>41221</v>
      </c>
      <c r="B909" s="1" t="s">
        <v>3899</v>
      </c>
      <c r="C909" s="5" t="s">
        <v>2259</v>
      </c>
      <c r="D909" s="1" t="s">
        <v>1216</v>
      </c>
      <c r="E909" s="1">
        <v>3200</v>
      </c>
      <c r="F909" s="5">
        <v>100</v>
      </c>
      <c r="G909" s="5" t="s">
        <v>3840</v>
      </c>
      <c r="H909" s="234">
        <v>26.81</v>
      </c>
      <c r="I909" s="235">
        <f t="shared" si="61"/>
        <v>2681</v>
      </c>
      <c r="K909" s="266">
        <f>23.94*100</f>
        <v>2394</v>
      </c>
      <c r="L909" s="237">
        <v>41221</v>
      </c>
      <c r="M909" s="5" t="s">
        <v>2262</v>
      </c>
      <c r="N909" s="235">
        <f t="shared" si="60"/>
        <v>2681</v>
      </c>
      <c r="O909" s="235">
        <f t="shared" si="59"/>
        <v>0</v>
      </c>
      <c r="P909" s="238" t="s">
        <v>3900</v>
      </c>
      <c r="Q909" s="5" t="s">
        <v>3827</v>
      </c>
      <c r="R909" s="239" t="s">
        <v>2276</v>
      </c>
      <c r="S909" s="238" t="s">
        <v>2276</v>
      </c>
      <c r="T909" s="238" t="s">
        <v>2276</v>
      </c>
      <c r="U909" s="238" t="s">
        <v>2276</v>
      </c>
      <c r="V909" s="238" t="s">
        <v>3901</v>
      </c>
      <c r="W909" s="236">
        <v>3200</v>
      </c>
      <c r="X909" s="233">
        <v>41226</v>
      </c>
      <c r="Y909" s="238" t="s">
        <v>3902</v>
      </c>
      <c r="AB909" s="1" t="s">
        <v>3838</v>
      </c>
    </row>
    <row r="910" spans="1:28" ht="11.25" customHeight="1">
      <c r="A910" s="233">
        <v>41221</v>
      </c>
      <c r="B910" s="1" t="s">
        <v>3899</v>
      </c>
      <c r="C910" s="5" t="s">
        <v>2259</v>
      </c>
      <c r="D910" s="5" t="s">
        <v>348</v>
      </c>
      <c r="E910" s="1">
        <v>3700</v>
      </c>
      <c r="F910" s="5">
        <v>100</v>
      </c>
      <c r="G910" s="1" t="s">
        <v>230</v>
      </c>
      <c r="H910" s="234">
        <v>3.46</v>
      </c>
      <c r="I910" s="235">
        <f t="shared" si="61"/>
        <v>346</v>
      </c>
      <c r="J910" s="352">
        <v>3.09</v>
      </c>
      <c r="K910" s="266">
        <f>3.09*100</f>
        <v>309</v>
      </c>
      <c r="L910" s="237">
        <v>41221</v>
      </c>
      <c r="M910" s="5" t="s">
        <v>2262</v>
      </c>
      <c r="N910" s="235">
        <f t="shared" si="60"/>
        <v>346</v>
      </c>
      <c r="O910" s="235">
        <f t="shared" si="59"/>
        <v>0</v>
      </c>
      <c r="P910" s="238" t="s">
        <v>3900</v>
      </c>
      <c r="Q910" s="5" t="s">
        <v>3827</v>
      </c>
      <c r="R910" s="239" t="s">
        <v>2276</v>
      </c>
      <c r="S910" s="238" t="s">
        <v>2276</v>
      </c>
      <c r="T910" s="238" t="s">
        <v>2276</v>
      </c>
      <c r="U910" s="238" t="s">
        <v>2276</v>
      </c>
      <c r="V910" s="238" t="s">
        <v>3901</v>
      </c>
      <c r="W910" s="236">
        <v>3200</v>
      </c>
      <c r="X910" s="233">
        <v>41226</v>
      </c>
      <c r="Y910" s="238" t="s">
        <v>3902</v>
      </c>
      <c r="AB910" s="1" t="s">
        <v>3838</v>
      </c>
    </row>
    <row r="911" spans="1:28" ht="11.25" customHeight="1">
      <c r="A911" s="233">
        <v>41221</v>
      </c>
      <c r="B911" s="1" t="s">
        <v>3899</v>
      </c>
      <c r="C911" s="5" t="s">
        <v>2259</v>
      </c>
      <c r="D911" s="5" t="s">
        <v>2263</v>
      </c>
      <c r="E911" s="1" t="s">
        <v>2290</v>
      </c>
      <c r="F911" s="5">
        <v>100</v>
      </c>
      <c r="G911" s="1" t="s">
        <v>3831</v>
      </c>
      <c r="H911" s="234">
        <v>1.73</v>
      </c>
      <c r="I911" s="235">
        <f t="shared" si="61"/>
        <v>173</v>
      </c>
      <c r="J911" s="352">
        <v>1.54</v>
      </c>
      <c r="K911" s="266">
        <f>1.54*100</f>
        <v>154</v>
      </c>
      <c r="L911" s="237">
        <v>41221</v>
      </c>
      <c r="M911" s="5" t="s">
        <v>2262</v>
      </c>
      <c r="N911" s="235">
        <f t="shared" si="60"/>
        <v>173</v>
      </c>
      <c r="O911" s="235">
        <f t="shared" si="59"/>
        <v>0</v>
      </c>
      <c r="P911" s="238" t="s">
        <v>3900</v>
      </c>
      <c r="Q911" s="5" t="s">
        <v>3827</v>
      </c>
      <c r="R911" s="239" t="s">
        <v>2276</v>
      </c>
      <c r="S911" s="238" t="s">
        <v>2276</v>
      </c>
      <c r="T911" s="238" t="s">
        <v>2276</v>
      </c>
      <c r="U911" s="238" t="s">
        <v>2276</v>
      </c>
      <c r="V911" s="238" t="s">
        <v>3901</v>
      </c>
      <c r="W911" s="236">
        <v>3200</v>
      </c>
      <c r="X911" s="233">
        <v>41226</v>
      </c>
      <c r="Y911" s="238" t="s">
        <v>3902</v>
      </c>
      <c r="AB911" s="1" t="s">
        <v>3838</v>
      </c>
    </row>
    <row r="912" spans="1:28" ht="13.5" customHeight="1">
      <c r="A912" s="233">
        <v>41221</v>
      </c>
      <c r="B912" s="1" t="s">
        <v>3839</v>
      </c>
      <c r="C912" s="5" t="s">
        <v>2259</v>
      </c>
      <c r="D912" s="1" t="s">
        <v>1720</v>
      </c>
      <c r="E912" s="1">
        <v>8210</v>
      </c>
      <c r="F912" s="5">
        <v>300</v>
      </c>
      <c r="G912" s="1" t="s">
        <v>3840</v>
      </c>
      <c r="H912" s="234">
        <v>4.18</v>
      </c>
      <c r="I912" s="235">
        <f t="shared" si="61"/>
        <v>1254</v>
      </c>
      <c r="K912" s="266">
        <f>3.63*300</f>
        <v>1089</v>
      </c>
      <c r="L912" s="237">
        <v>41309</v>
      </c>
      <c r="M912" s="1" t="s">
        <v>166</v>
      </c>
      <c r="N912" s="235">
        <f t="shared" si="60"/>
        <v>1254</v>
      </c>
      <c r="O912" s="235">
        <f t="shared" si="59"/>
        <v>0</v>
      </c>
      <c r="P912" s="238" t="s">
        <v>3903</v>
      </c>
      <c r="Q912" s="1" t="s">
        <v>3851</v>
      </c>
      <c r="R912" s="239" t="s">
        <v>3844</v>
      </c>
      <c r="S912" s="238" t="s">
        <v>3845</v>
      </c>
      <c r="T912" s="238" t="s">
        <v>3846</v>
      </c>
      <c r="U912" s="238" t="s">
        <v>3904</v>
      </c>
      <c r="V912" s="238" t="s">
        <v>2286</v>
      </c>
      <c r="AB912" s="1" t="s">
        <v>3838</v>
      </c>
    </row>
    <row r="913" spans="1:28" ht="11.25" customHeight="1">
      <c r="A913" s="233">
        <v>41221</v>
      </c>
      <c r="B913" s="1" t="s">
        <v>3839</v>
      </c>
      <c r="C913" s="5" t="s">
        <v>2259</v>
      </c>
      <c r="D913" s="5" t="s">
        <v>2281</v>
      </c>
      <c r="E913" s="1" t="s">
        <v>2282</v>
      </c>
      <c r="F913" s="5">
        <v>1000</v>
      </c>
      <c r="G913" s="1" t="s">
        <v>5002</v>
      </c>
      <c r="H913" s="234">
        <v>1.59</v>
      </c>
      <c r="I913" s="235">
        <f t="shared" si="61"/>
        <v>1590</v>
      </c>
      <c r="J913" s="360">
        <v>1.4</v>
      </c>
      <c r="K913" s="266">
        <f>1.4*F913</f>
        <v>1400</v>
      </c>
      <c r="L913" s="237">
        <v>41309</v>
      </c>
      <c r="M913" s="1" t="s">
        <v>166</v>
      </c>
      <c r="N913" s="235">
        <f t="shared" si="60"/>
        <v>1590</v>
      </c>
      <c r="O913" s="235">
        <f t="shared" si="59"/>
        <v>0</v>
      </c>
      <c r="P913" s="238" t="s">
        <v>3903</v>
      </c>
      <c r="Q913" s="1" t="s">
        <v>3851</v>
      </c>
      <c r="R913" s="239" t="s">
        <v>3844</v>
      </c>
      <c r="S913" s="238" t="s">
        <v>3845</v>
      </c>
      <c r="T913" s="238" t="s">
        <v>3846</v>
      </c>
      <c r="U913" s="238" t="s">
        <v>3904</v>
      </c>
      <c r="V913" s="238" t="s">
        <v>2286</v>
      </c>
      <c r="AB913" s="1" t="s">
        <v>3838</v>
      </c>
    </row>
    <row r="914" spans="1:28" ht="12" customHeight="1">
      <c r="A914" s="233">
        <v>41221</v>
      </c>
      <c r="B914" s="1" t="s">
        <v>3839</v>
      </c>
      <c r="C914" s="5" t="s">
        <v>2259</v>
      </c>
      <c r="D914" s="5" t="s">
        <v>269</v>
      </c>
      <c r="E914" s="1" t="s">
        <v>3905</v>
      </c>
      <c r="F914" s="5">
        <v>50</v>
      </c>
      <c r="G914" s="1" t="s">
        <v>3831</v>
      </c>
      <c r="H914" s="234">
        <v>1.45</v>
      </c>
      <c r="I914" s="235">
        <f t="shared" si="61"/>
        <v>72.5</v>
      </c>
      <c r="K914" s="266">
        <f>1.17*50</f>
        <v>58.5</v>
      </c>
      <c r="L914" s="237">
        <v>41309</v>
      </c>
      <c r="M914" s="1" t="s">
        <v>166</v>
      </c>
      <c r="N914" s="235">
        <f t="shared" si="60"/>
        <v>72.5</v>
      </c>
      <c r="O914" s="235">
        <f t="shared" si="59"/>
        <v>0</v>
      </c>
      <c r="P914" s="238" t="s">
        <v>3903</v>
      </c>
      <c r="Q914" s="1" t="s">
        <v>3851</v>
      </c>
      <c r="R914" s="239" t="s">
        <v>3844</v>
      </c>
      <c r="S914" s="238" t="s">
        <v>3845</v>
      </c>
      <c r="T914" s="238" t="s">
        <v>3846</v>
      </c>
      <c r="U914" s="238" t="s">
        <v>3904</v>
      </c>
      <c r="V914" s="238" t="s">
        <v>2286</v>
      </c>
      <c r="AB914" s="1" t="s">
        <v>3838</v>
      </c>
    </row>
    <row r="915" spans="1:28" ht="11.25" customHeight="1">
      <c r="A915" s="233">
        <v>41222</v>
      </c>
      <c r="B915" s="1" t="s">
        <v>3906</v>
      </c>
      <c r="C915" s="5" t="s">
        <v>3823</v>
      </c>
      <c r="D915" s="5" t="s">
        <v>3907</v>
      </c>
      <c r="E915" s="1">
        <v>10197</v>
      </c>
      <c r="F915" s="5">
        <v>11</v>
      </c>
      <c r="G915" s="1" t="s">
        <v>3829</v>
      </c>
      <c r="H915" s="234">
        <v>60</v>
      </c>
      <c r="I915" s="235">
        <f t="shared" ref="I915:I921" si="62">F915*H915</f>
        <v>660</v>
      </c>
      <c r="K915" s="266">
        <f>39.078*11</f>
        <v>429.85800000000006</v>
      </c>
      <c r="L915" s="237">
        <v>41366</v>
      </c>
      <c r="M915" s="1" t="s">
        <v>6068</v>
      </c>
      <c r="N915" s="235">
        <v>660</v>
      </c>
      <c r="O915" s="235">
        <f t="shared" si="59"/>
        <v>0</v>
      </c>
      <c r="P915" s="238" t="s">
        <v>3908</v>
      </c>
      <c r="Q915" s="1" t="s">
        <v>3877</v>
      </c>
      <c r="R915" s="239" t="s">
        <v>3909</v>
      </c>
      <c r="S915" s="238" t="s">
        <v>3910</v>
      </c>
      <c r="T915" s="238" t="s">
        <v>3911</v>
      </c>
      <c r="U915" s="238" t="s">
        <v>3912</v>
      </c>
      <c r="V915" s="238" t="s">
        <v>3913</v>
      </c>
      <c r="W915" s="236">
        <v>711.6</v>
      </c>
      <c r="X915" s="233">
        <v>41267</v>
      </c>
      <c r="Y915" s="238" t="s">
        <v>3914</v>
      </c>
      <c r="AB915" s="1" t="s">
        <v>3822</v>
      </c>
    </row>
    <row r="916" spans="1:28" ht="11.25" customHeight="1">
      <c r="A916" s="233">
        <v>41222</v>
      </c>
      <c r="B916" s="1" t="s">
        <v>3906</v>
      </c>
      <c r="C916" s="5" t="s">
        <v>3823</v>
      </c>
      <c r="D916" s="5" t="s">
        <v>3897</v>
      </c>
      <c r="E916" s="1">
        <v>1110</v>
      </c>
      <c r="F916" s="5">
        <v>13</v>
      </c>
      <c r="G916" s="1" t="s">
        <v>3829</v>
      </c>
      <c r="H916" s="234">
        <v>1.2</v>
      </c>
      <c r="I916" s="235">
        <f t="shared" si="62"/>
        <v>15.6</v>
      </c>
      <c r="K916" s="266">
        <f>0.77*13</f>
        <v>10.01</v>
      </c>
      <c r="L916" s="237">
        <v>41366</v>
      </c>
      <c r="M916" s="1" t="s">
        <v>6068</v>
      </c>
      <c r="N916" s="235">
        <v>15.6</v>
      </c>
      <c r="O916" s="235">
        <f t="shared" si="59"/>
        <v>0</v>
      </c>
      <c r="P916" s="238" t="s">
        <v>3908</v>
      </c>
      <c r="Q916" s="1" t="s">
        <v>3877</v>
      </c>
      <c r="R916" s="239" t="s">
        <v>3909</v>
      </c>
      <c r="S916" s="238" t="s">
        <v>3910</v>
      </c>
      <c r="T916" s="238" t="s">
        <v>3911</v>
      </c>
      <c r="U916" s="238" t="s">
        <v>3912</v>
      </c>
      <c r="V916" s="238" t="s">
        <v>3913</v>
      </c>
      <c r="W916" s="236">
        <v>711.6</v>
      </c>
      <c r="X916" s="233">
        <v>41267</v>
      </c>
      <c r="Y916" s="238" t="s">
        <v>3914</v>
      </c>
      <c r="AB916" s="1" t="s">
        <v>3822</v>
      </c>
    </row>
    <row r="917" spans="1:28" ht="12" customHeight="1">
      <c r="A917" s="233">
        <v>41222</v>
      </c>
      <c r="B917" s="1" t="s">
        <v>3906</v>
      </c>
      <c r="C917" s="5" t="s">
        <v>3823</v>
      </c>
      <c r="D917" s="5" t="s">
        <v>87</v>
      </c>
      <c r="E917" s="1">
        <v>9032</v>
      </c>
      <c r="F917" s="5">
        <v>15</v>
      </c>
      <c r="G917" s="1" t="s">
        <v>3840</v>
      </c>
      <c r="H917" s="234">
        <v>2.4</v>
      </c>
      <c r="I917" s="235">
        <f t="shared" si="62"/>
        <v>36</v>
      </c>
      <c r="K917" s="266">
        <f>1.4929*15</f>
        <v>22.3935</v>
      </c>
      <c r="L917" s="237">
        <v>41366</v>
      </c>
      <c r="M917" s="1" t="s">
        <v>6068</v>
      </c>
      <c r="N917" s="235">
        <v>36</v>
      </c>
      <c r="O917" s="235">
        <f t="shared" si="59"/>
        <v>0</v>
      </c>
      <c r="P917" s="238" t="s">
        <v>3908</v>
      </c>
      <c r="Q917" s="1" t="s">
        <v>3877</v>
      </c>
      <c r="R917" s="239" t="s">
        <v>3909</v>
      </c>
      <c r="S917" s="238" t="s">
        <v>3910</v>
      </c>
      <c r="T917" s="238" t="s">
        <v>3911</v>
      </c>
      <c r="U917" s="238" t="s">
        <v>3912</v>
      </c>
      <c r="V917" s="238" t="s">
        <v>3913</v>
      </c>
      <c r="W917" s="236">
        <v>711.6</v>
      </c>
      <c r="X917" s="233">
        <v>41267</v>
      </c>
      <c r="Y917" s="238" t="s">
        <v>3914</v>
      </c>
      <c r="AB917" s="1" t="s">
        <v>3822</v>
      </c>
    </row>
    <row r="918" spans="1:28" ht="12" customHeight="1">
      <c r="A918" s="233">
        <v>41222</v>
      </c>
      <c r="B918" s="1" t="s">
        <v>3915</v>
      </c>
      <c r="C918" s="5" t="s">
        <v>3823</v>
      </c>
      <c r="D918" s="5" t="s">
        <v>3916</v>
      </c>
      <c r="E918" s="1" t="s">
        <v>3917</v>
      </c>
      <c r="F918" s="5">
        <v>10</v>
      </c>
      <c r="G918" s="225" t="s">
        <v>3918</v>
      </c>
      <c r="H918" s="234">
        <v>35</v>
      </c>
      <c r="I918" s="235">
        <f t="shared" si="62"/>
        <v>350</v>
      </c>
      <c r="K918" s="266">
        <f>26*10</f>
        <v>260</v>
      </c>
      <c r="L918" s="245">
        <v>41226</v>
      </c>
      <c r="M918" s="5" t="s">
        <v>2262</v>
      </c>
      <c r="N918" s="235">
        <f t="shared" si="60"/>
        <v>350</v>
      </c>
      <c r="O918" s="235">
        <f t="shared" ref="O918:O936" si="63">I918-N918</f>
        <v>0</v>
      </c>
      <c r="P918" s="238" t="s">
        <v>3919</v>
      </c>
      <c r="Q918" s="1" t="s">
        <v>3827</v>
      </c>
      <c r="R918" s="239" t="s">
        <v>3920</v>
      </c>
      <c r="S918" s="238" t="s">
        <v>3921</v>
      </c>
      <c r="T918" s="238" t="s">
        <v>2276</v>
      </c>
      <c r="U918" s="238" t="s">
        <v>2276</v>
      </c>
      <c r="V918" s="238" t="s">
        <v>3922</v>
      </c>
      <c r="W918" s="236">
        <v>3831</v>
      </c>
      <c r="X918" s="233">
        <v>41227</v>
      </c>
      <c r="Y918" s="238" t="s">
        <v>3923</v>
      </c>
      <c r="AA918" s="240" t="s">
        <v>3924</v>
      </c>
      <c r="AB918" s="1" t="s">
        <v>3838</v>
      </c>
    </row>
    <row r="919" spans="1:28" ht="12" customHeight="1">
      <c r="A919" s="233">
        <v>41222</v>
      </c>
      <c r="B919" s="1" t="s">
        <v>3915</v>
      </c>
      <c r="C919" s="5" t="s">
        <v>3823</v>
      </c>
      <c r="D919" s="1" t="s">
        <v>1216</v>
      </c>
      <c r="E919" s="1">
        <v>3200</v>
      </c>
      <c r="F919" s="5">
        <v>100</v>
      </c>
      <c r="G919" s="1" t="s">
        <v>3840</v>
      </c>
      <c r="H919" s="234">
        <v>27.7</v>
      </c>
      <c r="I919" s="235">
        <f t="shared" si="62"/>
        <v>2770</v>
      </c>
      <c r="K919" s="266">
        <f>23.94*100</f>
        <v>2394</v>
      </c>
      <c r="L919" s="245">
        <v>41226</v>
      </c>
      <c r="M919" s="5" t="s">
        <v>2262</v>
      </c>
      <c r="N919" s="235">
        <f t="shared" si="60"/>
        <v>2770</v>
      </c>
      <c r="O919" s="235">
        <f t="shared" si="63"/>
        <v>0</v>
      </c>
      <c r="P919" s="238" t="s">
        <v>3919</v>
      </c>
      <c r="Q919" s="1" t="s">
        <v>3827</v>
      </c>
      <c r="R919" s="239" t="s">
        <v>3920</v>
      </c>
      <c r="S919" s="238" t="s">
        <v>3921</v>
      </c>
      <c r="T919" s="238" t="s">
        <v>2276</v>
      </c>
      <c r="U919" s="238" t="s">
        <v>2276</v>
      </c>
      <c r="V919" s="238" t="s">
        <v>3922</v>
      </c>
      <c r="W919" s="236">
        <v>3831</v>
      </c>
      <c r="X919" s="233">
        <v>41227</v>
      </c>
      <c r="Y919" s="238" t="s">
        <v>3923</v>
      </c>
      <c r="AA919" s="240" t="s">
        <v>3924</v>
      </c>
      <c r="AB919" s="1" t="s">
        <v>3838</v>
      </c>
    </row>
    <row r="920" spans="1:28" ht="11.25" customHeight="1">
      <c r="A920" s="233">
        <v>41222</v>
      </c>
      <c r="B920" s="1" t="s">
        <v>3915</v>
      </c>
      <c r="C920" s="5" t="s">
        <v>3823</v>
      </c>
      <c r="D920" s="5" t="s">
        <v>348</v>
      </c>
      <c r="E920" s="1">
        <v>3700</v>
      </c>
      <c r="F920" s="5">
        <v>100</v>
      </c>
      <c r="G920" s="1" t="s">
        <v>230</v>
      </c>
      <c r="H920" s="234">
        <v>3.49</v>
      </c>
      <c r="I920" s="235">
        <f t="shared" si="62"/>
        <v>349</v>
      </c>
      <c r="J920" s="352">
        <v>3.09</v>
      </c>
      <c r="K920" s="266">
        <f>3.09*100</f>
        <v>309</v>
      </c>
      <c r="L920" s="245">
        <v>41226</v>
      </c>
      <c r="M920" s="5" t="s">
        <v>2262</v>
      </c>
      <c r="N920" s="235">
        <f t="shared" si="60"/>
        <v>349</v>
      </c>
      <c r="O920" s="235">
        <f t="shared" si="63"/>
        <v>0</v>
      </c>
      <c r="P920" s="238" t="s">
        <v>3919</v>
      </c>
      <c r="Q920" s="1" t="s">
        <v>3827</v>
      </c>
      <c r="R920" s="239" t="s">
        <v>3920</v>
      </c>
      <c r="S920" s="238" t="s">
        <v>3921</v>
      </c>
      <c r="T920" s="238" t="s">
        <v>2276</v>
      </c>
      <c r="U920" s="238" t="s">
        <v>2276</v>
      </c>
      <c r="V920" s="238" t="s">
        <v>3922</v>
      </c>
      <c r="W920" s="236">
        <v>3831</v>
      </c>
      <c r="X920" s="233">
        <v>41227</v>
      </c>
      <c r="Y920" s="238" t="s">
        <v>3923</v>
      </c>
      <c r="AA920" s="240" t="s">
        <v>3924</v>
      </c>
      <c r="AB920" s="1" t="s">
        <v>3838</v>
      </c>
    </row>
    <row r="921" spans="1:28" ht="11.25" customHeight="1">
      <c r="A921" s="233">
        <v>41222</v>
      </c>
      <c r="B921" s="1" t="s">
        <v>3915</v>
      </c>
      <c r="C921" s="5" t="s">
        <v>3823</v>
      </c>
      <c r="D921" s="5" t="s">
        <v>2263</v>
      </c>
      <c r="E921" s="1" t="s">
        <v>2290</v>
      </c>
      <c r="F921" s="5">
        <v>200</v>
      </c>
      <c r="G921" s="1" t="s">
        <v>3831</v>
      </c>
      <c r="H921" s="234">
        <v>1.81</v>
      </c>
      <c r="I921" s="235">
        <f t="shared" si="62"/>
        <v>362</v>
      </c>
      <c r="J921" s="352">
        <v>1.54</v>
      </c>
      <c r="K921" s="266">
        <f>1.54*200</f>
        <v>308</v>
      </c>
      <c r="L921" s="245">
        <v>41226</v>
      </c>
      <c r="M921" s="5" t="s">
        <v>2262</v>
      </c>
      <c r="N921" s="235">
        <f t="shared" si="60"/>
        <v>362</v>
      </c>
      <c r="O921" s="235">
        <f t="shared" si="63"/>
        <v>0</v>
      </c>
      <c r="P921" s="238" t="s">
        <v>3919</v>
      </c>
      <c r="Q921" s="1" t="s">
        <v>3827</v>
      </c>
      <c r="R921" s="239" t="s">
        <v>3920</v>
      </c>
      <c r="S921" s="238" t="s">
        <v>3921</v>
      </c>
      <c r="T921" s="238" t="s">
        <v>2276</v>
      </c>
      <c r="U921" s="238" t="s">
        <v>2276</v>
      </c>
      <c r="V921" s="238" t="s">
        <v>3922</v>
      </c>
      <c r="W921" s="236">
        <v>3831</v>
      </c>
      <c r="X921" s="233">
        <v>41227</v>
      </c>
      <c r="Y921" s="238" t="s">
        <v>3923</v>
      </c>
      <c r="AA921" s="240" t="s">
        <v>3924</v>
      </c>
      <c r="AB921" s="1" t="s">
        <v>3838</v>
      </c>
    </row>
    <row r="922" spans="1:28" ht="11.25" customHeight="1">
      <c r="A922" s="233">
        <v>41222</v>
      </c>
      <c r="B922" s="1" t="s">
        <v>3925</v>
      </c>
      <c r="C922" s="5" t="s">
        <v>2259</v>
      </c>
      <c r="D922" s="5" t="s">
        <v>355</v>
      </c>
      <c r="E922" s="1" t="s">
        <v>2261</v>
      </c>
      <c r="F922" s="5">
        <v>8</v>
      </c>
      <c r="G922" s="1" t="s">
        <v>3840</v>
      </c>
      <c r="H922" s="234">
        <v>30</v>
      </c>
      <c r="I922" s="235">
        <f t="shared" ref="I922:I930" si="64">F922*H922</f>
        <v>240</v>
      </c>
      <c r="K922" s="266">
        <f>16.5*8</f>
        <v>132</v>
      </c>
      <c r="L922" s="237">
        <v>41222</v>
      </c>
      <c r="M922" s="236" t="s">
        <v>302</v>
      </c>
      <c r="N922" s="235">
        <f t="shared" si="60"/>
        <v>240</v>
      </c>
      <c r="O922" s="235">
        <f t="shared" si="63"/>
        <v>0</v>
      </c>
      <c r="P922" s="238" t="s">
        <v>3926</v>
      </c>
      <c r="Q922" s="1" t="s">
        <v>3827</v>
      </c>
      <c r="V922" s="238" t="s">
        <v>2286</v>
      </c>
      <c r="AB922" s="1" t="s">
        <v>384</v>
      </c>
    </row>
    <row r="923" spans="1:28" ht="12" customHeight="1">
      <c r="A923" s="233">
        <v>41222</v>
      </c>
      <c r="B923" s="1" t="s">
        <v>3925</v>
      </c>
      <c r="C923" s="5" t="s">
        <v>2259</v>
      </c>
      <c r="D923" s="5" t="s">
        <v>2263</v>
      </c>
      <c r="E923" s="1" t="s">
        <v>2264</v>
      </c>
      <c r="F923" s="5">
        <v>8</v>
      </c>
      <c r="G923" s="1" t="s">
        <v>232</v>
      </c>
      <c r="H923" s="234">
        <v>10</v>
      </c>
      <c r="I923" s="235">
        <f t="shared" si="64"/>
        <v>80</v>
      </c>
      <c r="K923" s="266">
        <f>4.78*8</f>
        <v>38.24</v>
      </c>
      <c r="L923" s="237">
        <v>41222</v>
      </c>
      <c r="M923" s="236" t="s">
        <v>302</v>
      </c>
      <c r="N923" s="235">
        <f t="shared" si="60"/>
        <v>80</v>
      </c>
      <c r="O923" s="235">
        <f t="shared" si="63"/>
        <v>0</v>
      </c>
      <c r="P923" s="238" t="s">
        <v>3926</v>
      </c>
      <c r="Q923" s="1" t="s">
        <v>3827</v>
      </c>
      <c r="V923" s="238" t="s">
        <v>2286</v>
      </c>
      <c r="AB923" s="1" t="s">
        <v>384</v>
      </c>
    </row>
    <row r="924" spans="1:28" ht="11.25" customHeight="1">
      <c r="A924" s="233">
        <v>41222</v>
      </c>
      <c r="B924" s="1" t="s">
        <v>3925</v>
      </c>
      <c r="C924" s="5" t="s">
        <v>2259</v>
      </c>
      <c r="D924" s="5" t="s">
        <v>264</v>
      </c>
      <c r="E924" s="1">
        <v>501</v>
      </c>
      <c r="F924" s="5">
        <v>8</v>
      </c>
      <c r="G924" s="1" t="s">
        <v>2101</v>
      </c>
      <c r="H924" s="234">
        <v>5</v>
      </c>
      <c r="I924" s="235">
        <f t="shared" si="64"/>
        <v>40</v>
      </c>
      <c r="J924" s="352">
        <v>1.39</v>
      </c>
      <c r="K924" s="266">
        <f>1.39*8</f>
        <v>11.12</v>
      </c>
      <c r="L924" s="237">
        <v>41222</v>
      </c>
      <c r="M924" s="236" t="s">
        <v>302</v>
      </c>
      <c r="N924" s="235">
        <f t="shared" si="60"/>
        <v>40</v>
      </c>
      <c r="O924" s="235">
        <f t="shared" si="63"/>
        <v>0</v>
      </c>
      <c r="P924" s="238" t="s">
        <v>3927</v>
      </c>
      <c r="Q924" s="1" t="s">
        <v>2230</v>
      </c>
      <c r="V924" s="238" t="s">
        <v>2512</v>
      </c>
      <c r="AB924" s="1" t="s">
        <v>384</v>
      </c>
    </row>
    <row r="925" spans="1:28" ht="11.25" customHeight="1">
      <c r="A925" s="233">
        <v>41222</v>
      </c>
      <c r="B925" s="1" t="s">
        <v>3928</v>
      </c>
      <c r="C925" s="5" t="s">
        <v>2095</v>
      </c>
      <c r="D925" s="1" t="s">
        <v>2031</v>
      </c>
      <c r="E925" s="1" t="s">
        <v>3929</v>
      </c>
      <c r="F925" s="5">
        <v>10</v>
      </c>
      <c r="G925" s="1" t="s">
        <v>2514</v>
      </c>
      <c r="H925" s="234">
        <v>3.5</v>
      </c>
      <c r="I925" s="235">
        <f t="shared" si="64"/>
        <v>35</v>
      </c>
      <c r="K925" s="266">
        <f>2.47*10</f>
        <v>24.700000000000003</v>
      </c>
      <c r="L925" s="237">
        <v>41222</v>
      </c>
      <c r="M925" s="236" t="s">
        <v>302</v>
      </c>
      <c r="N925" s="235">
        <f t="shared" si="60"/>
        <v>35</v>
      </c>
      <c r="O925" s="235">
        <f t="shared" si="63"/>
        <v>0</v>
      </c>
      <c r="P925" s="238" t="s">
        <v>3927</v>
      </c>
      <c r="Q925" s="1" t="s">
        <v>2230</v>
      </c>
      <c r="V925" s="238" t="s">
        <v>2512</v>
      </c>
      <c r="Z925" s="255" t="s">
        <v>2573</v>
      </c>
      <c r="AB925" s="1" t="s">
        <v>384</v>
      </c>
    </row>
    <row r="926" spans="1:28" ht="11.25" customHeight="1">
      <c r="A926" s="233">
        <v>41222</v>
      </c>
      <c r="B926" s="1" t="s">
        <v>3930</v>
      </c>
      <c r="C926" s="5" t="s">
        <v>2095</v>
      </c>
      <c r="D926" s="1" t="s">
        <v>1720</v>
      </c>
      <c r="E926" s="1">
        <v>8210</v>
      </c>
      <c r="F926" s="5">
        <v>50</v>
      </c>
      <c r="G926" s="1" t="s">
        <v>2101</v>
      </c>
      <c r="H926" s="234">
        <v>6</v>
      </c>
      <c r="I926" s="235">
        <f t="shared" si="64"/>
        <v>300</v>
      </c>
      <c r="K926" s="266">
        <f>3.63*50</f>
        <v>181.5</v>
      </c>
      <c r="L926" s="237">
        <v>41241</v>
      </c>
      <c r="M926" s="236" t="s">
        <v>2092</v>
      </c>
      <c r="N926" s="235">
        <f t="shared" si="60"/>
        <v>300</v>
      </c>
      <c r="O926" s="235">
        <f t="shared" si="63"/>
        <v>0</v>
      </c>
      <c r="P926" s="238" t="s">
        <v>3931</v>
      </c>
      <c r="Q926" s="1" t="s">
        <v>3811</v>
      </c>
      <c r="R926" s="239" t="s">
        <v>3932</v>
      </c>
      <c r="S926" s="238" t="s">
        <v>3933</v>
      </c>
      <c r="T926" s="238" t="s">
        <v>3934</v>
      </c>
      <c r="U926" s="238" t="s">
        <v>3935</v>
      </c>
      <c r="V926" s="238" t="s">
        <v>6170</v>
      </c>
      <c r="W926" s="236">
        <v>900</v>
      </c>
      <c r="X926" s="233">
        <v>41374</v>
      </c>
      <c r="Y926" s="238" t="s">
        <v>6171</v>
      </c>
      <c r="AB926" s="1" t="s">
        <v>2094</v>
      </c>
    </row>
    <row r="927" spans="1:28" ht="11.25" customHeight="1">
      <c r="A927" s="233">
        <v>41225</v>
      </c>
      <c r="B927" s="1" t="s">
        <v>2673</v>
      </c>
      <c r="C927" s="5" t="s">
        <v>2095</v>
      </c>
      <c r="D927" s="1" t="s">
        <v>241</v>
      </c>
      <c r="E927" s="1">
        <v>6200</v>
      </c>
      <c r="F927" s="5">
        <v>3</v>
      </c>
      <c r="G927" s="1" t="s">
        <v>2101</v>
      </c>
      <c r="H927" s="234">
        <v>0</v>
      </c>
      <c r="I927" s="235">
        <f t="shared" si="64"/>
        <v>0</v>
      </c>
      <c r="K927" s="266" t="e">
        <f>#REF!*F927</f>
        <v>#REF!</v>
      </c>
      <c r="L927" s="237">
        <v>41220</v>
      </c>
      <c r="M927" s="5" t="s">
        <v>2092</v>
      </c>
      <c r="N927" s="235">
        <f t="shared" si="60"/>
        <v>0</v>
      </c>
      <c r="O927" s="235">
        <f t="shared" si="63"/>
        <v>0</v>
      </c>
      <c r="P927" s="238" t="s">
        <v>2097</v>
      </c>
      <c r="Q927" s="1" t="s">
        <v>2230</v>
      </c>
      <c r="R927" s="239" t="s">
        <v>3174</v>
      </c>
      <c r="S927" s="238" t="s">
        <v>3175</v>
      </c>
      <c r="T927" s="239" t="s">
        <v>2097</v>
      </c>
      <c r="U927" s="239" t="s">
        <v>2097</v>
      </c>
      <c r="V927" s="238" t="s">
        <v>3936</v>
      </c>
      <c r="W927" s="236" t="s">
        <v>3937</v>
      </c>
      <c r="X927" s="233">
        <v>41229</v>
      </c>
      <c r="Y927" s="238" t="s">
        <v>3938</v>
      </c>
      <c r="AB927" s="1" t="s">
        <v>2551</v>
      </c>
    </row>
    <row r="928" spans="1:28" ht="11.25" customHeight="1">
      <c r="A928" s="233">
        <v>41225</v>
      </c>
      <c r="B928" s="1" t="s">
        <v>2673</v>
      </c>
      <c r="C928" s="5" t="s">
        <v>2095</v>
      </c>
      <c r="D928" s="5" t="s">
        <v>355</v>
      </c>
      <c r="E928" s="1" t="s">
        <v>2516</v>
      </c>
      <c r="F928" s="5">
        <v>4</v>
      </c>
      <c r="G928" s="1" t="s">
        <v>2101</v>
      </c>
      <c r="H928" s="234">
        <v>0</v>
      </c>
      <c r="I928" s="235">
        <f t="shared" si="64"/>
        <v>0</v>
      </c>
      <c r="K928" s="266">
        <v>0</v>
      </c>
      <c r="L928" s="237">
        <v>41220</v>
      </c>
      <c r="M928" s="5" t="s">
        <v>2092</v>
      </c>
      <c r="N928" s="235">
        <f t="shared" si="60"/>
        <v>0</v>
      </c>
      <c r="O928" s="235">
        <f t="shared" si="63"/>
        <v>0</v>
      </c>
      <c r="P928" s="238" t="s">
        <v>2097</v>
      </c>
      <c r="Q928" s="1" t="s">
        <v>2230</v>
      </c>
      <c r="R928" s="239" t="s">
        <v>3174</v>
      </c>
      <c r="S928" s="238" t="s">
        <v>3175</v>
      </c>
      <c r="T928" s="239" t="s">
        <v>2097</v>
      </c>
      <c r="U928" s="239" t="s">
        <v>2097</v>
      </c>
      <c r="V928" s="238" t="s">
        <v>3936</v>
      </c>
      <c r="W928" s="236" t="s">
        <v>3937</v>
      </c>
      <c r="X928" s="233">
        <v>41229</v>
      </c>
      <c r="Y928" s="238" t="s">
        <v>3938</v>
      </c>
      <c r="AB928" s="1" t="s">
        <v>2551</v>
      </c>
    </row>
    <row r="929" spans="1:28" ht="11.25" customHeight="1">
      <c r="A929" s="233">
        <v>41225</v>
      </c>
      <c r="B929" s="1" t="s">
        <v>2673</v>
      </c>
      <c r="C929" s="5" t="s">
        <v>2095</v>
      </c>
      <c r="D929" s="1" t="s">
        <v>1224</v>
      </c>
      <c r="E929" s="1">
        <v>6004</v>
      </c>
      <c r="F929" s="5">
        <v>2</v>
      </c>
      <c r="G929" s="1" t="s">
        <v>2101</v>
      </c>
      <c r="H929" s="234">
        <v>0</v>
      </c>
      <c r="I929" s="235">
        <f t="shared" si="64"/>
        <v>0</v>
      </c>
      <c r="K929" s="266">
        <v>0</v>
      </c>
      <c r="L929" s="237">
        <v>41220</v>
      </c>
      <c r="M929" s="5" t="s">
        <v>2092</v>
      </c>
      <c r="N929" s="235">
        <f t="shared" si="60"/>
        <v>0</v>
      </c>
      <c r="O929" s="235">
        <f t="shared" si="63"/>
        <v>0</v>
      </c>
      <c r="P929" s="238" t="s">
        <v>2097</v>
      </c>
      <c r="Q929" s="1" t="s">
        <v>2230</v>
      </c>
      <c r="R929" s="239" t="s">
        <v>3174</v>
      </c>
      <c r="S929" s="238" t="s">
        <v>3175</v>
      </c>
      <c r="T929" s="239" t="s">
        <v>2097</v>
      </c>
      <c r="U929" s="239" t="s">
        <v>2097</v>
      </c>
      <c r="V929" s="238" t="s">
        <v>3936</v>
      </c>
      <c r="W929" s="236" t="s">
        <v>3937</v>
      </c>
      <c r="X929" s="233">
        <v>41229</v>
      </c>
      <c r="Y929" s="238" t="s">
        <v>3938</v>
      </c>
      <c r="AB929" s="1" t="s">
        <v>2551</v>
      </c>
    </row>
    <row r="930" spans="1:28" ht="11.25" customHeight="1">
      <c r="A930" s="233">
        <v>41225</v>
      </c>
      <c r="B930" s="1" t="s">
        <v>2673</v>
      </c>
      <c r="C930" s="5" t="s">
        <v>2095</v>
      </c>
      <c r="D930" s="5" t="s">
        <v>269</v>
      </c>
      <c r="E930" s="1" t="s">
        <v>2136</v>
      </c>
      <c r="F930" s="5">
        <v>500</v>
      </c>
      <c r="G930" s="1" t="s">
        <v>2514</v>
      </c>
      <c r="H930" s="234">
        <v>1.32</v>
      </c>
      <c r="I930" s="235">
        <f t="shared" si="64"/>
        <v>660</v>
      </c>
      <c r="K930" s="266">
        <f>1.17*500</f>
        <v>585</v>
      </c>
      <c r="L930" s="237">
        <v>41221</v>
      </c>
      <c r="M930" s="5" t="s">
        <v>2092</v>
      </c>
      <c r="N930" s="235">
        <f t="shared" si="60"/>
        <v>660</v>
      </c>
      <c r="O930" s="235">
        <f t="shared" si="63"/>
        <v>0</v>
      </c>
      <c r="P930" s="238" t="s">
        <v>3939</v>
      </c>
      <c r="Q930" s="1" t="s">
        <v>2230</v>
      </c>
      <c r="R930" s="239" t="s">
        <v>3174</v>
      </c>
      <c r="S930" s="238" t="s">
        <v>3175</v>
      </c>
      <c r="T930" s="239" t="s">
        <v>2097</v>
      </c>
      <c r="U930" s="239" t="s">
        <v>2097</v>
      </c>
      <c r="V930" s="238" t="s">
        <v>3936</v>
      </c>
      <c r="W930" s="236" t="s">
        <v>3937</v>
      </c>
      <c r="X930" s="233">
        <v>41229</v>
      </c>
      <c r="Y930" s="238" t="s">
        <v>3938</v>
      </c>
      <c r="AB930" s="1" t="s">
        <v>2551</v>
      </c>
    </row>
    <row r="931" spans="1:28" ht="11.25" customHeight="1">
      <c r="A931" s="233">
        <v>41226</v>
      </c>
      <c r="B931" s="1" t="s">
        <v>2589</v>
      </c>
      <c r="C931" s="5" t="s">
        <v>3819</v>
      </c>
      <c r="D931" s="5" t="s">
        <v>1887</v>
      </c>
      <c r="E931" s="1" t="s">
        <v>2123</v>
      </c>
      <c r="F931" s="5">
        <v>50</v>
      </c>
      <c r="G931" s="1" t="s">
        <v>232</v>
      </c>
      <c r="H931" s="234">
        <v>5.2</v>
      </c>
      <c r="I931" s="235">
        <f t="shared" ref="I931:I937" si="65">F931*H931</f>
        <v>260</v>
      </c>
      <c r="K931" s="266">
        <f>4.78*50</f>
        <v>239</v>
      </c>
      <c r="L931" s="237">
        <v>41309</v>
      </c>
      <c r="M931" s="1" t="s">
        <v>166</v>
      </c>
      <c r="N931" s="235">
        <f t="shared" si="60"/>
        <v>260</v>
      </c>
      <c r="O931" s="235">
        <f t="shared" si="63"/>
        <v>0</v>
      </c>
      <c r="P931" s="238">
        <v>9015385</v>
      </c>
      <c r="Q931" s="1" t="s">
        <v>3722</v>
      </c>
      <c r="R931" s="239" t="s">
        <v>2591</v>
      </c>
      <c r="S931" s="238" t="s">
        <v>2592</v>
      </c>
      <c r="T931" s="238" t="s">
        <v>3940</v>
      </c>
      <c r="U931" s="238" t="s">
        <v>3941</v>
      </c>
      <c r="V931" s="238" t="s">
        <v>2512</v>
      </c>
      <c r="AB931" s="1" t="s">
        <v>2551</v>
      </c>
    </row>
    <row r="932" spans="1:28" ht="11.25" customHeight="1">
      <c r="A932" s="233">
        <v>41226</v>
      </c>
      <c r="B932" s="1" t="s">
        <v>2589</v>
      </c>
      <c r="C932" s="5" t="s">
        <v>3819</v>
      </c>
      <c r="D932" s="5" t="s">
        <v>355</v>
      </c>
      <c r="E932" s="1" t="s">
        <v>2516</v>
      </c>
      <c r="F932" s="5">
        <v>8</v>
      </c>
      <c r="G932" s="1" t="s">
        <v>2101</v>
      </c>
      <c r="H932" s="234">
        <v>20.75</v>
      </c>
      <c r="I932" s="235">
        <f t="shared" si="65"/>
        <v>166</v>
      </c>
      <c r="K932" s="266">
        <f>16.5*8</f>
        <v>132</v>
      </c>
      <c r="L932" s="237">
        <v>41309</v>
      </c>
      <c r="M932" s="1" t="s">
        <v>166</v>
      </c>
      <c r="N932" s="235">
        <f t="shared" si="60"/>
        <v>166</v>
      </c>
      <c r="O932" s="235">
        <f t="shared" si="63"/>
        <v>0</v>
      </c>
      <c r="P932" s="238" t="s">
        <v>3942</v>
      </c>
      <c r="Q932" s="1" t="s">
        <v>3722</v>
      </c>
      <c r="R932" s="239" t="s">
        <v>2591</v>
      </c>
      <c r="S932" s="238" t="s">
        <v>2592</v>
      </c>
      <c r="T932" s="238" t="s">
        <v>3940</v>
      </c>
      <c r="U932" s="238" t="s">
        <v>3941</v>
      </c>
      <c r="V932" s="238" t="s">
        <v>2512</v>
      </c>
      <c r="AB932" s="1" t="s">
        <v>2551</v>
      </c>
    </row>
    <row r="933" spans="1:28" ht="11.25" customHeight="1">
      <c r="A933" s="233">
        <v>41226</v>
      </c>
      <c r="B933" s="1" t="s">
        <v>2589</v>
      </c>
      <c r="C933" s="5" t="s">
        <v>3819</v>
      </c>
      <c r="D933" s="5" t="s">
        <v>2026</v>
      </c>
      <c r="E933" s="1" t="s">
        <v>2513</v>
      </c>
      <c r="F933" s="5">
        <v>800</v>
      </c>
      <c r="G933" s="1" t="s">
        <v>5002</v>
      </c>
      <c r="H933" s="234">
        <v>1.59</v>
      </c>
      <c r="I933" s="235">
        <f t="shared" si="65"/>
        <v>1272</v>
      </c>
      <c r="J933" s="360">
        <v>1.46</v>
      </c>
      <c r="K933" s="266">
        <f>1.46*800</f>
        <v>1168</v>
      </c>
      <c r="L933" s="237">
        <v>41313</v>
      </c>
      <c r="M933" s="1" t="s">
        <v>166</v>
      </c>
      <c r="N933" s="235">
        <f t="shared" si="60"/>
        <v>1272</v>
      </c>
      <c r="O933" s="235">
        <f t="shared" si="63"/>
        <v>0</v>
      </c>
      <c r="P933" s="238">
        <v>9015385</v>
      </c>
      <c r="Q933" s="1" t="s">
        <v>3722</v>
      </c>
      <c r="R933" s="239" t="s">
        <v>2591</v>
      </c>
      <c r="S933" s="238" t="s">
        <v>2592</v>
      </c>
      <c r="T933" s="238" t="s">
        <v>3940</v>
      </c>
      <c r="U933" s="238" t="s">
        <v>3941</v>
      </c>
      <c r="V933" s="238" t="s">
        <v>2512</v>
      </c>
      <c r="AB933" s="1" t="s">
        <v>2551</v>
      </c>
    </row>
    <row r="934" spans="1:28" ht="11.25" customHeight="1">
      <c r="A934" s="233">
        <v>41226</v>
      </c>
      <c r="B934" s="1" t="s">
        <v>2716</v>
      </c>
      <c r="C934" s="5" t="s">
        <v>3943</v>
      </c>
      <c r="D934" s="5" t="s">
        <v>1945</v>
      </c>
      <c r="E934" s="1" t="s">
        <v>3944</v>
      </c>
      <c r="F934" s="5">
        <v>22</v>
      </c>
      <c r="G934" s="1" t="s">
        <v>1237</v>
      </c>
      <c r="H934" s="234">
        <v>130</v>
      </c>
      <c r="I934" s="235">
        <f t="shared" si="65"/>
        <v>2860</v>
      </c>
      <c r="K934" s="266">
        <f>103.6*22</f>
        <v>2279.1999999999998</v>
      </c>
      <c r="L934" s="237">
        <v>41221</v>
      </c>
      <c r="M934" s="1" t="s">
        <v>2092</v>
      </c>
      <c r="N934" s="235">
        <f t="shared" si="60"/>
        <v>2860</v>
      </c>
      <c r="O934" s="235">
        <f t="shared" si="63"/>
        <v>0</v>
      </c>
      <c r="P934" s="238" t="s">
        <v>3945</v>
      </c>
      <c r="Q934" s="1" t="s">
        <v>3693</v>
      </c>
      <c r="R934" s="239" t="s">
        <v>2712</v>
      </c>
      <c r="S934" s="238" t="s">
        <v>2713</v>
      </c>
      <c r="T934" s="238" t="s">
        <v>2581</v>
      </c>
      <c r="U934" s="238" t="s">
        <v>3946</v>
      </c>
      <c r="V934" s="238" t="s">
        <v>3947</v>
      </c>
      <c r="W934" s="236">
        <v>2881.75</v>
      </c>
      <c r="X934" s="233">
        <v>41226</v>
      </c>
      <c r="Y934" s="238" t="s">
        <v>3948</v>
      </c>
      <c r="AB934" s="1" t="s">
        <v>2551</v>
      </c>
    </row>
    <row r="935" spans="1:28" ht="12" customHeight="1">
      <c r="A935" s="233">
        <v>41226</v>
      </c>
      <c r="B935" s="1" t="s">
        <v>2716</v>
      </c>
      <c r="C935" s="5" t="s">
        <v>3819</v>
      </c>
      <c r="D935" s="5" t="s">
        <v>32</v>
      </c>
      <c r="E935" s="1">
        <v>11394</v>
      </c>
      <c r="F935" s="5">
        <v>1</v>
      </c>
      <c r="G935" s="1" t="s">
        <v>2420</v>
      </c>
      <c r="H935" s="234">
        <v>21.75</v>
      </c>
      <c r="I935" s="235">
        <f t="shared" si="65"/>
        <v>21.75</v>
      </c>
      <c r="K935" s="266">
        <f>18.78</f>
        <v>18.78</v>
      </c>
      <c r="N935" s="235">
        <v>0</v>
      </c>
      <c r="O935" s="235">
        <f t="shared" si="63"/>
        <v>21.75</v>
      </c>
      <c r="P935" s="238" t="s">
        <v>3945</v>
      </c>
      <c r="Q935" s="1" t="s">
        <v>3693</v>
      </c>
      <c r="R935" s="239" t="s">
        <v>2712</v>
      </c>
      <c r="S935" s="238" t="s">
        <v>2713</v>
      </c>
      <c r="T935" s="238" t="s">
        <v>2581</v>
      </c>
      <c r="U935" s="238" t="s">
        <v>3946</v>
      </c>
      <c r="V935" s="238" t="s">
        <v>3947</v>
      </c>
      <c r="W935" s="236">
        <v>2881.75</v>
      </c>
      <c r="X935" s="233">
        <v>41226</v>
      </c>
      <c r="Y935" s="238" t="s">
        <v>3948</v>
      </c>
      <c r="AB935" s="1" t="s">
        <v>2551</v>
      </c>
    </row>
    <row r="936" spans="1:28" ht="11.25" customHeight="1">
      <c r="A936" s="233">
        <v>41226</v>
      </c>
      <c r="B936" s="1" t="s">
        <v>3544</v>
      </c>
      <c r="C936" s="5" t="s">
        <v>3949</v>
      </c>
      <c r="D936" s="5" t="s">
        <v>1935</v>
      </c>
      <c r="E936" s="1">
        <v>301508</v>
      </c>
      <c r="F936" s="5">
        <v>449</v>
      </c>
      <c r="G936" s="1" t="s">
        <v>2847</v>
      </c>
      <c r="H936" s="234">
        <v>140</v>
      </c>
      <c r="I936" s="235">
        <f t="shared" si="65"/>
        <v>62860</v>
      </c>
      <c r="K936" s="266">
        <f>7*91.5+88.66*246+88.7*178+89.66*16</f>
        <v>39674.019999999997</v>
      </c>
      <c r="L936" s="237" t="s">
        <v>5389</v>
      </c>
      <c r="N936" s="235">
        <v>30970.6</v>
      </c>
      <c r="O936" s="235">
        <f t="shared" si="63"/>
        <v>31889.4</v>
      </c>
      <c r="P936" s="238" t="s">
        <v>3950</v>
      </c>
      <c r="Q936" s="1" t="s">
        <v>2529</v>
      </c>
      <c r="R936" s="239" t="s">
        <v>3951</v>
      </c>
      <c r="S936" s="238" t="s">
        <v>3952</v>
      </c>
      <c r="T936" s="238" t="s">
        <v>3953</v>
      </c>
      <c r="U936" s="238" t="s">
        <v>2097</v>
      </c>
      <c r="V936" s="238" t="s">
        <v>3954</v>
      </c>
      <c r="W936" s="236">
        <v>68170</v>
      </c>
      <c r="X936" s="233">
        <v>41257</v>
      </c>
      <c r="Y936" s="238" t="s">
        <v>1564</v>
      </c>
      <c r="AB936" s="1" t="s">
        <v>2094</v>
      </c>
    </row>
    <row r="937" spans="1:28" ht="12" customHeight="1">
      <c r="A937" s="233">
        <v>41226</v>
      </c>
      <c r="B937" s="1" t="s">
        <v>3788</v>
      </c>
      <c r="C937" s="5" t="s">
        <v>3819</v>
      </c>
      <c r="D937" s="5" t="s">
        <v>1921</v>
      </c>
      <c r="E937" s="1">
        <v>8246</v>
      </c>
      <c r="F937" s="5">
        <v>240</v>
      </c>
      <c r="G937" s="1" t="s">
        <v>5641</v>
      </c>
      <c r="H937" s="234">
        <v>12.74</v>
      </c>
      <c r="I937" s="236">
        <f t="shared" si="65"/>
        <v>3057.6</v>
      </c>
      <c r="K937" s="266">
        <f>12.15*240</f>
        <v>2916</v>
      </c>
      <c r="L937" s="237">
        <v>41226</v>
      </c>
      <c r="M937" s="1" t="s">
        <v>2092</v>
      </c>
      <c r="N937" s="235">
        <f t="shared" si="60"/>
        <v>3057.6</v>
      </c>
      <c r="O937" s="235">
        <f t="shared" ref="O937:O999" si="66">I937-N937</f>
        <v>0</v>
      </c>
      <c r="P937" s="238" t="s">
        <v>3955</v>
      </c>
      <c r="Q937" s="1" t="s">
        <v>3693</v>
      </c>
      <c r="R937" s="239" t="s">
        <v>3790</v>
      </c>
      <c r="S937" s="238" t="s">
        <v>3791</v>
      </c>
      <c r="T937" s="238" t="s">
        <v>2581</v>
      </c>
      <c r="U937" s="238" t="s">
        <v>3956</v>
      </c>
      <c r="V937" s="238" t="s">
        <v>3793</v>
      </c>
      <c r="W937" s="236" t="s">
        <v>3794</v>
      </c>
      <c r="X937" s="233">
        <v>41234</v>
      </c>
      <c r="Y937" s="238" t="s">
        <v>3795</v>
      </c>
      <c r="AB937" s="1" t="s">
        <v>2551</v>
      </c>
    </row>
    <row r="938" spans="1:28" ht="12" customHeight="1">
      <c r="A938" s="233">
        <v>41227</v>
      </c>
      <c r="B938" s="1" t="s">
        <v>3957</v>
      </c>
      <c r="C938" s="5" t="s">
        <v>3819</v>
      </c>
      <c r="D938" s="5" t="s">
        <v>2027</v>
      </c>
      <c r="E938" s="1" t="s">
        <v>3163</v>
      </c>
      <c r="F938" s="5">
        <v>100</v>
      </c>
      <c r="G938" s="1" t="s">
        <v>3155</v>
      </c>
      <c r="H938" s="234">
        <v>34.18</v>
      </c>
      <c r="I938" s="235">
        <f>F938*H938</f>
        <v>3418</v>
      </c>
      <c r="K938" s="266">
        <f>33.111*100</f>
        <v>3311.1</v>
      </c>
      <c r="L938" s="237">
        <v>41226</v>
      </c>
      <c r="M938" s="1" t="s">
        <v>2092</v>
      </c>
      <c r="N938" s="235">
        <f t="shared" si="60"/>
        <v>3418</v>
      </c>
      <c r="O938" s="235">
        <f t="shared" si="66"/>
        <v>0</v>
      </c>
      <c r="P938" s="238" t="s">
        <v>3958</v>
      </c>
      <c r="Q938" s="1" t="s">
        <v>3959</v>
      </c>
      <c r="R938" s="239" t="s">
        <v>3960</v>
      </c>
      <c r="S938" s="238" t="s">
        <v>3961</v>
      </c>
      <c r="T938" s="238" t="s">
        <v>3962</v>
      </c>
      <c r="U938" s="238" t="s">
        <v>3963</v>
      </c>
      <c r="V938" s="238" t="s">
        <v>3964</v>
      </c>
      <c r="W938" s="236">
        <v>3418</v>
      </c>
      <c r="X938" s="233">
        <v>41242</v>
      </c>
      <c r="Y938" s="238" t="s">
        <v>3965</v>
      </c>
      <c r="AB938" s="1" t="s">
        <v>2551</v>
      </c>
    </row>
    <row r="939" spans="1:28" ht="11.25" customHeight="1">
      <c r="A939" s="233">
        <v>41227</v>
      </c>
      <c r="B939" s="1" t="s">
        <v>3372</v>
      </c>
      <c r="C939" s="5" t="s">
        <v>2095</v>
      </c>
      <c r="D939" s="5" t="s">
        <v>2027</v>
      </c>
      <c r="E939" s="1" t="s">
        <v>3163</v>
      </c>
      <c r="F939" s="5">
        <v>-100</v>
      </c>
      <c r="G939" s="1" t="s">
        <v>237</v>
      </c>
      <c r="H939" s="234">
        <v>38.26</v>
      </c>
      <c r="I939" s="236">
        <f>H939*F939</f>
        <v>-3826</v>
      </c>
      <c r="K939" s="266">
        <f>33.111*F939</f>
        <v>-3311.1</v>
      </c>
      <c r="L939" s="237">
        <v>41163</v>
      </c>
      <c r="M939" s="1" t="s">
        <v>2349</v>
      </c>
      <c r="N939" s="235">
        <f t="shared" si="60"/>
        <v>-3826</v>
      </c>
      <c r="O939" s="235">
        <f t="shared" si="66"/>
        <v>0</v>
      </c>
      <c r="P939" s="238" t="s">
        <v>2097</v>
      </c>
      <c r="Q939" s="1" t="s">
        <v>3373</v>
      </c>
      <c r="R939" s="10" t="s">
        <v>3374</v>
      </c>
      <c r="S939" s="10">
        <v>13896055976</v>
      </c>
      <c r="T939" s="238" t="s">
        <v>3375</v>
      </c>
      <c r="U939" s="238" t="s">
        <v>3376</v>
      </c>
      <c r="V939" s="238" t="s">
        <v>2512</v>
      </c>
      <c r="AA939" s="240" t="s">
        <v>2566</v>
      </c>
      <c r="AB939" s="1" t="s">
        <v>2551</v>
      </c>
    </row>
    <row r="940" spans="1:28" ht="11.25" customHeight="1">
      <c r="A940" s="233">
        <v>41227</v>
      </c>
      <c r="B940" s="1" t="s">
        <v>2836</v>
      </c>
      <c r="C940" s="5" t="s">
        <v>2095</v>
      </c>
      <c r="D940" s="1" t="s">
        <v>2033</v>
      </c>
      <c r="E940" s="1" t="s">
        <v>2621</v>
      </c>
      <c r="F940" s="5">
        <v>500</v>
      </c>
      <c r="G940" s="1" t="s">
        <v>2101</v>
      </c>
      <c r="H940" s="234">
        <v>1.75</v>
      </c>
      <c r="I940" s="235">
        <f t="shared" ref="I940:I945" si="67">F940*H940</f>
        <v>875</v>
      </c>
      <c r="K940" s="266">
        <f>1.65*500</f>
        <v>825</v>
      </c>
      <c r="L940" s="237">
        <v>41226</v>
      </c>
      <c r="M940" s="1" t="s">
        <v>2092</v>
      </c>
      <c r="N940" s="235">
        <f t="shared" si="60"/>
        <v>875</v>
      </c>
      <c r="O940" s="235">
        <f t="shared" si="66"/>
        <v>0</v>
      </c>
      <c r="P940" s="238" t="s">
        <v>3966</v>
      </c>
      <c r="Q940" s="1" t="s">
        <v>3625</v>
      </c>
      <c r="R940" s="239" t="s">
        <v>2838</v>
      </c>
      <c r="S940" s="238" t="s">
        <v>3967</v>
      </c>
      <c r="T940" s="238" t="s">
        <v>2839</v>
      </c>
      <c r="U940" s="238" t="s">
        <v>3968</v>
      </c>
      <c r="V940" s="238" t="s">
        <v>5571</v>
      </c>
      <c r="W940" s="236">
        <v>2435</v>
      </c>
      <c r="X940" s="233">
        <v>41347</v>
      </c>
      <c r="Y940" s="238" t="s">
        <v>5572</v>
      </c>
      <c r="AB940" s="1" t="s">
        <v>2551</v>
      </c>
    </row>
    <row r="941" spans="1:28" ht="11.25" customHeight="1">
      <c r="A941" s="233">
        <v>41227</v>
      </c>
      <c r="B941" s="1" t="s">
        <v>2673</v>
      </c>
      <c r="C941" s="5" t="s">
        <v>2095</v>
      </c>
      <c r="D941" s="1" t="s">
        <v>241</v>
      </c>
      <c r="E941" s="1">
        <v>6200</v>
      </c>
      <c r="F941" s="5">
        <v>50</v>
      </c>
      <c r="G941" s="1" t="s">
        <v>2101</v>
      </c>
      <c r="H941" s="234">
        <v>46</v>
      </c>
      <c r="I941" s="235">
        <f t="shared" si="67"/>
        <v>2300</v>
      </c>
      <c r="J941" s="352">
        <v>42.7</v>
      </c>
      <c r="K941" s="266" t="e">
        <f>#REF!*F941</f>
        <v>#REF!</v>
      </c>
      <c r="L941" s="237">
        <v>41227</v>
      </c>
      <c r="M941" s="1" t="s">
        <v>2092</v>
      </c>
      <c r="N941" s="235">
        <f t="shared" si="60"/>
        <v>2300</v>
      </c>
      <c r="O941" s="235">
        <f t="shared" si="66"/>
        <v>0</v>
      </c>
      <c r="P941" s="238" t="s">
        <v>3969</v>
      </c>
      <c r="Q941" s="1" t="s">
        <v>2230</v>
      </c>
      <c r="R941" s="239" t="s">
        <v>3174</v>
      </c>
      <c r="S941" s="238" t="s">
        <v>3175</v>
      </c>
      <c r="T941" s="239" t="s">
        <v>2097</v>
      </c>
      <c r="U941" s="239" t="s">
        <v>2097</v>
      </c>
      <c r="V941" s="238" t="s">
        <v>3936</v>
      </c>
      <c r="W941" s="236" t="s">
        <v>3937</v>
      </c>
      <c r="X941" s="233">
        <v>41229</v>
      </c>
      <c r="Y941" s="238" t="s">
        <v>3938</v>
      </c>
      <c r="AB941" s="1" t="s">
        <v>2551</v>
      </c>
    </row>
    <row r="942" spans="1:28" ht="11.25" customHeight="1">
      <c r="A942" s="233">
        <v>41227</v>
      </c>
      <c r="B942" s="1" t="s">
        <v>2673</v>
      </c>
      <c r="C942" s="5" t="s">
        <v>2095</v>
      </c>
      <c r="D942" s="5" t="s">
        <v>355</v>
      </c>
      <c r="E942" s="1" t="s">
        <v>2516</v>
      </c>
      <c r="F942" s="5">
        <v>200</v>
      </c>
      <c r="G942" s="1" t="s">
        <v>2101</v>
      </c>
      <c r="H942" s="234">
        <v>18</v>
      </c>
      <c r="I942" s="235">
        <f t="shared" si="67"/>
        <v>3600</v>
      </c>
      <c r="K942" s="266">
        <f>16.5*200</f>
        <v>3300</v>
      </c>
      <c r="L942" s="237">
        <v>41227</v>
      </c>
      <c r="M942" s="1" t="s">
        <v>2092</v>
      </c>
      <c r="N942" s="235">
        <f t="shared" si="60"/>
        <v>3600</v>
      </c>
      <c r="O942" s="235">
        <f t="shared" si="66"/>
        <v>0</v>
      </c>
      <c r="P942" s="238" t="s">
        <v>3969</v>
      </c>
      <c r="Q942" s="1" t="s">
        <v>2230</v>
      </c>
      <c r="R942" s="239" t="s">
        <v>3174</v>
      </c>
      <c r="S942" s="238" t="s">
        <v>3175</v>
      </c>
      <c r="T942" s="239" t="s">
        <v>2097</v>
      </c>
      <c r="U942" s="239" t="s">
        <v>2097</v>
      </c>
      <c r="V942" s="238" t="s">
        <v>3936</v>
      </c>
      <c r="W942" s="236" t="s">
        <v>3937</v>
      </c>
      <c r="X942" s="233">
        <v>41229</v>
      </c>
      <c r="Y942" s="238" t="s">
        <v>3938</v>
      </c>
      <c r="AB942" s="1" t="s">
        <v>2551</v>
      </c>
    </row>
    <row r="943" spans="1:28" ht="11.25" customHeight="1">
      <c r="A943" s="233">
        <v>41227</v>
      </c>
      <c r="B943" s="1" t="s">
        <v>2673</v>
      </c>
      <c r="C943" s="5" t="s">
        <v>2095</v>
      </c>
      <c r="D943" s="5" t="s">
        <v>1887</v>
      </c>
      <c r="E943" s="1" t="s">
        <v>2123</v>
      </c>
      <c r="F943" s="5">
        <v>100</v>
      </c>
      <c r="G943" s="1" t="s">
        <v>232</v>
      </c>
      <c r="H943" s="234">
        <v>5.0999999999999996</v>
      </c>
      <c r="I943" s="235">
        <f t="shared" si="67"/>
        <v>509.99999999999994</v>
      </c>
      <c r="K943" s="266">
        <f>4.78*100</f>
        <v>478</v>
      </c>
      <c r="L943" s="237">
        <v>41227</v>
      </c>
      <c r="M943" s="1" t="s">
        <v>2092</v>
      </c>
      <c r="N943" s="235">
        <f t="shared" si="60"/>
        <v>509.99999999999994</v>
      </c>
      <c r="O943" s="235">
        <f t="shared" si="66"/>
        <v>0</v>
      </c>
      <c r="P943" s="238" t="s">
        <v>3969</v>
      </c>
      <c r="Q943" s="1" t="s">
        <v>2230</v>
      </c>
      <c r="R943" s="239" t="s">
        <v>3174</v>
      </c>
      <c r="S943" s="238" t="s">
        <v>3175</v>
      </c>
      <c r="T943" s="239" t="s">
        <v>2097</v>
      </c>
      <c r="U943" s="239" t="s">
        <v>2097</v>
      </c>
      <c r="V943" s="238" t="s">
        <v>3936</v>
      </c>
      <c r="W943" s="236" t="s">
        <v>3937</v>
      </c>
      <c r="X943" s="233">
        <v>41229</v>
      </c>
      <c r="Y943" s="238" t="s">
        <v>3938</v>
      </c>
      <c r="AB943" s="1" t="s">
        <v>2551</v>
      </c>
    </row>
    <row r="944" spans="1:28" ht="11.25" customHeight="1">
      <c r="A944" s="233">
        <v>41227</v>
      </c>
      <c r="B944" s="1" t="s">
        <v>2673</v>
      </c>
      <c r="C944" s="5" t="s">
        <v>2095</v>
      </c>
      <c r="D944" s="5" t="s">
        <v>2054</v>
      </c>
      <c r="E944" s="1" t="s">
        <v>3970</v>
      </c>
      <c r="F944" s="5">
        <v>10</v>
      </c>
      <c r="G944" s="1" t="s">
        <v>2420</v>
      </c>
      <c r="H944" s="234">
        <v>43</v>
      </c>
      <c r="I944" s="235">
        <f t="shared" si="67"/>
        <v>430</v>
      </c>
      <c r="K944" s="266">
        <f>30*9+52*1</f>
        <v>322</v>
      </c>
      <c r="L944" s="237">
        <v>41227</v>
      </c>
      <c r="M944" s="1" t="s">
        <v>2092</v>
      </c>
      <c r="N944" s="235">
        <f t="shared" si="60"/>
        <v>430</v>
      </c>
      <c r="O944" s="235">
        <f t="shared" si="66"/>
        <v>0</v>
      </c>
      <c r="P944" s="238" t="s">
        <v>3969</v>
      </c>
      <c r="Q944" s="1" t="s">
        <v>2230</v>
      </c>
      <c r="R944" s="239" t="s">
        <v>3174</v>
      </c>
      <c r="S944" s="238" t="s">
        <v>3175</v>
      </c>
      <c r="T944" s="239" t="s">
        <v>2097</v>
      </c>
      <c r="U944" s="239" t="s">
        <v>2097</v>
      </c>
      <c r="V944" s="238" t="s">
        <v>3936</v>
      </c>
      <c r="W944" s="236" t="s">
        <v>3937</v>
      </c>
      <c r="X944" s="233">
        <v>41229</v>
      </c>
      <c r="Y944" s="238" t="s">
        <v>3938</v>
      </c>
      <c r="Z944" s="255" t="s">
        <v>3971</v>
      </c>
      <c r="AB944" s="1" t="s">
        <v>2551</v>
      </c>
    </row>
    <row r="945" spans="1:28" ht="11.25" customHeight="1">
      <c r="A945" s="233">
        <v>41227</v>
      </c>
      <c r="B945" s="1" t="s">
        <v>3697</v>
      </c>
      <c r="C945" s="5" t="s">
        <v>3819</v>
      </c>
      <c r="D945" s="1" t="s">
        <v>694</v>
      </c>
      <c r="E945" s="1" t="s">
        <v>2568</v>
      </c>
      <c r="F945" s="5">
        <v>100</v>
      </c>
      <c r="G945" s="1" t="s">
        <v>240</v>
      </c>
      <c r="H945" s="234">
        <v>2.5</v>
      </c>
      <c r="I945" s="235">
        <f t="shared" si="67"/>
        <v>250</v>
      </c>
      <c r="K945" s="266">
        <f>1.54*100</f>
        <v>154</v>
      </c>
      <c r="L945" s="237">
        <v>41339</v>
      </c>
      <c r="M945" s="1" t="s">
        <v>167</v>
      </c>
      <c r="N945" s="235">
        <f t="shared" si="60"/>
        <v>250</v>
      </c>
      <c r="O945" s="235">
        <f t="shared" si="66"/>
        <v>0</v>
      </c>
      <c r="P945" s="238" t="s">
        <v>3972</v>
      </c>
      <c r="Q945" s="1" t="s">
        <v>3811</v>
      </c>
      <c r="R945" s="239" t="s">
        <v>3699</v>
      </c>
      <c r="S945" s="238" t="s">
        <v>3700</v>
      </c>
      <c r="T945" s="238" t="s">
        <v>3701</v>
      </c>
      <c r="U945" s="238" t="s">
        <v>3973</v>
      </c>
      <c r="V945" s="238" t="s">
        <v>3974</v>
      </c>
      <c r="W945" s="236">
        <v>3985</v>
      </c>
      <c r="X945" s="233">
        <v>41267</v>
      </c>
      <c r="Y945" s="238" t="s">
        <v>5325</v>
      </c>
      <c r="AB945" s="1" t="s">
        <v>2094</v>
      </c>
    </row>
    <row r="946" spans="1:28" ht="11.25" customHeight="1">
      <c r="A946" s="233">
        <v>41227</v>
      </c>
      <c r="B946" s="1" t="s">
        <v>2589</v>
      </c>
      <c r="C946" s="5" t="s">
        <v>3819</v>
      </c>
      <c r="D946" s="5" t="s">
        <v>986</v>
      </c>
      <c r="E946" s="1">
        <v>6800</v>
      </c>
      <c r="F946" s="5">
        <v>6</v>
      </c>
      <c r="G946" s="1" t="s">
        <v>2101</v>
      </c>
      <c r="H946" s="234">
        <v>442</v>
      </c>
      <c r="I946" s="235">
        <f t="shared" ref="I946:I954" si="68">F946*H946</f>
        <v>2652</v>
      </c>
      <c r="K946" s="266">
        <f>418*6</f>
        <v>2508</v>
      </c>
      <c r="L946" s="237">
        <v>41313</v>
      </c>
      <c r="M946" s="1" t="s">
        <v>166</v>
      </c>
      <c r="N946" s="235">
        <f t="shared" si="60"/>
        <v>2652</v>
      </c>
      <c r="O946" s="235">
        <f t="shared" si="66"/>
        <v>0</v>
      </c>
      <c r="P946" s="238">
        <v>9015385</v>
      </c>
      <c r="Q946" s="1" t="s">
        <v>3975</v>
      </c>
      <c r="R946" s="239" t="s">
        <v>2591</v>
      </c>
      <c r="S946" s="238" t="s">
        <v>2592</v>
      </c>
      <c r="T946" s="238" t="s">
        <v>3940</v>
      </c>
      <c r="U946" s="238" t="s">
        <v>3976</v>
      </c>
      <c r="V946" s="238" t="s">
        <v>2512</v>
      </c>
      <c r="AB946" s="1" t="s">
        <v>2551</v>
      </c>
    </row>
    <row r="947" spans="1:28" ht="11.25" customHeight="1">
      <c r="A947" s="233">
        <v>41228</v>
      </c>
      <c r="B947" s="1" t="s">
        <v>3977</v>
      </c>
      <c r="C947" s="5" t="s">
        <v>3819</v>
      </c>
      <c r="D947" s="5" t="s">
        <v>1880</v>
      </c>
      <c r="E947" s="1">
        <v>6006</v>
      </c>
      <c r="F947" s="5">
        <v>500</v>
      </c>
      <c r="G947" s="1" t="s">
        <v>2101</v>
      </c>
      <c r="H947" s="234">
        <v>50.5</v>
      </c>
      <c r="I947" s="235">
        <f t="shared" si="68"/>
        <v>25250</v>
      </c>
      <c r="K947" s="266">
        <f>49.78*204+296*48</f>
        <v>24363.120000000003</v>
      </c>
      <c r="L947" s="237">
        <v>41229</v>
      </c>
      <c r="M947" s="1" t="s">
        <v>2092</v>
      </c>
      <c r="N947" s="235">
        <f t="shared" si="60"/>
        <v>25250</v>
      </c>
      <c r="O947" s="235">
        <f t="shared" si="66"/>
        <v>0</v>
      </c>
      <c r="P947" s="238" t="s">
        <v>2097</v>
      </c>
      <c r="Q947" s="1" t="s">
        <v>2529</v>
      </c>
      <c r="R947" s="239" t="s">
        <v>2097</v>
      </c>
      <c r="S947" s="238">
        <v>13368068212</v>
      </c>
      <c r="T947" s="238" t="s">
        <v>2097</v>
      </c>
      <c r="U947" s="238" t="s">
        <v>2097</v>
      </c>
      <c r="V947" s="238" t="s">
        <v>3978</v>
      </c>
      <c r="W947" s="236" t="s">
        <v>3979</v>
      </c>
      <c r="X947" s="233">
        <v>41229</v>
      </c>
      <c r="Y947" s="238" t="s">
        <v>3980</v>
      </c>
      <c r="AB947" s="1" t="s">
        <v>2551</v>
      </c>
    </row>
    <row r="948" spans="1:28" ht="11.25" customHeight="1">
      <c r="A948" s="233">
        <v>41228</v>
      </c>
      <c r="B948" s="1" t="s">
        <v>3441</v>
      </c>
      <c r="C948" s="5" t="s">
        <v>3819</v>
      </c>
      <c r="D948" s="5" t="s">
        <v>2023</v>
      </c>
      <c r="E948" s="1" t="s">
        <v>2096</v>
      </c>
      <c r="F948" s="5">
        <v>3</v>
      </c>
      <c r="G948" s="232" t="s">
        <v>3981</v>
      </c>
      <c r="H948" s="234">
        <v>45</v>
      </c>
      <c r="I948" s="235">
        <f t="shared" si="68"/>
        <v>135</v>
      </c>
      <c r="J948" s="352">
        <v>30.15</v>
      </c>
      <c r="K948" s="266">
        <f>30.15*3</f>
        <v>90.449999999999989</v>
      </c>
      <c r="L948" s="237">
        <v>41228</v>
      </c>
      <c r="M948" s="1" t="s">
        <v>2349</v>
      </c>
      <c r="N948" s="235">
        <f t="shared" si="60"/>
        <v>135</v>
      </c>
      <c r="O948" s="235">
        <f t="shared" si="66"/>
        <v>0</v>
      </c>
      <c r="P948" s="238" t="s">
        <v>3982</v>
      </c>
      <c r="Q948" s="1" t="s">
        <v>2617</v>
      </c>
      <c r="R948" s="239" t="s">
        <v>2959</v>
      </c>
      <c r="S948" s="238" t="s">
        <v>3983</v>
      </c>
      <c r="T948" s="238" t="s">
        <v>3984</v>
      </c>
      <c r="U948" s="238" t="s">
        <v>3985</v>
      </c>
      <c r="V948" s="246" t="s">
        <v>3447</v>
      </c>
      <c r="W948" s="236">
        <v>2365</v>
      </c>
      <c r="X948" s="233">
        <v>41234</v>
      </c>
      <c r="Y948" s="238" t="s">
        <v>3448</v>
      </c>
      <c r="AB948" s="1" t="s">
        <v>2094</v>
      </c>
    </row>
    <row r="949" spans="1:28" ht="11.25" customHeight="1">
      <c r="A949" s="233">
        <v>41228</v>
      </c>
      <c r="B949" s="1" t="s">
        <v>3986</v>
      </c>
      <c r="C949" s="5" t="s">
        <v>3819</v>
      </c>
      <c r="D949" s="5" t="s">
        <v>2029</v>
      </c>
      <c r="E949" s="1">
        <v>7502</v>
      </c>
      <c r="F949" s="5">
        <v>3</v>
      </c>
      <c r="G949" s="1" t="s">
        <v>2101</v>
      </c>
      <c r="H949" s="234">
        <v>158.30000000000001</v>
      </c>
      <c r="I949" s="235">
        <f t="shared" si="68"/>
        <v>474.90000000000003</v>
      </c>
      <c r="J949" s="352">
        <v>105</v>
      </c>
      <c r="K949" s="241">
        <f>105*3</f>
        <v>315</v>
      </c>
      <c r="L949" s="237">
        <v>41228</v>
      </c>
      <c r="M949" s="1" t="s">
        <v>2412</v>
      </c>
      <c r="N949" s="235">
        <f t="shared" si="60"/>
        <v>474.90000000000003</v>
      </c>
      <c r="O949" s="235">
        <f t="shared" si="66"/>
        <v>0</v>
      </c>
      <c r="P949" s="238" t="s">
        <v>3987</v>
      </c>
      <c r="Q949" s="1" t="s">
        <v>2230</v>
      </c>
      <c r="R949" s="239" t="s">
        <v>3988</v>
      </c>
      <c r="S949" s="238" t="s">
        <v>3989</v>
      </c>
      <c r="T949" s="238" t="s">
        <v>3990</v>
      </c>
      <c r="U949" s="239" t="s">
        <v>2097</v>
      </c>
      <c r="V949" s="238" t="s">
        <v>2512</v>
      </c>
      <c r="AB949" s="1" t="s">
        <v>2094</v>
      </c>
    </row>
    <row r="950" spans="1:28" ht="11.25" customHeight="1">
      <c r="A950" s="233">
        <v>41228</v>
      </c>
      <c r="B950" s="1" t="s">
        <v>3986</v>
      </c>
      <c r="C950" s="5" t="s">
        <v>3819</v>
      </c>
      <c r="D950" s="5" t="s">
        <v>355</v>
      </c>
      <c r="E950" s="1" t="s">
        <v>2516</v>
      </c>
      <c r="F950" s="5">
        <v>12</v>
      </c>
      <c r="G950" s="1" t="s">
        <v>2101</v>
      </c>
      <c r="H950" s="234">
        <v>23.75</v>
      </c>
      <c r="I950" s="235">
        <f t="shared" si="68"/>
        <v>285</v>
      </c>
      <c r="K950" s="241">
        <f>17*12</f>
        <v>204</v>
      </c>
      <c r="L950" s="237">
        <v>41228</v>
      </c>
      <c r="M950" s="1" t="s">
        <v>2412</v>
      </c>
      <c r="N950" s="235">
        <f t="shared" si="60"/>
        <v>285</v>
      </c>
      <c r="O950" s="235">
        <f t="shared" si="66"/>
        <v>0</v>
      </c>
      <c r="P950" s="238" t="s">
        <v>3987</v>
      </c>
      <c r="Q950" s="1" t="s">
        <v>2230</v>
      </c>
      <c r="R950" s="239" t="s">
        <v>3988</v>
      </c>
      <c r="S950" s="238" t="s">
        <v>3989</v>
      </c>
      <c r="T950" s="238" t="s">
        <v>3990</v>
      </c>
      <c r="U950" s="239" t="s">
        <v>2097</v>
      </c>
      <c r="V950" s="238" t="s">
        <v>2512</v>
      </c>
      <c r="AB950" s="1" t="s">
        <v>2094</v>
      </c>
    </row>
    <row r="951" spans="1:28" ht="15.75" customHeight="1">
      <c r="A951" s="233">
        <v>41228</v>
      </c>
      <c r="B951" s="1" t="s">
        <v>3986</v>
      </c>
      <c r="C951" s="5" t="s">
        <v>3819</v>
      </c>
      <c r="D951" s="5" t="s">
        <v>1887</v>
      </c>
      <c r="E951" s="1" t="s">
        <v>2123</v>
      </c>
      <c r="F951" s="5">
        <v>18</v>
      </c>
      <c r="G951" s="1" t="s">
        <v>232</v>
      </c>
      <c r="H951" s="234">
        <v>7.6</v>
      </c>
      <c r="I951" s="235">
        <f t="shared" si="68"/>
        <v>136.79999999999998</v>
      </c>
      <c r="K951" s="241">
        <f>4.78*18</f>
        <v>86.04</v>
      </c>
      <c r="L951" s="237">
        <v>41228</v>
      </c>
      <c r="M951" s="1" t="s">
        <v>2412</v>
      </c>
      <c r="N951" s="235">
        <f t="shared" si="60"/>
        <v>136.79999999999998</v>
      </c>
      <c r="O951" s="235">
        <f t="shared" si="66"/>
        <v>0</v>
      </c>
      <c r="P951" s="238" t="s">
        <v>3987</v>
      </c>
      <c r="Q951" s="1" t="s">
        <v>2230</v>
      </c>
      <c r="R951" s="239" t="s">
        <v>3988</v>
      </c>
      <c r="S951" s="238" t="s">
        <v>3989</v>
      </c>
      <c r="T951" s="238" t="s">
        <v>3990</v>
      </c>
      <c r="U951" s="239" t="s">
        <v>2097</v>
      </c>
      <c r="V951" s="238" t="s">
        <v>2512</v>
      </c>
      <c r="AB951" s="1" t="s">
        <v>2094</v>
      </c>
    </row>
    <row r="952" spans="1:28" ht="11.25" customHeight="1">
      <c r="A952" s="233">
        <v>41228</v>
      </c>
      <c r="B952" s="1" t="s">
        <v>3986</v>
      </c>
      <c r="C952" s="5" t="s">
        <v>3819</v>
      </c>
      <c r="D952" s="5" t="s">
        <v>264</v>
      </c>
      <c r="E952" s="1">
        <v>501</v>
      </c>
      <c r="F952" s="5">
        <v>6</v>
      </c>
      <c r="G952" s="1" t="s">
        <v>2101</v>
      </c>
      <c r="H952" s="234">
        <v>2</v>
      </c>
      <c r="I952" s="235">
        <f t="shared" si="68"/>
        <v>12</v>
      </c>
      <c r="J952" s="352">
        <v>1.39</v>
      </c>
      <c r="K952" s="241">
        <f>4.78*6</f>
        <v>28.68</v>
      </c>
      <c r="L952" s="237">
        <v>41228</v>
      </c>
      <c r="M952" s="1" t="s">
        <v>2412</v>
      </c>
      <c r="N952" s="235">
        <f t="shared" si="60"/>
        <v>12</v>
      </c>
      <c r="O952" s="235">
        <f t="shared" si="66"/>
        <v>0</v>
      </c>
      <c r="P952" s="238" t="s">
        <v>3987</v>
      </c>
      <c r="Q952" s="1" t="s">
        <v>2230</v>
      </c>
      <c r="R952" s="239" t="s">
        <v>3988</v>
      </c>
      <c r="S952" s="238" t="s">
        <v>3989</v>
      </c>
      <c r="T952" s="238" t="s">
        <v>3990</v>
      </c>
      <c r="U952" s="239" t="s">
        <v>2097</v>
      </c>
      <c r="V952" s="238" t="s">
        <v>2512</v>
      </c>
      <c r="AB952" s="1" t="s">
        <v>2094</v>
      </c>
    </row>
    <row r="953" spans="1:28" ht="11.25" customHeight="1">
      <c r="A953" s="233">
        <v>41228</v>
      </c>
      <c r="B953" s="1" t="s">
        <v>3986</v>
      </c>
      <c r="C953" s="5" t="s">
        <v>3819</v>
      </c>
      <c r="D953" s="5" t="s">
        <v>307</v>
      </c>
      <c r="E953" s="1">
        <v>1270</v>
      </c>
      <c r="F953" s="5">
        <v>6</v>
      </c>
      <c r="G953" s="1" t="s">
        <v>2420</v>
      </c>
      <c r="H953" s="234">
        <v>5.7</v>
      </c>
      <c r="I953" s="235">
        <f t="shared" si="68"/>
        <v>34.200000000000003</v>
      </c>
      <c r="K953" s="254">
        <f>4.1*6</f>
        <v>24.599999999999998</v>
      </c>
      <c r="L953" s="237">
        <v>41228</v>
      </c>
      <c r="M953" s="1" t="s">
        <v>2412</v>
      </c>
      <c r="N953" s="235">
        <f t="shared" si="60"/>
        <v>34.200000000000003</v>
      </c>
      <c r="O953" s="235">
        <f t="shared" si="66"/>
        <v>0</v>
      </c>
      <c r="P953" s="238" t="s">
        <v>3987</v>
      </c>
      <c r="Q953" s="1" t="s">
        <v>2230</v>
      </c>
      <c r="R953" s="239" t="s">
        <v>3988</v>
      </c>
      <c r="S953" s="238" t="s">
        <v>3989</v>
      </c>
      <c r="T953" s="238" t="s">
        <v>3990</v>
      </c>
      <c r="U953" s="239" t="s">
        <v>2097</v>
      </c>
      <c r="V953" s="238" t="s">
        <v>2512</v>
      </c>
      <c r="Z953" s="255" t="s">
        <v>2573</v>
      </c>
      <c r="AB953" s="1" t="s">
        <v>2094</v>
      </c>
    </row>
    <row r="954" spans="1:28" ht="11.25" customHeight="1">
      <c r="A954" s="233">
        <v>41228</v>
      </c>
      <c r="B954" s="1" t="s">
        <v>3986</v>
      </c>
      <c r="C954" s="5" t="s">
        <v>2845</v>
      </c>
      <c r="D954" s="95" t="s">
        <v>5040</v>
      </c>
      <c r="E954" s="1" t="s">
        <v>3614</v>
      </c>
      <c r="F954" s="5">
        <v>3</v>
      </c>
      <c r="G954" s="1" t="s">
        <v>2847</v>
      </c>
      <c r="H954" s="234">
        <v>14.25</v>
      </c>
      <c r="I954" s="235">
        <f t="shared" si="68"/>
        <v>42.75</v>
      </c>
      <c r="K954" s="241">
        <f>10*3</f>
        <v>30</v>
      </c>
      <c r="L954" s="237">
        <v>41228</v>
      </c>
      <c r="M954" s="1" t="s">
        <v>2412</v>
      </c>
      <c r="N954" s="235">
        <f t="shared" si="60"/>
        <v>42.75</v>
      </c>
      <c r="O954" s="235">
        <f t="shared" si="66"/>
        <v>0</v>
      </c>
      <c r="P954" s="238" t="s">
        <v>3987</v>
      </c>
      <c r="Q954" s="1" t="s">
        <v>2230</v>
      </c>
      <c r="R954" s="239" t="s">
        <v>3988</v>
      </c>
      <c r="S954" s="238" t="s">
        <v>3989</v>
      </c>
      <c r="T954" s="238" t="s">
        <v>3990</v>
      </c>
      <c r="U954" s="239" t="s">
        <v>2097</v>
      </c>
      <c r="V954" s="238" t="s">
        <v>2512</v>
      </c>
      <c r="AB954" s="1" t="s">
        <v>2094</v>
      </c>
    </row>
    <row r="955" spans="1:28" ht="12" customHeight="1">
      <c r="A955" s="233">
        <v>41229</v>
      </c>
      <c r="B955" s="1" t="s">
        <v>3991</v>
      </c>
      <c r="C955" s="5" t="s">
        <v>3819</v>
      </c>
      <c r="D955" s="5" t="s">
        <v>857</v>
      </c>
      <c r="E955" s="1">
        <v>9031</v>
      </c>
      <c r="F955" s="5">
        <v>500</v>
      </c>
      <c r="G955" s="232" t="s">
        <v>3134</v>
      </c>
      <c r="H955" s="234">
        <v>2.4</v>
      </c>
      <c r="I955" s="235">
        <f t="shared" ref="I955:I970" si="69">F955*H955</f>
        <v>1200</v>
      </c>
      <c r="K955" s="241">
        <f>1.4929*500</f>
        <v>746.44999999999993</v>
      </c>
      <c r="L955" s="237">
        <v>41229</v>
      </c>
      <c r="M955" s="1" t="s">
        <v>2349</v>
      </c>
      <c r="N955" s="235">
        <f t="shared" si="60"/>
        <v>1200</v>
      </c>
      <c r="O955" s="235">
        <f t="shared" si="66"/>
        <v>0</v>
      </c>
      <c r="P955" s="238" t="s">
        <v>3992</v>
      </c>
      <c r="Q955" s="1" t="s">
        <v>2586</v>
      </c>
      <c r="R955" s="239" t="s">
        <v>2611</v>
      </c>
      <c r="S955" s="238" t="s">
        <v>2612</v>
      </c>
      <c r="T955" s="238" t="s">
        <v>3993</v>
      </c>
      <c r="U955" s="238" t="s">
        <v>3994</v>
      </c>
      <c r="V955" s="238" t="s">
        <v>3995</v>
      </c>
      <c r="W955" s="236">
        <v>1200</v>
      </c>
      <c r="X955" s="233">
        <v>41226</v>
      </c>
      <c r="Y955" s="238" t="s">
        <v>3994</v>
      </c>
      <c r="AA955" s="240" t="s">
        <v>2692</v>
      </c>
      <c r="AB955" s="1" t="s">
        <v>2094</v>
      </c>
    </row>
    <row r="956" spans="1:28" ht="11.25" customHeight="1">
      <c r="A956" s="233">
        <v>41229</v>
      </c>
      <c r="B956" s="1" t="s">
        <v>3996</v>
      </c>
      <c r="C956" s="5" t="s">
        <v>3819</v>
      </c>
      <c r="D956" s="1" t="s">
        <v>1216</v>
      </c>
      <c r="E956" s="1">
        <v>3200</v>
      </c>
      <c r="F956" s="5">
        <v>10</v>
      </c>
      <c r="G956" s="1" t="s">
        <v>2101</v>
      </c>
      <c r="H956" s="234">
        <v>33</v>
      </c>
      <c r="I956" s="235">
        <f t="shared" si="69"/>
        <v>330</v>
      </c>
      <c r="K956" s="241">
        <f>26*10</f>
        <v>260</v>
      </c>
      <c r="L956" s="237">
        <v>41229</v>
      </c>
      <c r="M956" s="1" t="s">
        <v>2349</v>
      </c>
      <c r="N956" s="235">
        <f t="shared" si="60"/>
        <v>330</v>
      </c>
      <c r="O956" s="235">
        <f t="shared" si="66"/>
        <v>0</v>
      </c>
      <c r="P956" s="238" t="s">
        <v>3997</v>
      </c>
      <c r="Q956" s="1" t="s">
        <v>3722</v>
      </c>
      <c r="R956" s="239" t="s">
        <v>3998</v>
      </c>
      <c r="S956" s="238" t="s">
        <v>3999</v>
      </c>
      <c r="T956" s="238" t="s">
        <v>4000</v>
      </c>
      <c r="U956" s="238" t="s">
        <v>4001</v>
      </c>
      <c r="V956" s="238" t="s">
        <v>4002</v>
      </c>
      <c r="W956" s="236">
        <v>565</v>
      </c>
      <c r="X956" s="233">
        <v>41229</v>
      </c>
      <c r="Y956" s="238" t="s">
        <v>2230</v>
      </c>
      <c r="AA956" s="240" t="s">
        <v>2692</v>
      </c>
      <c r="AB956" s="1" t="s">
        <v>2094</v>
      </c>
    </row>
    <row r="957" spans="1:28" ht="11.25" customHeight="1">
      <c r="A957" s="233">
        <v>41229</v>
      </c>
      <c r="B957" s="1" t="s">
        <v>3996</v>
      </c>
      <c r="C957" s="5" t="s">
        <v>3819</v>
      </c>
      <c r="D957" s="5" t="s">
        <v>1887</v>
      </c>
      <c r="E957" s="1" t="s">
        <v>2639</v>
      </c>
      <c r="F957" s="5">
        <v>40</v>
      </c>
      <c r="G957" s="1" t="s">
        <v>2514</v>
      </c>
      <c r="H957" s="234">
        <v>2</v>
      </c>
      <c r="I957" s="235">
        <f t="shared" si="69"/>
        <v>80</v>
      </c>
      <c r="J957" s="352">
        <v>1.54</v>
      </c>
      <c r="K957" s="241">
        <f>1.54*F957</f>
        <v>61.6</v>
      </c>
      <c r="L957" s="237">
        <v>41229</v>
      </c>
      <c r="M957" s="1" t="s">
        <v>2349</v>
      </c>
      <c r="N957" s="235">
        <f t="shared" si="60"/>
        <v>80</v>
      </c>
      <c r="O957" s="235">
        <f t="shared" si="66"/>
        <v>0</v>
      </c>
      <c r="P957" s="238" t="s">
        <v>3997</v>
      </c>
      <c r="Q957" s="1" t="s">
        <v>3722</v>
      </c>
      <c r="R957" s="239" t="s">
        <v>3998</v>
      </c>
      <c r="S957" s="238" t="s">
        <v>3999</v>
      </c>
      <c r="T957" s="238" t="s">
        <v>1273</v>
      </c>
      <c r="U957" s="238" t="s">
        <v>4001</v>
      </c>
      <c r="V957" s="238" t="s">
        <v>4002</v>
      </c>
      <c r="W957" s="236">
        <v>565</v>
      </c>
      <c r="X957" s="233">
        <v>41229</v>
      </c>
      <c r="Y957" s="238" t="s">
        <v>2230</v>
      </c>
      <c r="AA957" s="240" t="s">
        <v>2692</v>
      </c>
      <c r="AB957" s="1" t="s">
        <v>2094</v>
      </c>
    </row>
    <row r="958" spans="1:28" ht="11.25" customHeight="1">
      <c r="A958" s="233">
        <v>41229</v>
      </c>
      <c r="B958" s="1" t="s">
        <v>3996</v>
      </c>
      <c r="C958" s="5" t="s">
        <v>3819</v>
      </c>
      <c r="D958" s="5" t="s">
        <v>348</v>
      </c>
      <c r="E958" s="1">
        <v>3700</v>
      </c>
      <c r="F958" s="5">
        <v>10</v>
      </c>
      <c r="G958" s="1" t="s">
        <v>230</v>
      </c>
      <c r="H958" s="234">
        <v>10</v>
      </c>
      <c r="I958" s="235">
        <f t="shared" si="69"/>
        <v>100</v>
      </c>
      <c r="J958" s="352">
        <v>3.09</v>
      </c>
      <c r="K958" s="241">
        <f>3.09*10</f>
        <v>30.9</v>
      </c>
      <c r="L958" s="237">
        <v>41229</v>
      </c>
      <c r="M958" s="1" t="s">
        <v>2349</v>
      </c>
      <c r="N958" s="235">
        <f t="shared" si="60"/>
        <v>100</v>
      </c>
      <c r="O958" s="235">
        <f t="shared" si="66"/>
        <v>0</v>
      </c>
      <c r="P958" s="238" t="s">
        <v>3997</v>
      </c>
      <c r="Q958" s="1" t="s">
        <v>3722</v>
      </c>
      <c r="R958" s="239" t="s">
        <v>3998</v>
      </c>
      <c r="S958" s="238" t="s">
        <v>3999</v>
      </c>
      <c r="T958" s="238" t="s">
        <v>1274</v>
      </c>
      <c r="U958" s="238" t="s">
        <v>4001</v>
      </c>
      <c r="V958" s="238" t="s">
        <v>4002</v>
      </c>
      <c r="W958" s="236">
        <v>565</v>
      </c>
      <c r="X958" s="233">
        <v>41229</v>
      </c>
      <c r="Y958" s="238" t="s">
        <v>2230</v>
      </c>
      <c r="AA958" s="240" t="s">
        <v>2692</v>
      </c>
      <c r="AB958" s="1" t="s">
        <v>2094</v>
      </c>
    </row>
    <row r="959" spans="1:28" ht="11.25" customHeight="1">
      <c r="A959" s="233">
        <v>41229</v>
      </c>
      <c r="B959" s="1" t="s">
        <v>3996</v>
      </c>
      <c r="C959" s="5" t="s">
        <v>3819</v>
      </c>
      <c r="D959" s="1" t="s">
        <v>683</v>
      </c>
      <c r="E959" s="1" t="s">
        <v>2831</v>
      </c>
      <c r="F959" s="5">
        <v>10</v>
      </c>
      <c r="G959" s="1" t="s">
        <v>2420</v>
      </c>
      <c r="H959" s="234">
        <v>5.5</v>
      </c>
      <c r="I959" s="235">
        <f t="shared" si="69"/>
        <v>55</v>
      </c>
      <c r="J959" s="352">
        <v>3.214</v>
      </c>
      <c r="K959" s="241">
        <f>3.214*F959</f>
        <v>32.14</v>
      </c>
      <c r="L959" s="237">
        <v>41229</v>
      </c>
      <c r="M959" s="1" t="s">
        <v>2349</v>
      </c>
      <c r="N959" s="235">
        <f t="shared" si="60"/>
        <v>55</v>
      </c>
      <c r="O959" s="235">
        <f t="shared" si="66"/>
        <v>0</v>
      </c>
      <c r="P959" s="238" t="s">
        <v>3997</v>
      </c>
      <c r="Q959" s="1" t="s">
        <v>3722</v>
      </c>
      <c r="R959" s="239" t="s">
        <v>3998</v>
      </c>
      <c r="S959" s="238" t="s">
        <v>3999</v>
      </c>
      <c r="T959" s="238" t="s">
        <v>1275</v>
      </c>
      <c r="U959" s="238" t="s">
        <v>4001</v>
      </c>
      <c r="V959" s="238" t="s">
        <v>4002</v>
      </c>
      <c r="W959" s="236">
        <v>565</v>
      </c>
      <c r="X959" s="233">
        <v>41229</v>
      </c>
      <c r="Y959" s="238" t="s">
        <v>2230</v>
      </c>
      <c r="AA959" s="240" t="s">
        <v>2692</v>
      </c>
      <c r="AB959" s="1" t="s">
        <v>2094</v>
      </c>
    </row>
    <row r="960" spans="1:28" ht="11.25" customHeight="1">
      <c r="A960" s="233">
        <v>41229</v>
      </c>
      <c r="B960" s="1" t="s">
        <v>4003</v>
      </c>
      <c r="C960" s="5" t="s">
        <v>3819</v>
      </c>
      <c r="D960" s="5" t="s">
        <v>87</v>
      </c>
      <c r="E960" s="1">
        <v>9032</v>
      </c>
      <c r="F960" s="5">
        <v>10</v>
      </c>
      <c r="G960" s="1" t="s">
        <v>2101</v>
      </c>
      <c r="H960" s="234">
        <v>2.5</v>
      </c>
      <c r="I960" s="235">
        <f t="shared" si="69"/>
        <v>25</v>
      </c>
      <c r="K960" s="241">
        <f>1.4929*F960</f>
        <v>14.928999999999998</v>
      </c>
      <c r="L960" s="237">
        <v>41229</v>
      </c>
      <c r="M960" s="1" t="s">
        <v>2412</v>
      </c>
      <c r="N960" s="235">
        <f t="shared" si="60"/>
        <v>25</v>
      </c>
      <c r="O960" s="235">
        <f t="shared" si="66"/>
        <v>0</v>
      </c>
      <c r="P960" s="238" t="s">
        <v>4004</v>
      </c>
      <c r="Q960" s="1" t="s">
        <v>2230</v>
      </c>
      <c r="R960" s="239" t="s">
        <v>4005</v>
      </c>
      <c r="S960" s="238" t="s">
        <v>4006</v>
      </c>
      <c r="T960" s="238" t="s">
        <v>4007</v>
      </c>
      <c r="U960" s="239" t="s">
        <v>2097</v>
      </c>
      <c r="V960" s="238" t="s">
        <v>4008</v>
      </c>
      <c r="W960" s="236">
        <v>388</v>
      </c>
      <c r="X960" s="233">
        <v>41228</v>
      </c>
      <c r="Y960" s="239" t="s">
        <v>2097</v>
      </c>
      <c r="AA960" s="240" t="s">
        <v>2692</v>
      </c>
      <c r="AB960" s="1" t="s">
        <v>2094</v>
      </c>
    </row>
    <row r="961" spans="1:28" ht="11.25" customHeight="1">
      <c r="A961" s="233">
        <v>41229</v>
      </c>
      <c r="B961" s="1" t="s">
        <v>4003</v>
      </c>
      <c r="C961" s="5" t="s">
        <v>3819</v>
      </c>
      <c r="D961" s="5" t="s">
        <v>307</v>
      </c>
      <c r="E961" s="1">
        <v>1270</v>
      </c>
      <c r="F961" s="5">
        <v>2</v>
      </c>
      <c r="G961" s="1" t="s">
        <v>2420</v>
      </c>
      <c r="H961" s="234">
        <v>6.5</v>
      </c>
      <c r="I961" s="235">
        <f t="shared" si="69"/>
        <v>13</v>
      </c>
      <c r="K961" s="254">
        <f>4.1*2</f>
        <v>8.1999999999999993</v>
      </c>
      <c r="L961" s="237">
        <v>41229</v>
      </c>
      <c r="M961" s="1" t="s">
        <v>2412</v>
      </c>
      <c r="N961" s="235">
        <f t="shared" si="60"/>
        <v>13</v>
      </c>
      <c r="O961" s="235">
        <f t="shared" si="66"/>
        <v>0</v>
      </c>
      <c r="P961" s="238" t="s">
        <v>4004</v>
      </c>
      <c r="Q961" s="1" t="s">
        <v>2230</v>
      </c>
      <c r="R961" s="239" t="s">
        <v>4005</v>
      </c>
      <c r="S961" s="238" t="s">
        <v>4006</v>
      </c>
      <c r="T961" s="238" t="s">
        <v>4007</v>
      </c>
      <c r="U961" s="239" t="s">
        <v>2097</v>
      </c>
      <c r="V961" s="238" t="s">
        <v>4008</v>
      </c>
      <c r="W961" s="236">
        <v>388</v>
      </c>
      <c r="X961" s="233">
        <v>41228</v>
      </c>
      <c r="Y961" s="239" t="s">
        <v>2097</v>
      </c>
      <c r="Z961" s="255" t="s">
        <v>2573</v>
      </c>
      <c r="AA961" s="240" t="s">
        <v>2692</v>
      </c>
      <c r="AB961" s="1" t="s">
        <v>2094</v>
      </c>
    </row>
    <row r="962" spans="1:28" ht="11.25" customHeight="1">
      <c r="A962" s="233">
        <v>41229</v>
      </c>
      <c r="B962" s="1" t="s">
        <v>4003</v>
      </c>
      <c r="C962" s="5" t="s">
        <v>3819</v>
      </c>
      <c r="D962" s="5" t="s">
        <v>264</v>
      </c>
      <c r="E962" s="1">
        <v>501</v>
      </c>
      <c r="F962" s="5">
        <v>4</v>
      </c>
      <c r="G962" s="1" t="s">
        <v>2101</v>
      </c>
      <c r="H962" s="234">
        <v>2</v>
      </c>
      <c r="I962" s="235">
        <f t="shared" si="69"/>
        <v>8</v>
      </c>
      <c r="K962" s="254">
        <f>1.39*4</f>
        <v>5.56</v>
      </c>
      <c r="L962" s="237">
        <v>41229</v>
      </c>
      <c r="M962" s="1" t="s">
        <v>2412</v>
      </c>
      <c r="N962" s="235">
        <f t="shared" si="60"/>
        <v>8</v>
      </c>
      <c r="O962" s="235">
        <f t="shared" si="66"/>
        <v>0</v>
      </c>
      <c r="P962" s="238" t="s">
        <v>4004</v>
      </c>
      <c r="Q962" s="1" t="s">
        <v>2230</v>
      </c>
      <c r="R962" s="239" t="s">
        <v>4005</v>
      </c>
      <c r="S962" s="238" t="s">
        <v>4006</v>
      </c>
      <c r="T962" s="238" t="s">
        <v>4007</v>
      </c>
      <c r="U962" s="239" t="s">
        <v>2097</v>
      </c>
      <c r="V962" s="238" t="s">
        <v>4008</v>
      </c>
      <c r="W962" s="236">
        <v>388</v>
      </c>
      <c r="X962" s="233">
        <v>41228</v>
      </c>
      <c r="Y962" s="239" t="s">
        <v>2097</v>
      </c>
      <c r="Z962" s="255" t="s">
        <v>2573</v>
      </c>
      <c r="AA962" s="240" t="s">
        <v>2692</v>
      </c>
      <c r="AB962" s="1" t="s">
        <v>2094</v>
      </c>
    </row>
    <row r="963" spans="1:28" ht="11.25" customHeight="1">
      <c r="A963" s="233">
        <v>41229</v>
      </c>
      <c r="B963" s="1" t="s">
        <v>4003</v>
      </c>
      <c r="C963" s="5" t="s">
        <v>3819</v>
      </c>
      <c r="D963" s="1" t="s">
        <v>241</v>
      </c>
      <c r="E963" s="1">
        <v>6200</v>
      </c>
      <c r="F963" s="5">
        <v>2</v>
      </c>
      <c r="G963" s="1" t="s">
        <v>2101</v>
      </c>
      <c r="H963" s="234">
        <v>86</v>
      </c>
      <c r="I963" s="235">
        <f t="shared" si="69"/>
        <v>172</v>
      </c>
      <c r="J963" s="352">
        <v>42.7</v>
      </c>
      <c r="K963" s="241" t="e">
        <f>#REF!*F963</f>
        <v>#REF!</v>
      </c>
      <c r="L963" s="237">
        <v>41229</v>
      </c>
      <c r="M963" s="1" t="s">
        <v>2412</v>
      </c>
      <c r="N963" s="235">
        <f t="shared" ref="N963:N1024" si="70">I963</f>
        <v>172</v>
      </c>
      <c r="O963" s="235">
        <f t="shared" si="66"/>
        <v>0</v>
      </c>
      <c r="P963" s="238" t="s">
        <v>4004</v>
      </c>
      <c r="Q963" s="1" t="s">
        <v>2230</v>
      </c>
      <c r="R963" s="239" t="s">
        <v>4005</v>
      </c>
      <c r="S963" s="238" t="s">
        <v>4006</v>
      </c>
      <c r="T963" s="238" t="s">
        <v>4007</v>
      </c>
      <c r="U963" s="239" t="s">
        <v>2097</v>
      </c>
      <c r="V963" s="238" t="s">
        <v>4008</v>
      </c>
      <c r="W963" s="236">
        <v>388</v>
      </c>
      <c r="X963" s="233">
        <v>41228</v>
      </c>
      <c r="Y963" s="239" t="s">
        <v>2097</v>
      </c>
      <c r="AA963" s="240" t="s">
        <v>2692</v>
      </c>
      <c r="AB963" s="1" t="s">
        <v>2094</v>
      </c>
    </row>
    <row r="964" spans="1:28" ht="11.25" customHeight="1">
      <c r="A964" s="233">
        <v>41229</v>
      </c>
      <c r="B964" s="1" t="s">
        <v>4003</v>
      </c>
      <c r="C964" s="5" t="s">
        <v>3819</v>
      </c>
      <c r="D964" s="5" t="s">
        <v>355</v>
      </c>
      <c r="E964" s="1" t="s">
        <v>2516</v>
      </c>
      <c r="F964" s="5">
        <v>4</v>
      </c>
      <c r="G964" s="1" t="s">
        <v>2101</v>
      </c>
      <c r="H964" s="234">
        <v>25</v>
      </c>
      <c r="I964" s="235">
        <f t="shared" si="69"/>
        <v>100</v>
      </c>
      <c r="K964" s="241">
        <f>17*2+16.5*2</f>
        <v>67</v>
      </c>
      <c r="L964" s="237">
        <v>41229</v>
      </c>
      <c r="M964" s="1" t="s">
        <v>2412</v>
      </c>
      <c r="N964" s="235">
        <f t="shared" si="70"/>
        <v>100</v>
      </c>
      <c r="O964" s="235">
        <f t="shared" si="66"/>
        <v>0</v>
      </c>
      <c r="P964" s="238" t="s">
        <v>4004</v>
      </c>
      <c r="Q964" s="1" t="s">
        <v>2230</v>
      </c>
      <c r="R964" s="239" t="s">
        <v>4005</v>
      </c>
      <c r="S964" s="238" t="s">
        <v>4006</v>
      </c>
      <c r="T964" s="238" t="s">
        <v>4007</v>
      </c>
      <c r="U964" s="239" t="s">
        <v>2097</v>
      </c>
      <c r="V964" s="238" t="s">
        <v>4008</v>
      </c>
      <c r="W964" s="236">
        <v>388</v>
      </c>
      <c r="X964" s="233">
        <v>41228</v>
      </c>
      <c r="Y964" s="239" t="s">
        <v>2097</v>
      </c>
      <c r="AA964" s="240" t="s">
        <v>2692</v>
      </c>
      <c r="AB964" s="1" t="s">
        <v>2094</v>
      </c>
    </row>
    <row r="965" spans="1:28" ht="11.25" customHeight="1">
      <c r="A965" s="233">
        <v>41229</v>
      </c>
      <c r="B965" s="1" t="s">
        <v>4003</v>
      </c>
      <c r="C965" s="5" t="s">
        <v>3819</v>
      </c>
      <c r="D965" s="5" t="s">
        <v>1887</v>
      </c>
      <c r="E965" s="1" t="s">
        <v>2123</v>
      </c>
      <c r="F965" s="5">
        <v>4</v>
      </c>
      <c r="G965" s="1" t="s">
        <v>232</v>
      </c>
      <c r="H965" s="234">
        <v>10</v>
      </c>
      <c r="I965" s="235">
        <f t="shared" si="69"/>
        <v>40</v>
      </c>
      <c r="K965" s="241">
        <f>4.78*4</f>
        <v>19.12</v>
      </c>
      <c r="L965" s="237">
        <v>41229</v>
      </c>
      <c r="M965" s="1" t="s">
        <v>2412</v>
      </c>
      <c r="N965" s="235">
        <f t="shared" si="70"/>
        <v>40</v>
      </c>
      <c r="O965" s="235">
        <f t="shared" si="66"/>
        <v>0</v>
      </c>
      <c r="P965" s="238" t="s">
        <v>4004</v>
      </c>
      <c r="Q965" s="1" t="s">
        <v>2230</v>
      </c>
      <c r="R965" s="239" t="s">
        <v>4005</v>
      </c>
      <c r="S965" s="238" t="s">
        <v>4006</v>
      </c>
      <c r="T965" s="238" t="s">
        <v>4007</v>
      </c>
      <c r="U965" s="239" t="s">
        <v>2097</v>
      </c>
      <c r="V965" s="238" t="s">
        <v>4008</v>
      </c>
      <c r="W965" s="236">
        <v>388</v>
      </c>
      <c r="X965" s="233">
        <v>41228</v>
      </c>
      <c r="Y965" s="239" t="s">
        <v>2097</v>
      </c>
      <c r="AA965" s="240" t="s">
        <v>2692</v>
      </c>
      <c r="AB965" s="1" t="s">
        <v>2094</v>
      </c>
    </row>
    <row r="966" spans="1:28" ht="11.25" customHeight="1">
      <c r="A966" s="233">
        <v>41229</v>
      </c>
      <c r="B966" s="1" t="s">
        <v>4003</v>
      </c>
      <c r="C966" s="5" t="s">
        <v>2845</v>
      </c>
      <c r="D966" s="95" t="s">
        <v>5040</v>
      </c>
      <c r="E966" s="1" t="s">
        <v>3614</v>
      </c>
      <c r="F966" s="5">
        <v>2</v>
      </c>
      <c r="G966" s="1" t="s">
        <v>2847</v>
      </c>
      <c r="H966" s="234">
        <v>15</v>
      </c>
      <c r="I966" s="235">
        <f t="shared" si="69"/>
        <v>30</v>
      </c>
      <c r="K966" s="241">
        <f>10*F966</f>
        <v>20</v>
      </c>
      <c r="L966" s="237">
        <v>41229</v>
      </c>
      <c r="M966" s="1" t="s">
        <v>2412</v>
      </c>
      <c r="N966" s="235">
        <f t="shared" si="70"/>
        <v>30</v>
      </c>
      <c r="O966" s="235">
        <f t="shared" si="66"/>
        <v>0</v>
      </c>
      <c r="P966" s="238" t="s">
        <v>4004</v>
      </c>
      <c r="Q966" s="1" t="s">
        <v>2230</v>
      </c>
      <c r="R966" s="239" t="s">
        <v>4005</v>
      </c>
      <c r="S966" s="238" t="s">
        <v>4006</v>
      </c>
      <c r="T966" s="238" t="s">
        <v>4007</v>
      </c>
      <c r="U966" s="239" t="s">
        <v>2097</v>
      </c>
      <c r="V966" s="238" t="s">
        <v>4008</v>
      </c>
      <c r="W966" s="236">
        <v>388</v>
      </c>
      <c r="X966" s="233">
        <v>41228</v>
      </c>
      <c r="Y966" s="239" t="s">
        <v>2097</v>
      </c>
      <c r="AA966" s="240" t="s">
        <v>2692</v>
      </c>
      <c r="AB966" s="1" t="s">
        <v>2094</v>
      </c>
    </row>
    <row r="967" spans="1:28" ht="11.25" customHeight="1">
      <c r="A967" s="233">
        <v>41229</v>
      </c>
      <c r="B967" s="1" t="s">
        <v>4009</v>
      </c>
      <c r="C967" s="5" t="s">
        <v>3819</v>
      </c>
      <c r="D967" s="1" t="s">
        <v>1225</v>
      </c>
      <c r="E967" s="1" t="s">
        <v>2982</v>
      </c>
      <c r="F967" s="5">
        <v>10</v>
      </c>
      <c r="G967" s="1" t="s">
        <v>2101</v>
      </c>
      <c r="H967" s="234">
        <v>6</v>
      </c>
      <c r="I967" s="235">
        <f t="shared" si="69"/>
        <v>60</v>
      </c>
      <c r="K967" s="254">
        <f>3.56*10</f>
        <v>35.6</v>
      </c>
      <c r="L967" s="237">
        <v>41233</v>
      </c>
      <c r="M967" s="1" t="s">
        <v>2092</v>
      </c>
      <c r="N967" s="235">
        <f t="shared" si="70"/>
        <v>60</v>
      </c>
      <c r="O967" s="235">
        <f t="shared" si="66"/>
        <v>0</v>
      </c>
      <c r="P967" s="238" t="s">
        <v>4010</v>
      </c>
      <c r="Q967" s="1" t="s">
        <v>4011</v>
      </c>
      <c r="R967" s="239" t="s">
        <v>4012</v>
      </c>
      <c r="S967" s="238" t="s">
        <v>4013</v>
      </c>
      <c r="T967" s="238" t="s">
        <v>4014</v>
      </c>
      <c r="U967" s="238" t="s">
        <v>4015</v>
      </c>
      <c r="V967" s="238" t="s">
        <v>4016</v>
      </c>
      <c r="W967" s="236">
        <v>765</v>
      </c>
      <c r="X967" s="233">
        <v>41229</v>
      </c>
      <c r="Y967" s="238" t="s">
        <v>4015</v>
      </c>
      <c r="Z967" s="255" t="s">
        <v>2573</v>
      </c>
      <c r="AA967" s="240" t="s">
        <v>2692</v>
      </c>
      <c r="AB967" s="1" t="s">
        <v>2094</v>
      </c>
    </row>
    <row r="968" spans="1:28" ht="11.25" customHeight="1">
      <c r="A968" s="233">
        <v>41229</v>
      </c>
      <c r="B968" s="1" t="s">
        <v>4009</v>
      </c>
      <c r="C968" s="5" t="s">
        <v>3819</v>
      </c>
      <c r="D968" s="5" t="s">
        <v>857</v>
      </c>
      <c r="E968" s="1">
        <v>9031</v>
      </c>
      <c r="F968" s="5">
        <v>100</v>
      </c>
      <c r="G968" s="232" t="s">
        <v>3134</v>
      </c>
      <c r="H968" s="234">
        <v>2.8</v>
      </c>
      <c r="I968" s="235">
        <f t="shared" si="69"/>
        <v>280</v>
      </c>
      <c r="K968" s="241">
        <f>1.4929*100</f>
        <v>149.29</v>
      </c>
      <c r="L968" s="237">
        <v>41233</v>
      </c>
      <c r="M968" s="1" t="s">
        <v>2092</v>
      </c>
      <c r="N968" s="235">
        <f t="shared" si="70"/>
        <v>280</v>
      </c>
      <c r="O968" s="235">
        <f t="shared" si="66"/>
        <v>0</v>
      </c>
      <c r="P968" s="238" t="s">
        <v>4010</v>
      </c>
      <c r="Q968" s="1" t="s">
        <v>4011</v>
      </c>
      <c r="R968" s="239" t="s">
        <v>4012</v>
      </c>
      <c r="S968" s="238" t="s">
        <v>4013</v>
      </c>
      <c r="T968" s="238" t="s">
        <v>4014</v>
      </c>
      <c r="U968" s="238" t="s">
        <v>4015</v>
      </c>
      <c r="V968" s="238" t="s">
        <v>4016</v>
      </c>
      <c r="W968" s="236">
        <v>765</v>
      </c>
      <c r="X968" s="233">
        <v>41229</v>
      </c>
      <c r="Y968" s="238" t="s">
        <v>4015</v>
      </c>
      <c r="AA968" s="240" t="s">
        <v>2692</v>
      </c>
      <c r="AB968" s="1" t="s">
        <v>2094</v>
      </c>
    </row>
    <row r="969" spans="1:28" ht="11.25" customHeight="1">
      <c r="A969" s="233">
        <v>41229</v>
      </c>
      <c r="B969" s="1" t="s">
        <v>4009</v>
      </c>
      <c r="C969" s="5" t="s">
        <v>2845</v>
      </c>
      <c r="D969" s="95" t="s">
        <v>5040</v>
      </c>
      <c r="E969" s="1" t="s">
        <v>3614</v>
      </c>
      <c r="F969" s="5">
        <v>10</v>
      </c>
      <c r="G969" s="1" t="s">
        <v>2847</v>
      </c>
      <c r="H969" s="234">
        <v>15</v>
      </c>
      <c r="I969" s="235">
        <f t="shared" si="69"/>
        <v>150</v>
      </c>
      <c r="K969" s="241">
        <f>10*F969</f>
        <v>100</v>
      </c>
      <c r="L969" s="237">
        <v>41233</v>
      </c>
      <c r="M969" s="1" t="s">
        <v>2092</v>
      </c>
      <c r="N969" s="235">
        <f t="shared" si="70"/>
        <v>150</v>
      </c>
      <c r="O969" s="235">
        <f t="shared" si="66"/>
        <v>0</v>
      </c>
      <c r="P969" s="238" t="s">
        <v>4010</v>
      </c>
      <c r="Q969" s="1" t="s">
        <v>4011</v>
      </c>
      <c r="R969" s="239" t="s">
        <v>4012</v>
      </c>
      <c r="S969" s="238" t="s">
        <v>4013</v>
      </c>
      <c r="T969" s="238" t="s">
        <v>4014</v>
      </c>
      <c r="U969" s="238" t="s">
        <v>4015</v>
      </c>
      <c r="V969" s="238" t="s">
        <v>4016</v>
      </c>
      <c r="W969" s="236">
        <v>765</v>
      </c>
      <c r="X969" s="233">
        <v>41229</v>
      </c>
      <c r="Y969" s="238" t="s">
        <v>4015</v>
      </c>
      <c r="AA969" s="240" t="s">
        <v>2692</v>
      </c>
      <c r="AB969" s="1" t="s">
        <v>2094</v>
      </c>
    </row>
    <row r="970" spans="1:28" ht="11.25" customHeight="1">
      <c r="A970" s="233">
        <v>41229</v>
      </c>
      <c r="B970" s="1" t="s">
        <v>4009</v>
      </c>
      <c r="C970" s="5" t="s">
        <v>3819</v>
      </c>
      <c r="D970" s="1" t="s">
        <v>683</v>
      </c>
      <c r="E970" s="1" t="s">
        <v>2831</v>
      </c>
      <c r="F970" s="5">
        <v>50</v>
      </c>
      <c r="G970" s="1" t="s">
        <v>2420</v>
      </c>
      <c r="H970" s="234">
        <v>5.5</v>
      </c>
      <c r="I970" s="235">
        <f t="shared" si="69"/>
        <v>275</v>
      </c>
      <c r="J970" s="352">
        <v>3.214</v>
      </c>
      <c r="K970" s="241">
        <f>3.214*F970</f>
        <v>160.69999999999999</v>
      </c>
      <c r="L970" s="237">
        <v>41233</v>
      </c>
      <c r="M970" s="1" t="s">
        <v>2092</v>
      </c>
      <c r="N970" s="235">
        <f t="shared" si="70"/>
        <v>275</v>
      </c>
      <c r="O970" s="235">
        <f t="shared" si="66"/>
        <v>0</v>
      </c>
      <c r="P970" s="238" t="s">
        <v>4010</v>
      </c>
      <c r="Q970" s="1" t="s">
        <v>4011</v>
      </c>
      <c r="R970" s="239" t="s">
        <v>4012</v>
      </c>
      <c r="S970" s="238" t="s">
        <v>4013</v>
      </c>
      <c r="T970" s="238" t="s">
        <v>4014</v>
      </c>
      <c r="U970" s="238" t="s">
        <v>4015</v>
      </c>
      <c r="V970" s="238" t="s">
        <v>4016</v>
      </c>
      <c r="W970" s="236">
        <v>765</v>
      </c>
      <c r="X970" s="233">
        <v>41229</v>
      </c>
      <c r="Y970" s="238" t="s">
        <v>4015</v>
      </c>
      <c r="AA970" s="240" t="s">
        <v>2692</v>
      </c>
      <c r="AB970" s="1" t="s">
        <v>2094</v>
      </c>
    </row>
    <row r="971" spans="1:28" ht="11.25" customHeight="1">
      <c r="A971" s="233">
        <v>41228</v>
      </c>
      <c r="B971" s="1" t="s">
        <v>3162</v>
      </c>
      <c r="C971" s="5" t="s">
        <v>2095</v>
      </c>
      <c r="D971" s="5" t="s">
        <v>2027</v>
      </c>
      <c r="E971" s="1" t="s">
        <v>3163</v>
      </c>
      <c r="F971" s="5">
        <v>2</v>
      </c>
      <c r="G971" s="1" t="s">
        <v>3155</v>
      </c>
      <c r="H971" s="234">
        <v>45</v>
      </c>
      <c r="I971" s="236">
        <f>H971*F971</f>
        <v>90</v>
      </c>
      <c r="K971" s="241">
        <f>33.111*2</f>
        <v>66.221999999999994</v>
      </c>
      <c r="L971" s="237">
        <v>41227</v>
      </c>
      <c r="M971" s="1" t="s">
        <v>2412</v>
      </c>
      <c r="N971" s="235">
        <f t="shared" si="70"/>
        <v>90</v>
      </c>
      <c r="O971" s="235">
        <f t="shared" si="66"/>
        <v>0</v>
      </c>
      <c r="P971" s="238" t="s">
        <v>4017</v>
      </c>
      <c r="Q971" s="225" t="s">
        <v>3146</v>
      </c>
      <c r="R971" s="239" t="s">
        <v>3164</v>
      </c>
      <c r="S971" s="238" t="s">
        <v>3165</v>
      </c>
      <c r="T971" s="238" t="s">
        <v>2709</v>
      </c>
      <c r="U971" s="238" t="s">
        <v>5502</v>
      </c>
      <c r="V971" s="238" t="s">
        <v>2512</v>
      </c>
      <c r="AB971" s="225" t="s">
        <v>3142</v>
      </c>
    </row>
    <row r="972" spans="1:28" ht="11.25" customHeight="1">
      <c r="A972" s="233">
        <v>41228</v>
      </c>
      <c r="B972" s="1" t="s">
        <v>3162</v>
      </c>
      <c r="C972" s="5" t="s">
        <v>2095</v>
      </c>
      <c r="D972" s="5" t="s">
        <v>1887</v>
      </c>
      <c r="E972" s="1" t="s">
        <v>2639</v>
      </c>
      <c r="F972" s="5">
        <v>100</v>
      </c>
      <c r="G972" s="1" t="s">
        <v>2514</v>
      </c>
      <c r="H972" s="234">
        <v>2.5</v>
      </c>
      <c r="I972" s="236">
        <f>H972*F972</f>
        <v>250</v>
      </c>
      <c r="J972" s="352">
        <v>1.54</v>
      </c>
      <c r="K972" s="241">
        <f>1.54*F972</f>
        <v>154</v>
      </c>
      <c r="L972" s="237">
        <v>41227</v>
      </c>
      <c r="M972" s="1" t="s">
        <v>2412</v>
      </c>
      <c r="N972" s="235">
        <f t="shared" si="70"/>
        <v>250</v>
      </c>
      <c r="O972" s="235">
        <f t="shared" si="66"/>
        <v>0</v>
      </c>
      <c r="P972" s="238" t="s">
        <v>4017</v>
      </c>
      <c r="Q972" s="225" t="s">
        <v>3146</v>
      </c>
      <c r="R972" s="239" t="s">
        <v>3164</v>
      </c>
      <c r="S972" s="238" t="s">
        <v>3165</v>
      </c>
      <c r="T972" s="238" t="s">
        <v>2709</v>
      </c>
      <c r="U972" s="238" t="s">
        <v>5502</v>
      </c>
      <c r="V972" s="238" t="s">
        <v>2512</v>
      </c>
      <c r="AB972" s="225" t="s">
        <v>3142</v>
      </c>
    </row>
    <row r="973" spans="1:28" ht="11.25" customHeight="1">
      <c r="A973" s="233">
        <v>41229</v>
      </c>
      <c r="B973" s="1" t="s">
        <v>4018</v>
      </c>
      <c r="C973" s="5" t="s">
        <v>2095</v>
      </c>
      <c r="D973" s="5" t="s">
        <v>1906</v>
      </c>
      <c r="E973" s="1">
        <v>9032</v>
      </c>
      <c r="F973" s="5">
        <v>200</v>
      </c>
      <c r="G973" s="1" t="s">
        <v>2101</v>
      </c>
      <c r="H973" s="234">
        <v>3</v>
      </c>
      <c r="I973" s="236">
        <f>H973*F973</f>
        <v>600</v>
      </c>
      <c r="K973" s="241">
        <f>1.4929*F973</f>
        <v>298.58</v>
      </c>
      <c r="L973" s="237">
        <v>41229</v>
      </c>
      <c r="M973" s="1" t="s">
        <v>2092</v>
      </c>
      <c r="N973" s="235">
        <f t="shared" si="70"/>
        <v>600</v>
      </c>
      <c r="O973" s="235">
        <f t="shared" si="66"/>
        <v>0</v>
      </c>
      <c r="P973" s="238" t="s">
        <v>4019</v>
      </c>
      <c r="Q973" s="225" t="s">
        <v>3676</v>
      </c>
      <c r="R973" s="239" t="s">
        <v>4020</v>
      </c>
      <c r="S973" s="238" t="s">
        <v>4021</v>
      </c>
      <c r="T973" s="238" t="s">
        <v>4022</v>
      </c>
      <c r="U973" s="238" t="s">
        <v>4023</v>
      </c>
      <c r="V973" s="238" t="s">
        <v>2512</v>
      </c>
      <c r="AB973" s="1" t="s">
        <v>2094</v>
      </c>
    </row>
    <row r="974" spans="1:28" ht="12" customHeight="1">
      <c r="A974" s="233">
        <v>41229</v>
      </c>
      <c r="B974" s="1" t="s">
        <v>4018</v>
      </c>
      <c r="C974" s="5" t="s">
        <v>2095</v>
      </c>
      <c r="D974" s="1" t="s">
        <v>683</v>
      </c>
      <c r="E974" s="1" t="s">
        <v>2831</v>
      </c>
      <c r="F974" s="5">
        <v>100</v>
      </c>
      <c r="G974" s="1" t="s">
        <v>2420</v>
      </c>
      <c r="H974" s="234">
        <v>5</v>
      </c>
      <c r="I974" s="236">
        <f>H974*F974</f>
        <v>500</v>
      </c>
      <c r="J974" s="352">
        <v>3.214</v>
      </c>
      <c r="K974" s="241">
        <f>3.214*F974</f>
        <v>321.39999999999998</v>
      </c>
      <c r="L974" s="237">
        <v>41229</v>
      </c>
      <c r="M974" s="1" t="s">
        <v>2092</v>
      </c>
      <c r="N974" s="235">
        <f t="shared" si="70"/>
        <v>500</v>
      </c>
      <c r="O974" s="235">
        <f t="shared" si="66"/>
        <v>0</v>
      </c>
      <c r="P974" s="238" t="s">
        <v>4019</v>
      </c>
      <c r="Q974" s="1" t="s">
        <v>3676</v>
      </c>
      <c r="R974" s="239" t="s">
        <v>4020</v>
      </c>
      <c r="S974" s="238" t="s">
        <v>4021</v>
      </c>
      <c r="T974" s="238" t="s">
        <v>4022</v>
      </c>
      <c r="U974" s="238" t="s">
        <v>4023</v>
      </c>
      <c r="V974" s="238" t="s">
        <v>2512</v>
      </c>
      <c r="AB974" s="1" t="s">
        <v>2094</v>
      </c>
    </row>
    <row r="975" spans="1:28" ht="12" customHeight="1">
      <c r="A975" s="233">
        <v>41229</v>
      </c>
      <c r="B975" s="1" t="s">
        <v>3813</v>
      </c>
      <c r="C975" s="5" t="s">
        <v>2095</v>
      </c>
      <c r="D975" s="5" t="s">
        <v>1906</v>
      </c>
      <c r="E975" s="1">
        <v>9032</v>
      </c>
      <c r="F975" s="5">
        <v>100</v>
      </c>
      <c r="G975" s="1" t="s">
        <v>2101</v>
      </c>
      <c r="H975" s="234">
        <v>1.9</v>
      </c>
      <c r="I975" s="235">
        <v>190</v>
      </c>
      <c r="K975" s="241">
        <f>1.4929*F975</f>
        <v>149.29</v>
      </c>
      <c r="L975" s="237">
        <v>41229</v>
      </c>
      <c r="M975" s="1" t="s">
        <v>2349</v>
      </c>
      <c r="N975" s="235">
        <f t="shared" si="70"/>
        <v>190</v>
      </c>
      <c r="O975" s="235">
        <f t="shared" si="66"/>
        <v>0</v>
      </c>
      <c r="P975" s="238" t="s">
        <v>4024</v>
      </c>
      <c r="Q975" s="1" t="s">
        <v>3373</v>
      </c>
      <c r="R975" s="239" t="s">
        <v>3815</v>
      </c>
      <c r="S975" s="238" t="s">
        <v>3816</v>
      </c>
      <c r="T975" s="238" t="s">
        <v>3817</v>
      </c>
      <c r="U975" s="238" t="s">
        <v>4025</v>
      </c>
      <c r="AB975" s="1" t="s">
        <v>2551</v>
      </c>
    </row>
    <row r="976" spans="1:28" ht="11.25" customHeight="1">
      <c r="A976" s="233">
        <v>41229</v>
      </c>
      <c r="B976" s="1" t="s">
        <v>2686</v>
      </c>
      <c r="C976" s="1" t="s">
        <v>2095</v>
      </c>
      <c r="D976" s="5" t="s">
        <v>2026</v>
      </c>
      <c r="E976" s="5" t="s">
        <v>2513</v>
      </c>
      <c r="F976" s="5">
        <v>50</v>
      </c>
      <c r="G976" s="1" t="s">
        <v>5002</v>
      </c>
      <c r="H976" s="234">
        <v>2.4300000000000002</v>
      </c>
      <c r="I976" s="236">
        <f t="shared" ref="I976:I1026" si="71">H976*F976</f>
        <v>121.50000000000001</v>
      </c>
      <c r="J976" s="360">
        <v>1.4</v>
      </c>
      <c r="K976" s="241">
        <f>1.4*F976</f>
        <v>70</v>
      </c>
      <c r="L976" s="237">
        <v>41229</v>
      </c>
      <c r="M976" s="1" t="s">
        <v>2412</v>
      </c>
      <c r="N976" s="235">
        <f t="shared" si="70"/>
        <v>121.50000000000001</v>
      </c>
      <c r="O976" s="235">
        <f t="shared" si="66"/>
        <v>0</v>
      </c>
      <c r="P976" s="238" t="s">
        <v>4026</v>
      </c>
      <c r="Q976" s="1" t="s">
        <v>2679</v>
      </c>
      <c r="R976" s="239" t="s">
        <v>2688</v>
      </c>
      <c r="S976" s="238" t="s">
        <v>2689</v>
      </c>
      <c r="T976" s="238" t="s">
        <v>2690</v>
      </c>
      <c r="V976" s="238" t="s">
        <v>4027</v>
      </c>
      <c r="W976" s="236">
        <v>1873.5</v>
      </c>
      <c r="X976" s="233">
        <v>41229</v>
      </c>
      <c r="Y976" s="238" t="s">
        <v>2230</v>
      </c>
      <c r="AA976" s="240" t="s">
        <v>2692</v>
      </c>
      <c r="AB976" s="1" t="s">
        <v>2094</v>
      </c>
    </row>
    <row r="977" spans="1:28" ht="11.25" customHeight="1">
      <c r="A977" s="233">
        <v>41229</v>
      </c>
      <c r="B977" s="1" t="s">
        <v>2686</v>
      </c>
      <c r="C977" s="1" t="s">
        <v>2095</v>
      </c>
      <c r="D977" s="5" t="s">
        <v>1910</v>
      </c>
      <c r="E977" s="1" t="s">
        <v>2693</v>
      </c>
      <c r="F977" s="5">
        <v>60</v>
      </c>
      <c r="G977" s="1" t="s">
        <v>2420</v>
      </c>
      <c r="H977" s="234">
        <v>5.8</v>
      </c>
      <c r="I977" s="236">
        <f t="shared" si="71"/>
        <v>348</v>
      </c>
      <c r="K977" s="241">
        <f>3.97*F977</f>
        <v>238.20000000000002</v>
      </c>
      <c r="L977" s="237">
        <v>41229</v>
      </c>
      <c r="M977" s="1" t="s">
        <v>2412</v>
      </c>
      <c r="N977" s="235">
        <f t="shared" si="70"/>
        <v>348</v>
      </c>
      <c r="O977" s="235">
        <f t="shared" si="66"/>
        <v>0</v>
      </c>
      <c r="P977" s="238" t="s">
        <v>4026</v>
      </c>
      <c r="Q977" s="1" t="s">
        <v>2679</v>
      </c>
      <c r="R977" s="239" t="s">
        <v>2688</v>
      </c>
      <c r="S977" s="238" t="s">
        <v>2689</v>
      </c>
      <c r="T977" s="238" t="s">
        <v>2690</v>
      </c>
      <c r="V977" s="238" t="s">
        <v>4027</v>
      </c>
      <c r="W977" s="236">
        <v>1873.5</v>
      </c>
      <c r="X977" s="233">
        <v>41229</v>
      </c>
      <c r="Y977" s="238" t="s">
        <v>2230</v>
      </c>
      <c r="AA977" s="240" t="s">
        <v>2692</v>
      </c>
      <c r="AB977" s="1" t="s">
        <v>2094</v>
      </c>
    </row>
    <row r="978" spans="1:28" ht="11.25" customHeight="1">
      <c r="A978" s="233">
        <v>41229</v>
      </c>
      <c r="B978" s="1" t="s">
        <v>2686</v>
      </c>
      <c r="C978" s="1" t="s">
        <v>2095</v>
      </c>
      <c r="D978" s="5" t="s">
        <v>233</v>
      </c>
      <c r="E978" s="1" t="s">
        <v>2639</v>
      </c>
      <c r="F978" s="5">
        <v>30</v>
      </c>
      <c r="G978" s="1" t="s">
        <v>2514</v>
      </c>
      <c r="H978" s="234">
        <v>2.6</v>
      </c>
      <c r="I978" s="236">
        <f t="shared" si="71"/>
        <v>78</v>
      </c>
      <c r="K978" s="241">
        <f>1.54*30</f>
        <v>46.2</v>
      </c>
      <c r="L978" s="237">
        <v>41229</v>
      </c>
      <c r="M978" s="1" t="s">
        <v>2412</v>
      </c>
      <c r="N978" s="235">
        <f t="shared" si="70"/>
        <v>78</v>
      </c>
      <c r="O978" s="235">
        <f t="shared" si="66"/>
        <v>0</v>
      </c>
      <c r="P978" s="238" t="s">
        <v>4026</v>
      </c>
      <c r="Q978" s="1" t="s">
        <v>2679</v>
      </c>
      <c r="R978" s="239" t="s">
        <v>2688</v>
      </c>
      <c r="S978" s="238" t="s">
        <v>2689</v>
      </c>
      <c r="T978" s="238" t="s">
        <v>2690</v>
      </c>
      <c r="V978" s="238" t="s">
        <v>4027</v>
      </c>
      <c r="W978" s="236">
        <v>1873.5</v>
      </c>
      <c r="X978" s="233">
        <v>41229</v>
      </c>
      <c r="Y978" s="238" t="s">
        <v>2230</v>
      </c>
      <c r="AA978" s="240" t="s">
        <v>2692</v>
      </c>
      <c r="AB978" s="1" t="s">
        <v>2094</v>
      </c>
    </row>
    <row r="979" spans="1:28" ht="11.25" customHeight="1">
      <c r="A979" s="233">
        <v>41229</v>
      </c>
      <c r="B979" s="1" t="s">
        <v>2686</v>
      </c>
      <c r="C979" s="1" t="s">
        <v>2095</v>
      </c>
      <c r="D979" s="1" t="s">
        <v>1216</v>
      </c>
      <c r="E979" s="1">
        <v>3200</v>
      </c>
      <c r="F979" s="5">
        <v>30</v>
      </c>
      <c r="G979" s="1" t="s">
        <v>2101</v>
      </c>
      <c r="H979" s="234">
        <v>39.1</v>
      </c>
      <c r="I979" s="236">
        <f t="shared" si="71"/>
        <v>1173</v>
      </c>
      <c r="K979" s="241">
        <f>23.94*30</f>
        <v>718.2</v>
      </c>
      <c r="L979" s="237">
        <v>41229</v>
      </c>
      <c r="M979" s="1" t="s">
        <v>2412</v>
      </c>
      <c r="N979" s="235">
        <f t="shared" si="70"/>
        <v>1173</v>
      </c>
      <c r="O979" s="235">
        <f t="shared" si="66"/>
        <v>0</v>
      </c>
      <c r="P979" s="238" t="s">
        <v>4026</v>
      </c>
      <c r="Q979" s="1" t="s">
        <v>2679</v>
      </c>
      <c r="R979" s="239" t="s">
        <v>2688</v>
      </c>
      <c r="S979" s="238" t="s">
        <v>2689</v>
      </c>
      <c r="T979" s="238" t="s">
        <v>2690</v>
      </c>
      <c r="V979" s="238" t="s">
        <v>4027</v>
      </c>
      <c r="W979" s="236">
        <v>1873.5</v>
      </c>
      <c r="X979" s="233">
        <v>41229</v>
      </c>
      <c r="Y979" s="238" t="s">
        <v>2230</v>
      </c>
      <c r="AA979" s="240" t="s">
        <v>2692</v>
      </c>
      <c r="AB979" s="1" t="s">
        <v>2094</v>
      </c>
    </row>
    <row r="980" spans="1:28" ht="11.25" customHeight="1">
      <c r="A980" s="233">
        <v>41229</v>
      </c>
      <c r="B980" s="1" t="s">
        <v>2686</v>
      </c>
      <c r="C980" s="1" t="s">
        <v>2095</v>
      </c>
      <c r="D980" s="5" t="s">
        <v>348</v>
      </c>
      <c r="E980" s="1">
        <v>3700</v>
      </c>
      <c r="F980" s="5">
        <v>30</v>
      </c>
      <c r="G980" s="1" t="s">
        <v>230</v>
      </c>
      <c r="H980" s="234">
        <v>5.0999999999999996</v>
      </c>
      <c r="I980" s="236">
        <f t="shared" si="71"/>
        <v>153</v>
      </c>
      <c r="J980" s="352">
        <v>3.09</v>
      </c>
      <c r="K980" s="241">
        <f>3.09*30</f>
        <v>92.699999999999989</v>
      </c>
      <c r="L980" s="237">
        <v>41229</v>
      </c>
      <c r="M980" s="1" t="s">
        <v>2412</v>
      </c>
      <c r="N980" s="235">
        <f t="shared" si="70"/>
        <v>153</v>
      </c>
      <c r="O980" s="235">
        <f t="shared" si="66"/>
        <v>0</v>
      </c>
      <c r="P980" s="238" t="s">
        <v>4026</v>
      </c>
      <c r="Q980" s="1" t="s">
        <v>2679</v>
      </c>
      <c r="R980" s="239" t="s">
        <v>2688</v>
      </c>
      <c r="S980" s="238" t="s">
        <v>2689</v>
      </c>
      <c r="T980" s="238" t="s">
        <v>2690</v>
      </c>
      <c r="V980" s="238" t="s">
        <v>4027</v>
      </c>
      <c r="W980" s="236">
        <v>1873.5</v>
      </c>
      <c r="X980" s="233">
        <v>41229</v>
      </c>
      <c r="Y980" s="238" t="s">
        <v>2230</v>
      </c>
      <c r="AA980" s="240" t="s">
        <v>2692</v>
      </c>
      <c r="AB980" s="1" t="s">
        <v>2094</v>
      </c>
    </row>
    <row r="981" spans="1:28" ht="15" customHeight="1">
      <c r="A981" s="233">
        <v>41232</v>
      </c>
      <c r="B981" s="1" t="s">
        <v>3441</v>
      </c>
      <c r="C981" s="1" t="s">
        <v>2095</v>
      </c>
      <c r="D981" s="5" t="s">
        <v>1895</v>
      </c>
      <c r="E981" s="1" t="s">
        <v>2516</v>
      </c>
      <c r="F981" s="5">
        <v>10</v>
      </c>
      <c r="G981" s="1" t="s">
        <v>2101</v>
      </c>
      <c r="H981" s="234">
        <v>30</v>
      </c>
      <c r="I981" s="235">
        <f t="shared" si="71"/>
        <v>300</v>
      </c>
      <c r="K981" s="241">
        <f>16.5*10</f>
        <v>165</v>
      </c>
      <c r="L981" s="237">
        <v>41232</v>
      </c>
      <c r="M981" s="1" t="s">
        <v>2349</v>
      </c>
      <c r="N981" s="235">
        <f t="shared" si="70"/>
        <v>300</v>
      </c>
      <c r="O981" s="235">
        <f t="shared" si="66"/>
        <v>0</v>
      </c>
      <c r="P981" s="238" t="s">
        <v>4028</v>
      </c>
      <c r="Q981" s="1" t="s">
        <v>4029</v>
      </c>
      <c r="R981" s="239" t="s">
        <v>2959</v>
      </c>
      <c r="S981" s="238" t="s">
        <v>3983</v>
      </c>
      <c r="T981" s="238" t="s">
        <v>4030</v>
      </c>
      <c r="U981" s="238" t="s">
        <v>4031</v>
      </c>
      <c r="V981" s="246" t="s">
        <v>3447</v>
      </c>
      <c r="W981" s="236">
        <v>2365</v>
      </c>
      <c r="X981" s="233">
        <v>41234</v>
      </c>
      <c r="Y981" s="238" t="s">
        <v>3448</v>
      </c>
      <c r="AB981" s="1" t="s">
        <v>2094</v>
      </c>
    </row>
    <row r="982" spans="1:28" ht="11.25" customHeight="1">
      <c r="A982" s="233">
        <v>41232</v>
      </c>
      <c r="B982" s="1" t="s">
        <v>3441</v>
      </c>
      <c r="C982" s="1" t="s">
        <v>2095</v>
      </c>
      <c r="D982" s="5" t="s">
        <v>1887</v>
      </c>
      <c r="E982" s="1" t="s">
        <v>2123</v>
      </c>
      <c r="F982" s="5">
        <v>30</v>
      </c>
      <c r="G982" s="1" t="s">
        <v>232</v>
      </c>
      <c r="H982" s="234">
        <v>9</v>
      </c>
      <c r="I982" s="235">
        <f t="shared" si="71"/>
        <v>270</v>
      </c>
      <c r="K982" s="241">
        <f>4.78*30</f>
        <v>143.4</v>
      </c>
      <c r="L982" s="237">
        <v>41232</v>
      </c>
      <c r="M982" s="1" t="s">
        <v>2349</v>
      </c>
      <c r="N982" s="235">
        <f t="shared" si="70"/>
        <v>270</v>
      </c>
      <c r="O982" s="235">
        <f t="shared" si="66"/>
        <v>0</v>
      </c>
      <c r="P982" s="238" t="s">
        <v>4028</v>
      </c>
      <c r="Q982" s="1" t="s">
        <v>4029</v>
      </c>
      <c r="R982" s="239" t="s">
        <v>2959</v>
      </c>
      <c r="S982" s="238" t="s">
        <v>3983</v>
      </c>
      <c r="T982" s="238" t="s">
        <v>4030</v>
      </c>
      <c r="U982" s="238" t="s">
        <v>4031</v>
      </c>
      <c r="V982" s="246" t="s">
        <v>3447</v>
      </c>
      <c r="W982" s="236">
        <v>2365</v>
      </c>
      <c r="X982" s="233">
        <v>41234</v>
      </c>
      <c r="Y982" s="238" t="s">
        <v>3448</v>
      </c>
      <c r="AB982" s="1" t="s">
        <v>2094</v>
      </c>
    </row>
    <row r="983" spans="1:28" ht="11.25" customHeight="1">
      <c r="A983" s="233">
        <v>41232</v>
      </c>
      <c r="B983" s="1" t="s">
        <v>3977</v>
      </c>
      <c r="C983" s="1" t="s">
        <v>2095</v>
      </c>
      <c r="D983" s="1" t="s">
        <v>1219</v>
      </c>
      <c r="E983" s="1" t="s">
        <v>2533</v>
      </c>
      <c r="F983" s="5">
        <v>15</v>
      </c>
      <c r="G983" s="1" t="s">
        <v>2420</v>
      </c>
      <c r="H983" s="234">
        <v>13.4</v>
      </c>
      <c r="I983" s="235">
        <f t="shared" si="71"/>
        <v>201</v>
      </c>
      <c r="K983" s="250">
        <f>13*15</f>
        <v>195</v>
      </c>
      <c r="L983" s="237">
        <v>41281</v>
      </c>
      <c r="M983" s="1" t="s">
        <v>2092</v>
      </c>
      <c r="N983" s="235">
        <f t="shared" si="70"/>
        <v>201</v>
      </c>
      <c r="O983" s="235">
        <f t="shared" si="66"/>
        <v>0</v>
      </c>
      <c r="P983" s="238" t="s">
        <v>4032</v>
      </c>
      <c r="Q983" s="1" t="s">
        <v>2529</v>
      </c>
      <c r="R983" s="239" t="s">
        <v>4033</v>
      </c>
      <c r="S983" s="238">
        <v>13368068212</v>
      </c>
      <c r="T983" s="238" t="s">
        <v>2097</v>
      </c>
      <c r="U983" s="238" t="s">
        <v>2097</v>
      </c>
      <c r="V983" s="238" t="s">
        <v>4034</v>
      </c>
      <c r="W983" s="236">
        <v>11117.3</v>
      </c>
      <c r="X983" s="233">
        <v>41268</v>
      </c>
      <c r="Y983" s="238" t="s">
        <v>3980</v>
      </c>
      <c r="AB983" s="1" t="s">
        <v>2551</v>
      </c>
    </row>
    <row r="984" spans="1:28" ht="11.25" customHeight="1">
      <c r="A984" s="233">
        <v>41232</v>
      </c>
      <c r="B984" s="1" t="s">
        <v>2099</v>
      </c>
      <c r="C984" s="1" t="s">
        <v>2095</v>
      </c>
      <c r="D984" s="1" t="s">
        <v>2024</v>
      </c>
      <c r="E984" s="1">
        <v>10434</v>
      </c>
      <c r="F984" s="5">
        <v>20</v>
      </c>
      <c r="G984" s="1" t="s">
        <v>2420</v>
      </c>
      <c r="H984" s="234">
        <v>16.8</v>
      </c>
      <c r="I984" s="235">
        <f t="shared" si="71"/>
        <v>336</v>
      </c>
      <c r="K984" s="241">
        <f>14.2*20</f>
        <v>284</v>
      </c>
      <c r="L984" s="237">
        <v>41232</v>
      </c>
      <c r="M984" s="1" t="s">
        <v>2349</v>
      </c>
      <c r="N984" s="235">
        <f t="shared" si="70"/>
        <v>336</v>
      </c>
      <c r="O984" s="235">
        <f t="shared" si="66"/>
        <v>0</v>
      </c>
      <c r="P984" s="238" t="s">
        <v>4035</v>
      </c>
      <c r="Q984" s="1" t="s">
        <v>2586</v>
      </c>
      <c r="R984" s="239" t="s">
        <v>3732</v>
      </c>
      <c r="S984" s="238" t="s">
        <v>3733</v>
      </c>
      <c r="T984" s="238" t="s">
        <v>4036</v>
      </c>
      <c r="U984" s="238" t="s">
        <v>4037</v>
      </c>
      <c r="V984" s="238" t="s">
        <v>2097</v>
      </c>
      <c r="AB984" s="1" t="s">
        <v>2551</v>
      </c>
    </row>
    <row r="985" spans="1:28" ht="11.25" customHeight="1">
      <c r="A985" s="233">
        <v>41233</v>
      </c>
      <c r="B985" s="1" t="s">
        <v>4038</v>
      </c>
      <c r="C985" s="1" t="s">
        <v>2095</v>
      </c>
      <c r="D985" s="5" t="s">
        <v>1912</v>
      </c>
      <c r="E985" s="1">
        <v>6200</v>
      </c>
      <c r="F985" s="5">
        <v>30</v>
      </c>
      <c r="G985" s="1" t="s">
        <v>2101</v>
      </c>
      <c r="H985" s="234">
        <v>44.39</v>
      </c>
      <c r="I985" s="235">
        <f t="shared" si="71"/>
        <v>1331.7</v>
      </c>
      <c r="J985" s="352">
        <v>42.7</v>
      </c>
      <c r="K985" s="241" t="e">
        <f>#REF!*F985</f>
        <v>#REF!</v>
      </c>
      <c r="L985" s="237">
        <v>41232</v>
      </c>
      <c r="M985" s="1" t="s">
        <v>2349</v>
      </c>
      <c r="N985" s="235">
        <f t="shared" si="70"/>
        <v>1331.7</v>
      </c>
      <c r="O985" s="235">
        <f t="shared" si="66"/>
        <v>0</v>
      </c>
      <c r="P985" s="238" t="s">
        <v>2097</v>
      </c>
      <c r="Q985" s="1" t="s">
        <v>4039</v>
      </c>
      <c r="R985" s="239" t="s">
        <v>4040</v>
      </c>
      <c r="S985" s="238" t="s">
        <v>4041</v>
      </c>
      <c r="T985" s="238" t="s">
        <v>4042</v>
      </c>
      <c r="U985" s="238" t="s">
        <v>4043</v>
      </c>
      <c r="V985" s="238" t="s">
        <v>2512</v>
      </c>
      <c r="AB985" s="1" t="s">
        <v>2551</v>
      </c>
    </row>
    <row r="986" spans="1:28" ht="11.25" customHeight="1">
      <c r="A986" s="233">
        <v>41233</v>
      </c>
      <c r="B986" s="1" t="s">
        <v>4038</v>
      </c>
      <c r="C986" s="1" t="s">
        <v>2095</v>
      </c>
      <c r="D986" s="5" t="s">
        <v>1887</v>
      </c>
      <c r="E986" s="1" t="s">
        <v>2123</v>
      </c>
      <c r="F986" s="5">
        <v>60</v>
      </c>
      <c r="G986" s="1" t="s">
        <v>232</v>
      </c>
      <c r="H986" s="234">
        <v>5.0199999999999996</v>
      </c>
      <c r="I986" s="235">
        <f t="shared" si="71"/>
        <v>301.2</v>
      </c>
      <c r="K986" s="241">
        <f>4.78*60</f>
        <v>286.8</v>
      </c>
      <c r="L986" s="237">
        <v>41232</v>
      </c>
      <c r="M986" s="1" t="s">
        <v>2349</v>
      </c>
      <c r="N986" s="235">
        <f t="shared" si="70"/>
        <v>301.2</v>
      </c>
      <c r="O986" s="235">
        <f t="shared" si="66"/>
        <v>0</v>
      </c>
      <c r="P986" s="238" t="s">
        <v>2097</v>
      </c>
      <c r="Q986" s="1" t="s">
        <v>4039</v>
      </c>
      <c r="R986" s="239" t="s">
        <v>4040</v>
      </c>
      <c r="S986" s="238" t="s">
        <v>4041</v>
      </c>
      <c r="T986" s="238" t="s">
        <v>4042</v>
      </c>
      <c r="U986" s="238" t="s">
        <v>4043</v>
      </c>
      <c r="V986" s="238" t="s">
        <v>2512</v>
      </c>
      <c r="AB986" s="1" t="s">
        <v>2551</v>
      </c>
    </row>
    <row r="987" spans="1:28" ht="11.25" customHeight="1">
      <c r="A987" s="233">
        <v>41233</v>
      </c>
      <c r="B987" s="1" t="s">
        <v>4038</v>
      </c>
      <c r="C987" s="1" t="s">
        <v>2095</v>
      </c>
      <c r="D987" s="5" t="s">
        <v>1882</v>
      </c>
      <c r="E987" s="1">
        <v>501</v>
      </c>
      <c r="F987" s="5">
        <v>60</v>
      </c>
      <c r="G987" s="1" t="s">
        <v>2101</v>
      </c>
      <c r="H987" s="234">
        <v>1.52</v>
      </c>
      <c r="I987" s="235">
        <f t="shared" si="71"/>
        <v>91.2</v>
      </c>
      <c r="J987" s="352">
        <v>1.4</v>
      </c>
      <c r="K987" s="241">
        <f>1.4*60</f>
        <v>84</v>
      </c>
      <c r="L987" s="237">
        <v>41232</v>
      </c>
      <c r="M987" s="1" t="s">
        <v>2349</v>
      </c>
      <c r="N987" s="235">
        <f t="shared" si="70"/>
        <v>91.2</v>
      </c>
      <c r="O987" s="235">
        <f t="shared" si="66"/>
        <v>0</v>
      </c>
      <c r="P987" s="238" t="s">
        <v>2097</v>
      </c>
      <c r="Q987" s="1" t="s">
        <v>4039</v>
      </c>
      <c r="R987" s="239" t="s">
        <v>4040</v>
      </c>
      <c r="S987" s="238" t="s">
        <v>4041</v>
      </c>
      <c r="T987" s="238" t="s">
        <v>4042</v>
      </c>
      <c r="U987" s="238" t="s">
        <v>4043</v>
      </c>
      <c r="V987" s="238" t="s">
        <v>2512</v>
      </c>
      <c r="AB987" s="1" t="s">
        <v>2551</v>
      </c>
    </row>
    <row r="988" spans="1:28" ht="11.25" customHeight="1">
      <c r="A988" s="233">
        <v>41233</v>
      </c>
      <c r="B988" s="1" t="s">
        <v>4038</v>
      </c>
      <c r="C988" s="1" t="s">
        <v>2095</v>
      </c>
      <c r="D988" s="5" t="s">
        <v>1229</v>
      </c>
      <c r="E988" s="1">
        <v>6009</v>
      </c>
      <c r="F988" s="5">
        <v>60</v>
      </c>
      <c r="G988" s="1" t="s">
        <v>2101</v>
      </c>
      <c r="H988" s="234">
        <v>44.16</v>
      </c>
      <c r="I988" s="235">
        <f t="shared" si="71"/>
        <v>2649.6</v>
      </c>
      <c r="K988" s="241">
        <f>60*39</f>
        <v>2340</v>
      </c>
      <c r="L988" s="237">
        <v>41232</v>
      </c>
      <c r="M988" s="1" t="s">
        <v>2349</v>
      </c>
      <c r="N988" s="235">
        <f t="shared" si="70"/>
        <v>2649.6</v>
      </c>
      <c r="O988" s="235">
        <f t="shared" si="66"/>
        <v>0</v>
      </c>
      <c r="P988" s="238" t="s">
        <v>2097</v>
      </c>
      <c r="Q988" s="1" t="s">
        <v>4039</v>
      </c>
      <c r="R988" s="239" t="s">
        <v>4040</v>
      </c>
      <c r="S988" s="238" t="s">
        <v>4041</v>
      </c>
      <c r="T988" s="238" t="s">
        <v>4042</v>
      </c>
      <c r="U988" s="238" t="s">
        <v>4043</v>
      </c>
      <c r="V988" s="238" t="s">
        <v>2512</v>
      </c>
      <c r="AB988" s="1" t="s">
        <v>2551</v>
      </c>
    </row>
    <row r="989" spans="1:28" ht="11.25" customHeight="1">
      <c r="A989" s="233">
        <v>41233</v>
      </c>
      <c r="B989" s="1" t="s">
        <v>4038</v>
      </c>
      <c r="C989" s="1" t="s">
        <v>2095</v>
      </c>
      <c r="D989" s="5" t="s">
        <v>1895</v>
      </c>
      <c r="E989" s="1" t="s">
        <v>2516</v>
      </c>
      <c r="F989" s="5">
        <v>2</v>
      </c>
      <c r="G989" s="1" t="s">
        <v>2101</v>
      </c>
      <c r="H989" s="234">
        <v>18.239999999999998</v>
      </c>
      <c r="I989" s="235">
        <f t="shared" si="71"/>
        <v>36.479999999999997</v>
      </c>
      <c r="K989" s="241">
        <f>16.5*2</f>
        <v>33</v>
      </c>
      <c r="L989" s="237">
        <v>41232</v>
      </c>
      <c r="M989" s="1" t="s">
        <v>2349</v>
      </c>
      <c r="N989" s="235">
        <f t="shared" si="70"/>
        <v>36.479999999999997</v>
      </c>
      <c r="O989" s="235">
        <f t="shared" si="66"/>
        <v>0</v>
      </c>
      <c r="P989" s="238" t="s">
        <v>2097</v>
      </c>
      <c r="Q989" s="1" t="s">
        <v>4039</v>
      </c>
      <c r="R989" s="239" t="s">
        <v>4040</v>
      </c>
      <c r="S989" s="238" t="s">
        <v>4041</v>
      </c>
      <c r="T989" s="238" t="s">
        <v>4042</v>
      </c>
      <c r="U989" s="238" t="s">
        <v>4043</v>
      </c>
      <c r="V989" s="238" t="s">
        <v>2512</v>
      </c>
      <c r="AB989" s="1" t="s">
        <v>2551</v>
      </c>
    </row>
    <row r="990" spans="1:28" ht="11.25" customHeight="1">
      <c r="A990" s="233">
        <v>41233</v>
      </c>
      <c r="B990" s="1" t="s">
        <v>4038</v>
      </c>
      <c r="C990" s="1" t="s">
        <v>2095</v>
      </c>
      <c r="D990" s="5" t="s">
        <v>1228</v>
      </c>
      <c r="E990" s="1">
        <v>6057</v>
      </c>
      <c r="F990" s="5">
        <v>2</v>
      </c>
      <c r="G990" s="1" t="s">
        <v>2101</v>
      </c>
      <c r="H990" s="234">
        <v>57.6</v>
      </c>
      <c r="I990" s="235">
        <f t="shared" si="71"/>
        <v>115.2</v>
      </c>
      <c r="K990" s="241">
        <f>55.2948</f>
        <v>55.294800000000002</v>
      </c>
      <c r="L990" s="237">
        <v>41232</v>
      </c>
      <c r="M990" s="1" t="s">
        <v>2349</v>
      </c>
      <c r="N990" s="235">
        <f t="shared" si="70"/>
        <v>115.2</v>
      </c>
      <c r="O990" s="235">
        <f t="shared" si="66"/>
        <v>0</v>
      </c>
      <c r="P990" s="238" t="s">
        <v>2097</v>
      </c>
      <c r="Q990" s="1" t="s">
        <v>4039</v>
      </c>
      <c r="R990" s="239" t="s">
        <v>4040</v>
      </c>
      <c r="S990" s="238" t="s">
        <v>4041</v>
      </c>
      <c r="T990" s="238" t="s">
        <v>4042</v>
      </c>
      <c r="U990" s="238" t="s">
        <v>4043</v>
      </c>
      <c r="V990" s="238" t="s">
        <v>2512</v>
      </c>
      <c r="AB990" s="1" t="s">
        <v>2551</v>
      </c>
    </row>
    <row r="991" spans="1:28" ht="11.25" customHeight="1">
      <c r="A991" s="233">
        <v>41233</v>
      </c>
      <c r="B991" s="1" t="s">
        <v>4038</v>
      </c>
      <c r="C991" s="1" t="s">
        <v>2095</v>
      </c>
      <c r="D991" s="5" t="s">
        <v>1880</v>
      </c>
      <c r="E991" s="1">
        <v>6006</v>
      </c>
      <c r="F991" s="5">
        <v>2</v>
      </c>
      <c r="G991" s="1" t="s">
        <v>2101</v>
      </c>
      <c r="H991" s="234">
        <v>50.88</v>
      </c>
      <c r="I991" s="235">
        <f t="shared" si="71"/>
        <v>101.76</v>
      </c>
      <c r="K991" s="254">
        <f>46.53*2</f>
        <v>93.06</v>
      </c>
      <c r="L991" s="237">
        <v>41232</v>
      </c>
      <c r="M991" s="1" t="s">
        <v>2349</v>
      </c>
      <c r="N991" s="235">
        <f t="shared" si="70"/>
        <v>101.76</v>
      </c>
      <c r="O991" s="235">
        <f t="shared" si="66"/>
        <v>0</v>
      </c>
      <c r="P991" s="238" t="s">
        <v>2097</v>
      </c>
      <c r="Q991" s="1" t="s">
        <v>4039</v>
      </c>
      <c r="R991" s="239" t="s">
        <v>4040</v>
      </c>
      <c r="S991" s="238" t="s">
        <v>4041</v>
      </c>
      <c r="T991" s="238" t="s">
        <v>4042</v>
      </c>
      <c r="U991" s="238" t="s">
        <v>4043</v>
      </c>
      <c r="V991" s="238" t="s">
        <v>2512</v>
      </c>
      <c r="Z991" s="255" t="s">
        <v>2573</v>
      </c>
      <c r="AB991" s="1" t="s">
        <v>2551</v>
      </c>
    </row>
    <row r="992" spans="1:28" ht="11.25" customHeight="1">
      <c r="A992" s="233">
        <v>41233</v>
      </c>
      <c r="B992" s="5" t="s">
        <v>2738</v>
      </c>
      <c r="C992" s="5" t="s">
        <v>2095</v>
      </c>
      <c r="D992" s="5" t="s">
        <v>241</v>
      </c>
      <c r="E992" s="5">
        <v>6200</v>
      </c>
      <c r="F992" s="5">
        <v>76</v>
      </c>
      <c r="G992" s="5" t="s">
        <v>2101</v>
      </c>
      <c r="H992" s="243">
        <v>79.400000000000006</v>
      </c>
      <c r="I992" s="235">
        <f t="shared" si="71"/>
        <v>6034.4000000000005</v>
      </c>
      <c r="J992" s="352">
        <v>42.7</v>
      </c>
      <c r="K992" s="241">
        <f>42.7*F992</f>
        <v>3245.2000000000003</v>
      </c>
      <c r="L992" s="237" t="s">
        <v>5034</v>
      </c>
      <c r="M992" s="1" t="s">
        <v>168</v>
      </c>
      <c r="N992" s="235">
        <f t="shared" si="70"/>
        <v>6034.4000000000005</v>
      </c>
      <c r="O992" s="235">
        <f t="shared" si="66"/>
        <v>0</v>
      </c>
      <c r="P992" s="238" t="s">
        <v>4044</v>
      </c>
      <c r="Q992" s="1" t="s">
        <v>4045</v>
      </c>
      <c r="R992" s="239" t="s">
        <v>2741</v>
      </c>
      <c r="S992" s="238" t="s">
        <v>3521</v>
      </c>
      <c r="T992" s="238" t="s">
        <v>799</v>
      </c>
      <c r="U992" s="238" t="s">
        <v>4046</v>
      </c>
      <c r="V992" s="278" t="s">
        <v>4047</v>
      </c>
      <c r="W992" s="251">
        <v>6320.4</v>
      </c>
      <c r="X992" s="279">
        <v>41234</v>
      </c>
      <c r="Y992" s="278" t="s">
        <v>4048</v>
      </c>
      <c r="Z992" s="280" t="s">
        <v>4049</v>
      </c>
      <c r="AA992" s="240" t="s">
        <v>2746</v>
      </c>
      <c r="AB992" s="1" t="s">
        <v>2094</v>
      </c>
    </row>
    <row r="993" spans="1:28" ht="11.25" customHeight="1">
      <c r="A993" s="233">
        <v>41233</v>
      </c>
      <c r="B993" s="5" t="s">
        <v>2738</v>
      </c>
      <c r="C993" s="5" t="s">
        <v>2095</v>
      </c>
      <c r="D993" s="5" t="s">
        <v>1895</v>
      </c>
      <c r="E993" s="5" t="s">
        <v>2516</v>
      </c>
      <c r="F993" s="5">
        <v>10</v>
      </c>
      <c r="G993" s="5" t="s">
        <v>2101</v>
      </c>
      <c r="H993" s="243">
        <v>28.6</v>
      </c>
      <c r="I993" s="235">
        <f t="shared" si="71"/>
        <v>286</v>
      </c>
      <c r="K993" s="241">
        <f>16.5*10</f>
        <v>165</v>
      </c>
      <c r="L993" s="237" t="s">
        <v>5034</v>
      </c>
      <c r="M993" s="1" t="s">
        <v>5034</v>
      </c>
      <c r="N993" s="235">
        <f t="shared" si="70"/>
        <v>286</v>
      </c>
      <c r="O993" s="235">
        <f t="shared" si="66"/>
        <v>0</v>
      </c>
      <c r="P993" s="238" t="s">
        <v>4044</v>
      </c>
      <c r="Q993" s="1" t="s">
        <v>4045</v>
      </c>
      <c r="R993" s="239" t="s">
        <v>2741</v>
      </c>
      <c r="S993" s="238" t="s">
        <v>3521</v>
      </c>
      <c r="T993" s="238" t="s">
        <v>799</v>
      </c>
      <c r="U993" s="238" t="s">
        <v>4046</v>
      </c>
      <c r="V993" s="278" t="s">
        <v>4047</v>
      </c>
      <c r="W993" s="251">
        <v>6320.4</v>
      </c>
      <c r="X993" s="279">
        <v>41234</v>
      </c>
      <c r="Y993" s="278" t="s">
        <v>4048</v>
      </c>
      <c r="Z993" s="280" t="s">
        <v>4049</v>
      </c>
      <c r="AA993" s="240" t="s">
        <v>2746</v>
      </c>
      <c r="AB993" s="1" t="s">
        <v>2094</v>
      </c>
    </row>
    <row r="994" spans="1:28" ht="11.25" customHeight="1">
      <c r="A994" s="233">
        <v>41233</v>
      </c>
      <c r="B994" s="1" t="s">
        <v>4050</v>
      </c>
      <c r="C994" s="1" t="s">
        <v>2095</v>
      </c>
      <c r="D994" s="5" t="s">
        <v>1721</v>
      </c>
      <c r="E994" s="1">
        <v>9010</v>
      </c>
      <c r="F994" s="5">
        <v>2</v>
      </c>
      <c r="G994" s="1" t="s">
        <v>2101</v>
      </c>
      <c r="H994" s="234">
        <v>3.4</v>
      </c>
      <c r="I994" s="235">
        <f t="shared" si="71"/>
        <v>6.8</v>
      </c>
      <c r="K994" s="254">
        <f>1.9*2</f>
        <v>3.8</v>
      </c>
      <c r="L994" s="237">
        <v>41233</v>
      </c>
      <c r="M994" s="1" t="s">
        <v>2349</v>
      </c>
      <c r="N994" s="235">
        <f t="shared" si="70"/>
        <v>6.8</v>
      </c>
      <c r="O994" s="235">
        <f t="shared" si="66"/>
        <v>0</v>
      </c>
      <c r="P994" s="238" t="s">
        <v>4051</v>
      </c>
      <c r="Q994" s="1" t="s">
        <v>4029</v>
      </c>
      <c r="R994" s="239" t="s">
        <v>4052</v>
      </c>
      <c r="S994" s="238" t="s">
        <v>4053</v>
      </c>
      <c r="T994" s="238" t="s">
        <v>4054</v>
      </c>
      <c r="U994" s="238" t="s">
        <v>4055</v>
      </c>
      <c r="V994" s="238" t="s">
        <v>2512</v>
      </c>
      <c r="Z994" s="255" t="s">
        <v>2573</v>
      </c>
      <c r="AB994" s="1" t="s">
        <v>2551</v>
      </c>
    </row>
    <row r="995" spans="1:28" ht="11.25" customHeight="1">
      <c r="A995" s="233">
        <v>41233</v>
      </c>
      <c r="B995" s="1" t="s">
        <v>4050</v>
      </c>
      <c r="C995" s="1" t="s">
        <v>2095</v>
      </c>
      <c r="D995" s="1" t="s">
        <v>1219</v>
      </c>
      <c r="E995" s="1" t="s">
        <v>2533</v>
      </c>
      <c r="F995" s="5">
        <v>1</v>
      </c>
      <c r="G995" s="1" t="s">
        <v>2420</v>
      </c>
      <c r="H995" s="234">
        <v>15</v>
      </c>
      <c r="I995" s="235">
        <f t="shared" si="71"/>
        <v>15</v>
      </c>
      <c r="K995" s="250">
        <f>13*1</f>
        <v>13</v>
      </c>
      <c r="L995" s="237">
        <v>41233</v>
      </c>
      <c r="M995" s="1" t="s">
        <v>2349</v>
      </c>
      <c r="N995" s="235">
        <f t="shared" si="70"/>
        <v>15</v>
      </c>
      <c r="O995" s="235">
        <f t="shared" si="66"/>
        <v>0</v>
      </c>
      <c r="P995" s="238" t="s">
        <v>4051</v>
      </c>
      <c r="Q995" s="1" t="s">
        <v>4029</v>
      </c>
      <c r="R995" s="239" t="s">
        <v>4052</v>
      </c>
      <c r="S995" s="238" t="s">
        <v>4053</v>
      </c>
      <c r="T995" s="238" t="s">
        <v>4054</v>
      </c>
      <c r="U995" s="238" t="s">
        <v>4055</v>
      </c>
      <c r="V995" s="238" t="s">
        <v>2512</v>
      </c>
      <c r="AB995" s="1" t="s">
        <v>2551</v>
      </c>
    </row>
    <row r="996" spans="1:28" ht="11.25" customHeight="1">
      <c r="A996" s="233">
        <v>41233</v>
      </c>
      <c r="B996" s="1" t="s">
        <v>4050</v>
      </c>
      <c r="C996" s="1" t="s">
        <v>1335</v>
      </c>
      <c r="D996" s="95" t="s">
        <v>5040</v>
      </c>
      <c r="E996" s="1" t="s">
        <v>3614</v>
      </c>
      <c r="F996" s="5">
        <v>2</v>
      </c>
      <c r="G996" s="1" t="s">
        <v>2847</v>
      </c>
      <c r="H996" s="234">
        <v>15</v>
      </c>
      <c r="I996" s="235">
        <f t="shared" si="71"/>
        <v>30</v>
      </c>
      <c r="K996" s="241">
        <f>10*2</f>
        <v>20</v>
      </c>
      <c r="L996" s="237">
        <v>41233</v>
      </c>
      <c r="M996" s="1" t="s">
        <v>2349</v>
      </c>
      <c r="N996" s="235">
        <f t="shared" si="70"/>
        <v>30</v>
      </c>
      <c r="O996" s="235">
        <f t="shared" si="66"/>
        <v>0</v>
      </c>
      <c r="P996" s="238" t="s">
        <v>4051</v>
      </c>
      <c r="Q996" s="1" t="s">
        <v>4029</v>
      </c>
      <c r="R996" s="239" t="s">
        <v>4052</v>
      </c>
      <c r="S996" s="238" t="s">
        <v>4053</v>
      </c>
      <c r="T996" s="238" t="s">
        <v>4054</v>
      </c>
      <c r="U996" s="238" t="s">
        <v>4055</v>
      </c>
      <c r="V996" s="238" t="s">
        <v>2512</v>
      </c>
      <c r="AB996" s="1" t="s">
        <v>2551</v>
      </c>
    </row>
    <row r="997" spans="1:28" ht="11.25" customHeight="1">
      <c r="A997" s="233">
        <v>41233</v>
      </c>
      <c r="B997" s="1" t="s">
        <v>4050</v>
      </c>
      <c r="C997" s="1" t="s">
        <v>2095</v>
      </c>
      <c r="D997" s="5" t="s">
        <v>2032</v>
      </c>
      <c r="E997" s="1">
        <v>4620</v>
      </c>
      <c r="F997" s="5">
        <v>1</v>
      </c>
      <c r="G997" s="1" t="s">
        <v>2553</v>
      </c>
      <c r="H997" s="234">
        <v>21</v>
      </c>
      <c r="I997" s="235">
        <f t="shared" si="71"/>
        <v>21</v>
      </c>
      <c r="K997" s="241">
        <f>17.79*1</f>
        <v>17.79</v>
      </c>
      <c r="L997" s="237">
        <v>41233</v>
      </c>
      <c r="M997" s="1" t="s">
        <v>2349</v>
      </c>
      <c r="N997" s="235">
        <f t="shared" si="70"/>
        <v>21</v>
      </c>
      <c r="O997" s="235">
        <f t="shared" si="66"/>
        <v>0</v>
      </c>
      <c r="P997" s="238" t="s">
        <v>4051</v>
      </c>
      <c r="Q997" s="1" t="s">
        <v>4029</v>
      </c>
      <c r="R997" s="239" t="s">
        <v>4052</v>
      </c>
      <c r="S997" s="238" t="s">
        <v>4053</v>
      </c>
      <c r="T997" s="238" t="s">
        <v>4054</v>
      </c>
      <c r="U997" s="238" t="s">
        <v>4055</v>
      </c>
      <c r="V997" s="238" t="s">
        <v>2512</v>
      </c>
      <c r="AB997" s="1" t="s">
        <v>2551</v>
      </c>
    </row>
    <row r="998" spans="1:28" ht="12" customHeight="1">
      <c r="A998" s="233">
        <v>41234</v>
      </c>
      <c r="B998" s="1" t="s">
        <v>3977</v>
      </c>
      <c r="C998" s="1" t="s">
        <v>2095</v>
      </c>
      <c r="D998" s="5" t="s">
        <v>32</v>
      </c>
      <c r="E998" s="1">
        <v>11394</v>
      </c>
      <c r="F998" s="5">
        <v>10</v>
      </c>
      <c r="G998" s="1" t="s">
        <v>2420</v>
      </c>
      <c r="H998" s="234">
        <v>20</v>
      </c>
      <c r="I998" s="235">
        <f t="shared" si="71"/>
        <v>200</v>
      </c>
      <c r="K998" s="241">
        <f>19.43*3+18.78*7</f>
        <v>189.75</v>
      </c>
      <c r="L998" s="237">
        <v>41281</v>
      </c>
      <c r="M998" s="1" t="s">
        <v>2092</v>
      </c>
      <c r="N998" s="235">
        <f t="shared" si="70"/>
        <v>200</v>
      </c>
      <c r="O998" s="235">
        <f t="shared" si="66"/>
        <v>0</v>
      </c>
      <c r="P998" s="238" t="s">
        <v>4056</v>
      </c>
      <c r="Q998" s="1" t="s">
        <v>2529</v>
      </c>
      <c r="R998" s="239" t="s">
        <v>4033</v>
      </c>
      <c r="S998" s="238">
        <v>13368068212</v>
      </c>
      <c r="T998" s="238" t="s">
        <v>2097</v>
      </c>
      <c r="U998" s="238" t="s">
        <v>2097</v>
      </c>
      <c r="V998" s="238" t="s">
        <v>4034</v>
      </c>
      <c r="W998" s="236">
        <v>11117.3</v>
      </c>
      <c r="X998" s="233">
        <v>41268</v>
      </c>
      <c r="Y998" s="238" t="s">
        <v>3980</v>
      </c>
      <c r="AB998" s="1" t="s">
        <v>2551</v>
      </c>
    </row>
    <row r="999" spans="1:28" ht="11.25" customHeight="1">
      <c r="A999" s="233">
        <v>41234</v>
      </c>
      <c r="B999" s="1" t="s">
        <v>2589</v>
      </c>
      <c r="C999" s="1" t="s">
        <v>2095</v>
      </c>
      <c r="D999" s="5" t="s">
        <v>1943</v>
      </c>
      <c r="E999" s="1" t="s">
        <v>2814</v>
      </c>
      <c r="F999" s="5">
        <v>200</v>
      </c>
      <c r="G999" s="1" t="s">
        <v>2514</v>
      </c>
      <c r="H999" s="234">
        <v>5.6</v>
      </c>
      <c r="I999" s="235">
        <f t="shared" si="71"/>
        <v>1120</v>
      </c>
      <c r="K999" s="241">
        <f>5*200</f>
        <v>1000</v>
      </c>
      <c r="L999" s="237">
        <v>41338</v>
      </c>
      <c r="M999" s="1" t="s">
        <v>166</v>
      </c>
      <c r="N999" s="235">
        <f t="shared" si="70"/>
        <v>1120</v>
      </c>
      <c r="O999" s="235">
        <f t="shared" si="66"/>
        <v>0</v>
      </c>
      <c r="P999" s="238" t="s">
        <v>4057</v>
      </c>
      <c r="Q999" s="1" t="s">
        <v>2993</v>
      </c>
      <c r="R999" s="239" t="s">
        <v>2591</v>
      </c>
      <c r="S999" s="238" t="s">
        <v>2592</v>
      </c>
      <c r="T999" s="238" t="s">
        <v>3940</v>
      </c>
      <c r="U999" s="238" t="s">
        <v>4058</v>
      </c>
      <c r="V999" s="238" t="s">
        <v>2512</v>
      </c>
      <c r="AB999" s="1" t="s">
        <v>2551</v>
      </c>
    </row>
    <row r="1000" spans="1:28" ht="11.25" customHeight="1">
      <c r="A1000" s="233">
        <v>41234</v>
      </c>
      <c r="B1000" s="5" t="s">
        <v>1296</v>
      </c>
      <c r="C1000" s="1" t="s">
        <v>2095</v>
      </c>
      <c r="D1000" s="5" t="s">
        <v>857</v>
      </c>
      <c r="E1000" s="1">
        <v>9031</v>
      </c>
      <c r="F1000" s="5">
        <v>100</v>
      </c>
      <c r="G1000" s="232" t="s">
        <v>3134</v>
      </c>
      <c r="H1000" s="234">
        <v>2.6</v>
      </c>
      <c r="I1000" s="235">
        <f t="shared" si="71"/>
        <v>260</v>
      </c>
      <c r="K1000" s="241">
        <f>1.4929*100</f>
        <v>149.29</v>
      </c>
      <c r="L1000" s="237">
        <v>41234</v>
      </c>
      <c r="M1000" s="1" t="s">
        <v>2349</v>
      </c>
      <c r="N1000" s="235">
        <f t="shared" si="70"/>
        <v>260</v>
      </c>
      <c r="O1000" s="235">
        <f t="shared" ref="O1000:O1005" si="72">I1000-N1000</f>
        <v>0</v>
      </c>
      <c r="P1000" s="238" t="s">
        <v>4059</v>
      </c>
      <c r="Q1000" s="1" t="s">
        <v>4060</v>
      </c>
      <c r="R1000" s="239" t="s">
        <v>2988</v>
      </c>
      <c r="S1000" s="238" t="s">
        <v>2989</v>
      </c>
      <c r="T1000" s="238" t="s">
        <v>4061</v>
      </c>
      <c r="U1000" s="238" t="s">
        <v>4062</v>
      </c>
      <c r="V1000" s="238" t="s">
        <v>2512</v>
      </c>
      <c r="AB1000" s="1" t="s">
        <v>2094</v>
      </c>
    </row>
    <row r="1001" spans="1:28" ht="11.25" customHeight="1">
      <c r="A1001" s="233">
        <v>41234</v>
      </c>
      <c r="B1001" s="5" t="s">
        <v>1296</v>
      </c>
      <c r="C1001" s="1" t="s">
        <v>2095</v>
      </c>
      <c r="D1001" s="5" t="s">
        <v>2055</v>
      </c>
      <c r="E1001" s="1" t="s">
        <v>3641</v>
      </c>
      <c r="F1001" s="5">
        <v>10</v>
      </c>
      <c r="G1001" s="1" t="s">
        <v>2420</v>
      </c>
      <c r="H1001" s="234">
        <v>2</v>
      </c>
      <c r="I1001" s="235">
        <f t="shared" si="71"/>
        <v>20</v>
      </c>
      <c r="K1001" s="241">
        <f>1.178*10</f>
        <v>11.78</v>
      </c>
      <c r="L1001" s="237">
        <v>41234</v>
      </c>
      <c r="M1001" s="1" t="s">
        <v>2349</v>
      </c>
      <c r="N1001" s="235">
        <f t="shared" si="70"/>
        <v>20</v>
      </c>
      <c r="O1001" s="235">
        <f t="shared" si="72"/>
        <v>0</v>
      </c>
      <c r="P1001" s="238" t="s">
        <v>4059</v>
      </c>
      <c r="Q1001" s="1" t="s">
        <v>4060</v>
      </c>
      <c r="R1001" s="239" t="s">
        <v>2988</v>
      </c>
      <c r="S1001" s="238" t="s">
        <v>2989</v>
      </c>
      <c r="T1001" s="238" t="s">
        <v>4061</v>
      </c>
      <c r="U1001" s="238" t="s">
        <v>4062</v>
      </c>
      <c r="V1001" s="238" t="s">
        <v>2512</v>
      </c>
      <c r="AB1001" s="1" t="s">
        <v>2094</v>
      </c>
    </row>
    <row r="1002" spans="1:28" ht="11.25" customHeight="1">
      <c r="A1002" s="233">
        <v>41236</v>
      </c>
      <c r="B1002" s="1" t="s">
        <v>2716</v>
      </c>
      <c r="C1002" s="1" t="s">
        <v>2095</v>
      </c>
      <c r="D1002" s="1" t="s">
        <v>2038</v>
      </c>
      <c r="E1002" s="1" t="s">
        <v>2717</v>
      </c>
      <c r="F1002" s="5">
        <v>250</v>
      </c>
      <c r="G1002" s="1" t="s">
        <v>2514</v>
      </c>
      <c r="H1002" s="234">
        <v>4.3</v>
      </c>
      <c r="I1002" s="235">
        <f t="shared" si="71"/>
        <v>1075</v>
      </c>
      <c r="J1002" s="360"/>
      <c r="K1002" s="241">
        <f>3.59*250</f>
        <v>897.5</v>
      </c>
      <c r="L1002" s="237">
        <v>41236</v>
      </c>
      <c r="M1002" s="1" t="s">
        <v>2349</v>
      </c>
      <c r="N1002" s="235">
        <f t="shared" si="70"/>
        <v>1075</v>
      </c>
      <c r="O1002" s="235">
        <f t="shared" si="72"/>
        <v>0</v>
      </c>
      <c r="P1002" s="238" t="s">
        <v>4063</v>
      </c>
      <c r="Q1002" s="1" t="s">
        <v>3693</v>
      </c>
      <c r="R1002" s="239" t="s">
        <v>2712</v>
      </c>
      <c r="S1002" s="238" t="s">
        <v>2713</v>
      </c>
      <c r="T1002" s="238" t="s">
        <v>2581</v>
      </c>
      <c r="U1002" s="238" t="s">
        <v>4064</v>
      </c>
      <c r="V1002" s="238" t="s">
        <v>4065</v>
      </c>
      <c r="W1002" s="236">
        <v>1075</v>
      </c>
      <c r="X1002" s="233">
        <v>41267</v>
      </c>
      <c r="Y1002" s="238" t="s">
        <v>5327</v>
      </c>
      <c r="AB1002" s="1" t="s">
        <v>2551</v>
      </c>
    </row>
    <row r="1003" spans="1:28" ht="11.25" customHeight="1">
      <c r="A1003" s="233">
        <v>41236</v>
      </c>
      <c r="B1003" s="1" t="s">
        <v>3788</v>
      </c>
      <c r="C1003" s="1" t="s">
        <v>2095</v>
      </c>
      <c r="D1003" s="5" t="s">
        <v>1952</v>
      </c>
      <c r="E1003" s="1" t="s">
        <v>2595</v>
      </c>
      <c r="F1003" s="1">
        <v>1000</v>
      </c>
      <c r="G1003" s="1" t="s">
        <v>2514</v>
      </c>
      <c r="H1003" s="234">
        <v>2.44</v>
      </c>
      <c r="I1003" s="235">
        <f t="shared" si="71"/>
        <v>2440</v>
      </c>
      <c r="J1003" s="360"/>
      <c r="K1003" s="241">
        <f>2.3*F1003</f>
        <v>2300</v>
      </c>
      <c r="L1003" s="237">
        <v>41236</v>
      </c>
      <c r="M1003" s="1" t="s">
        <v>2092</v>
      </c>
      <c r="N1003" s="235">
        <f t="shared" si="70"/>
        <v>2440</v>
      </c>
      <c r="O1003" s="235">
        <f t="shared" si="72"/>
        <v>0</v>
      </c>
      <c r="P1003" s="238" t="s">
        <v>4066</v>
      </c>
      <c r="Q1003" s="1" t="s">
        <v>3693</v>
      </c>
      <c r="R1003" s="239" t="s">
        <v>3790</v>
      </c>
      <c r="S1003" s="238" t="s">
        <v>3791</v>
      </c>
      <c r="T1003" s="238" t="s">
        <v>2581</v>
      </c>
      <c r="U1003" s="238" t="s">
        <v>4067</v>
      </c>
      <c r="V1003" s="238" t="s">
        <v>4068</v>
      </c>
      <c r="W1003" s="236">
        <v>2440</v>
      </c>
      <c r="X1003" s="233">
        <v>41267</v>
      </c>
      <c r="Y1003" s="238" t="s">
        <v>5326</v>
      </c>
      <c r="AB1003" s="1" t="s">
        <v>2551</v>
      </c>
    </row>
    <row r="1004" spans="1:28" ht="11.25" customHeight="1">
      <c r="A1004" s="233">
        <v>41236</v>
      </c>
      <c r="B1004" s="136" t="s">
        <v>4069</v>
      </c>
      <c r="C1004" s="1" t="s">
        <v>2095</v>
      </c>
      <c r="D1004" s="5" t="s">
        <v>70</v>
      </c>
      <c r="E1004" s="1">
        <v>1100</v>
      </c>
      <c r="F1004" s="1">
        <v>200</v>
      </c>
      <c r="G1004" s="1" t="s">
        <v>2420</v>
      </c>
      <c r="H1004" s="234">
        <v>0.8</v>
      </c>
      <c r="I1004" s="235">
        <f t="shared" si="71"/>
        <v>160</v>
      </c>
      <c r="K1004" s="241">
        <f>0.375*200</f>
        <v>75</v>
      </c>
      <c r="N1004" s="235">
        <v>0</v>
      </c>
      <c r="O1004" s="235">
        <f t="shared" si="72"/>
        <v>160</v>
      </c>
      <c r="P1004" s="238" t="s">
        <v>4070</v>
      </c>
      <c r="Q1004" s="1" t="s">
        <v>3811</v>
      </c>
      <c r="R1004" s="239" t="s">
        <v>4071</v>
      </c>
      <c r="S1004" s="238" t="s">
        <v>4072</v>
      </c>
      <c r="T1004" s="238" t="s">
        <v>4073</v>
      </c>
      <c r="U1004" s="238" t="s">
        <v>4074</v>
      </c>
      <c r="V1004" s="238" t="s">
        <v>5541</v>
      </c>
      <c r="W1004" s="236">
        <v>1070</v>
      </c>
      <c r="X1004" s="233">
        <v>41346</v>
      </c>
      <c r="AB1004" s="1" t="s">
        <v>2094</v>
      </c>
    </row>
    <row r="1005" spans="1:28" ht="11.25" customHeight="1">
      <c r="A1005" s="233">
        <v>41236</v>
      </c>
      <c r="B1005" s="136" t="s">
        <v>4069</v>
      </c>
      <c r="C1005" s="1" t="s">
        <v>2095</v>
      </c>
      <c r="D1005" s="5" t="s">
        <v>1905</v>
      </c>
      <c r="E1005" s="1">
        <v>9032</v>
      </c>
      <c r="F1005" s="1">
        <v>50</v>
      </c>
      <c r="G1005" s="1" t="s">
        <v>2101</v>
      </c>
      <c r="H1005" s="234">
        <v>2.6</v>
      </c>
      <c r="I1005" s="235">
        <f t="shared" si="71"/>
        <v>130</v>
      </c>
      <c r="K1005" s="241">
        <f>1.4929*20</f>
        <v>29.857999999999997</v>
      </c>
      <c r="N1005" s="235">
        <v>0</v>
      </c>
      <c r="O1005" s="235">
        <f t="shared" si="72"/>
        <v>130</v>
      </c>
      <c r="P1005" s="238" t="s">
        <v>4070</v>
      </c>
      <c r="Q1005" s="1" t="s">
        <v>3811</v>
      </c>
      <c r="R1005" s="239" t="s">
        <v>4071</v>
      </c>
      <c r="S1005" s="238" t="s">
        <v>4072</v>
      </c>
      <c r="T1005" s="238" t="s">
        <v>4073</v>
      </c>
      <c r="U1005" s="238" t="s">
        <v>4074</v>
      </c>
      <c r="V1005" s="238" t="s">
        <v>5541</v>
      </c>
      <c r="W1005" s="236">
        <v>1070</v>
      </c>
      <c r="X1005" s="233">
        <v>41346</v>
      </c>
      <c r="AB1005" s="1" t="s">
        <v>2094</v>
      </c>
    </row>
    <row r="1006" spans="1:28" ht="11.25" customHeight="1">
      <c r="A1006" s="233">
        <v>41239</v>
      </c>
      <c r="B1006" s="1" t="s">
        <v>2099</v>
      </c>
      <c r="C1006" s="1" t="s">
        <v>2095</v>
      </c>
      <c r="D1006" s="5" t="s">
        <v>2045</v>
      </c>
      <c r="E1006" s="1" t="s">
        <v>3367</v>
      </c>
      <c r="F1006" s="1">
        <v>20</v>
      </c>
      <c r="G1006" s="1" t="s">
        <v>3155</v>
      </c>
      <c r="H1006" s="234">
        <v>47.6</v>
      </c>
      <c r="I1006" s="235">
        <f t="shared" si="71"/>
        <v>952</v>
      </c>
      <c r="K1006" s="241">
        <f>42.939*20</f>
        <v>858.78</v>
      </c>
      <c r="L1006" s="237">
        <v>41239</v>
      </c>
      <c r="M1006" s="1" t="s">
        <v>2349</v>
      </c>
      <c r="N1006" s="235">
        <f t="shared" si="70"/>
        <v>952</v>
      </c>
      <c r="O1006" s="235">
        <f t="shared" ref="O1006:O1017" si="73">I1006-N1006</f>
        <v>0</v>
      </c>
      <c r="P1006" s="238" t="s">
        <v>4075</v>
      </c>
      <c r="Q1006" s="1" t="s">
        <v>2586</v>
      </c>
      <c r="R1006" s="239" t="s">
        <v>3732</v>
      </c>
      <c r="S1006" s="238" t="s">
        <v>3733</v>
      </c>
      <c r="T1006" s="238" t="s">
        <v>4036</v>
      </c>
      <c r="U1006" s="238" t="s">
        <v>4076</v>
      </c>
      <c r="V1006" s="238" t="s">
        <v>2097</v>
      </c>
      <c r="AB1006" s="1" t="s">
        <v>2551</v>
      </c>
    </row>
    <row r="1007" spans="1:28" ht="11.25" customHeight="1">
      <c r="A1007" s="233">
        <v>41239</v>
      </c>
      <c r="B1007" s="1" t="s">
        <v>2099</v>
      </c>
      <c r="C1007" s="1" t="s">
        <v>2095</v>
      </c>
      <c r="D1007" s="5" t="s">
        <v>1906</v>
      </c>
      <c r="E1007" s="1">
        <v>9032</v>
      </c>
      <c r="F1007" s="1">
        <v>500</v>
      </c>
      <c r="G1007" s="1" t="s">
        <v>2101</v>
      </c>
      <c r="H1007" s="234">
        <v>1.73</v>
      </c>
      <c r="I1007" s="235">
        <f t="shared" si="71"/>
        <v>865</v>
      </c>
      <c r="K1007" s="241">
        <f>1.4929*500</f>
        <v>746.44999999999993</v>
      </c>
      <c r="L1007" s="237">
        <v>41239</v>
      </c>
      <c r="M1007" s="1" t="s">
        <v>2349</v>
      </c>
      <c r="N1007" s="235">
        <f t="shared" si="70"/>
        <v>865</v>
      </c>
      <c r="O1007" s="235">
        <f t="shared" si="73"/>
        <v>0</v>
      </c>
      <c r="P1007" s="238" t="s">
        <v>4075</v>
      </c>
      <c r="Q1007" s="1" t="s">
        <v>2586</v>
      </c>
      <c r="R1007" s="239" t="s">
        <v>3732</v>
      </c>
      <c r="S1007" s="238" t="s">
        <v>3733</v>
      </c>
      <c r="T1007" s="238" t="s">
        <v>4036</v>
      </c>
      <c r="U1007" s="238" t="s">
        <v>4076</v>
      </c>
      <c r="V1007" s="238" t="s">
        <v>2097</v>
      </c>
      <c r="AB1007" s="1" t="s">
        <v>2551</v>
      </c>
    </row>
    <row r="1008" spans="1:28" ht="11.25" customHeight="1">
      <c r="A1008" s="233">
        <v>41239</v>
      </c>
      <c r="B1008" s="1" t="s">
        <v>2099</v>
      </c>
      <c r="C1008" s="1" t="s">
        <v>2095</v>
      </c>
      <c r="D1008" s="1" t="s">
        <v>2024</v>
      </c>
      <c r="E1008" s="1">
        <v>10434</v>
      </c>
      <c r="F1008" s="1">
        <v>10</v>
      </c>
      <c r="G1008" s="1" t="s">
        <v>2420</v>
      </c>
      <c r="H1008" s="234">
        <v>17.28</v>
      </c>
      <c r="I1008" s="235">
        <f t="shared" si="71"/>
        <v>172.8</v>
      </c>
      <c r="K1008" s="241">
        <f>14.2*10</f>
        <v>142</v>
      </c>
      <c r="L1008" s="237">
        <v>41239</v>
      </c>
      <c r="M1008" s="1" t="s">
        <v>2349</v>
      </c>
      <c r="N1008" s="235">
        <f t="shared" si="70"/>
        <v>172.8</v>
      </c>
      <c r="O1008" s="235">
        <f t="shared" si="73"/>
        <v>0</v>
      </c>
      <c r="P1008" s="238" t="s">
        <v>4075</v>
      </c>
      <c r="Q1008" s="1" t="s">
        <v>2586</v>
      </c>
      <c r="R1008" s="239" t="s">
        <v>3732</v>
      </c>
      <c r="S1008" s="238" t="s">
        <v>3733</v>
      </c>
      <c r="T1008" s="238" t="s">
        <v>4036</v>
      </c>
      <c r="U1008" s="238" t="s">
        <v>4076</v>
      </c>
      <c r="V1008" s="238" t="s">
        <v>2097</v>
      </c>
      <c r="AB1008" s="1" t="s">
        <v>2551</v>
      </c>
    </row>
    <row r="1009" spans="1:28" ht="11.25" customHeight="1">
      <c r="A1009" s="233">
        <v>41239</v>
      </c>
      <c r="B1009" s="1" t="s">
        <v>2099</v>
      </c>
      <c r="C1009" s="1" t="s">
        <v>2095</v>
      </c>
      <c r="D1009" s="5" t="s">
        <v>1895</v>
      </c>
      <c r="E1009" s="1" t="s">
        <v>2419</v>
      </c>
      <c r="F1009" s="1">
        <v>20</v>
      </c>
      <c r="G1009" s="1" t="s">
        <v>2101</v>
      </c>
      <c r="H1009" s="234">
        <v>13.67</v>
      </c>
      <c r="I1009" s="235">
        <f t="shared" si="71"/>
        <v>273.39999999999998</v>
      </c>
      <c r="K1009" s="241">
        <f>10.94*20</f>
        <v>218.79999999999998</v>
      </c>
      <c r="L1009" s="237">
        <v>41239</v>
      </c>
      <c r="M1009" s="1" t="s">
        <v>2349</v>
      </c>
      <c r="N1009" s="235">
        <f t="shared" si="70"/>
        <v>273.39999999999998</v>
      </c>
      <c r="O1009" s="235">
        <f t="shared" si="73"/>
        <v>0</v>
      </c>
      <c r="P1009" s="238" t="s">
        <v>4075</v>
      </c>
      <c r="Q1009" s="1" t="s">
        <v>2586</v>
      </c>
      <c r="R1009" s="239" t="s">
        <v>3732</v>
      </c>
      <c r="S1009" s="238" t="s">
        <v>3733</v>
      </c>
      <c r="T1009" s="238" t="s">
        <v>4036</v>
      </c>
      <c r="U1009" s="238" t="s">
        <v>4076</v>
      </c>
      <c r="V1009" s="238" t="s">
        <v>2097</v>
      </c>
      <c r="AB1009" s="1" t="s">
        <v>2551</v>
      </c>
    </row>
    <row r="1010" spans="1:28" ht="11.25" customHeight="1">
      <c r="A1010" s="233">
        <v>41239</v>
      </c>
      <c r="B1010" s="1" t="s">
        <v>2099</v>
      </c>
      <c r="C1010" s="1" t="s">
        <v>2095</v>
      </c>
      <c r="D1010" s="5" t="s">
        <v>269</v>
      </c>
      <c r="E1010" s="1" t="s">
        <v>2136</v>
      </c>
      <c r="F1010" s="1">
        <v>200</v>
      </c>
      <c r="G1010" s="1" t="s">
        <v>2514</v>
      </c>
      <c r="H1010" s="234">
        <v>1.55</v>
      </c>
      <c r="I1010" s="235">
        <f t="shared" si="71"/>
        <v>310</v>
      </c>
      <c r="K1010" s="241">
        <f>1.17*200</f>
        <v>234</v>
      </c>
      <c r="L1010" s="237">
        <v>41239</v>
      </c>
      <c r="M1010" s="1" t="s">
        <v>2349</v>
      </c>
      <c r="N1010" s="235">
        <f t="shared" si="70"/>
        <v>310</v>
      </c>
      <c r="O1010" s="235">
        <f t="shared" si="73"/>
        <v>0</v>
      </c>
      <c r="P1010" s="238" t="s">
        <v>4075</v>
      </c>
      <c r="Q1010" s="1" t="s">
        <v>2586</v>
      </c>
      <c r="R1010" s="239" t="s">
        <v>3732</v>
      </c>
      <c r="S1010" s="238" t="s">
        <v>3733</v>
      </c>
      <c r="T1010" s="238" t="s">
        <v>4036</v>
      </c>
      <c r="U1010" s="238" t="s">
        <v>4076</v>
      </c>
      <c r="V1010" s="238" t="s">
        <v>2097</v>
      </c>
      <c r="AB1010" s="1" t="s">
        <v>2551</v>
      </c>
    </row>
    <row r="1011" spans="1:28" ht="11.25" customHeight="1">
      <c r="A1011" s="233">
        <v>41239</v>
      </c>
      <c r="B1011" s="1" t="s">
        <v>2589</v>
      </c>
      <c r="C1011" s="1" t="s">
        <v>2095</v>
      </c>
      <c r="D1011" s="5" t="s">
        <v>1887</v>
      </c>
      <c r="E1011" s="1" t="s">
        <v>2639</v>
      </c>
      <c r="F1011" s="1">
        <v>100</v>
      </c>
      <c r="G1011" s="1" t="s">
        <v>2514</v>
      </c>
      <c r="H1011" s="234">
        <v>1.85</v>
      </c>
      <c r="I1011" s="235">
        <f t="shared" si="71"/>
        <v>185</v>
      </c>
      <c r="K1011" s="241">
        <f>1.7*100</f>
        <v>170</v>
      </c>
      <c r="L1011" s="237">
        <v>41309</v>
      </c>
      <c r="M1011" s="1" t="s">
        <v>166</v>
      </c>
      <c r="N1011" s="235">
        <f t="shared" si="70"/>
        <v>185</v>
      </c>
      <c r="O1011" s="235">
        <f t="shared" si="73"/>
        <v>0</v>
      </c>
      <c r="P1011" s="238" t="s">
        <v>4077</v>
      </c>
      <c r="Q1011" s="1" t="s">
        <v>2586</v>
      </c>
      <c r="R1011" s="239" t="s">
        <v>2591</v>
      </c>
      <c r="S1011" s="238" t="s">
        <v>2592</v>
      </c>
      <c r="T1011" s="238" t="s">
        <v>3940</v>
      </c>
      <c r="U1011" s="238" t="s">
        <v>4078</v>
      </c>
      <c r="V1011" s="238" t="s">
        <v>2512</v>
      </c>
      <c r="AB1011" s="1" t="s">
        <v>2551</v>
      </c>
    </row>
    <row r="1012" spans="1:28" ht="11.25" customHeight="1">
      <c r="A1012" s="233">
        <v>41239</v>
      </c>
      <c r="B1012" s="1" t="s">
        <v>2579</v>
      </c>
      <c r="C1012" s="1" t="s">
        <v>2095</v>
      </c>
      <c r="D1012" s="1" t="s">
        <v>2033</v>
      </c>
      <c r="E1012" s="1" t="s">
        <v>350</v>
      </c>
      <c r="F1012" s="1">
        <v>50000</v>
      </c>
      <c r="G1012" s="1" t="s">
        <v>2101</v>
      </c>
      <c r="H1012" s="234">
        <v>1.76</v>
      </c>
      <c r="I1012" s="235">
        <f t="shared" si="71"/>
        <v>88000</v>
      </c>
      <c r="K1012" s="241">
        <f>1.62*F1012</f>
        <v>81000</v>
      </c>
      <c r="L1012" s="281">
        <v>41234</v>
      </c>
      <c r="M1012" s="264" t="s">
        <v>2092</v>
      </c>
      <c r="N1012" s="235">
        <f t="shared" si="70"/>
        <v>88000</v>
      </c>
      <c r="O1012" s="235">
        <f t="shared" si="73"/>
        <v>0</v>
      </c>
      <c r="P1012" s="238" t="s">
        <v>2097</v>
      </c>
      <c r="Q1012" s="1" t="s">
        <v>2694</v>
      </c>
      <c r="R1012" s="239" t="s">
        <v>4079</v>
      </c>
      <c r="S1012" s="238" t="s">
        <v>4080</v>
      </c>
      <c r="T1012" s="238" t="s">
        <v>2839</v>
      </c>
      <c r="U1012" s="238" t="s">
        <v>4081</v>
      </c>
      <c r="V1012" s="238" t="s">
        <v>3760</v>
      </c>
      <c r="W1012" s="236" t="s">
        <v>3761</v>
      </c>
      <c r="X1012" s="233">
        <v>41239</v>
      </c>
      <c r="Y1012" s="238" t="s">
        <v>3762</v>
      </c>
      <c r="AB1012" s="1" t="s">
        <v>2551</v>
      </c>
    </row>
    <row r="1013" spans="1:28" ht="11.25" customHeight="1">
      <c r="A1013" s="233">
        <v>41239</v>
      </c>
      <c r="B1013" s="1" t="s">
        <v>4082</v>
      </c>
      <c r="C1013" s="1" t="s">
        <v>2095</v>
      </c>
      <c r="D1013" s="5" t="s">
        <v>1954</v>
      </c>
      <c r="E1013" s="1">
        <v>12308</v>
      </c>
      <c r="F1013" s="1">
        <v>30</v>
      </c>
      <c r="G1013" s="1" t="s">
        <v>2420</v>
      </c>
      <c r="H1013" s="234">
        <v>20</v>
      </c>
      <c r="I1013" s="235">
        <f t="shared" si="71"/>
        <v>600</v>
      </c>
      <c r="K1013" s="241">
        <f>18.779*F1013</f>
        <v>563.37</v>
      </c>
      <c r="L1013" s="237">
        <v>41239</v>
      </c>
      <c r="M1013" s="1" t="s">
        <v>2412</v>
      </c>
      <c r="N1013" s="235">
        <f t="shared" si="70"/>
        <v>600</v>
      </c>
      <c r="O1013" s="235">
        <f t="shared" si="73"/>
        <v>0</v>
      </c>
      <c r="P1013" s="238" t="s">
        <v>4083</v>
      </c>
      <c r="Q1013" s="1" t="s">
        <v>2529</v>
      </c>
      <c r="R1013" s="239" t="s">
        <v>4084</v>
      </c>
      <c r="S1013" s="238" t="s">
        <v>4085</v>
      </c>
      <c r="T1013" s="238" t="s">
        <v>4086</v>
      </c>
      <c r="U1013" s="238" t="s">
        <v>2097</v>
      </c>
      <c r="V1013" s="238" t="s">
        <v>2512</v>
      </c>
      <c r="AB1013" s="1" t="s">
        <v>2551</v>
      </c>
    </row>
    <row r="1014" spans="1:28" ht="11.25" customHeight="1">
      <c r="A1014" s="233">
        <v>41239</v>
      </c>
      <c r="B1014" s="1" t="s">
        <v>4087</v>
      </c>
      <c r="C1014" s="1" t="s">
        <v>2095</v>
      </c>
      <c r="D1014" s="1" t="s">
        <v>2024</v>
      </c>
      <c r="E1014" s="1">
        <v>10434</v>
      </c>
      <c r="F1014" s="1">
        <v>40</v>
      </c>
      <c r="G1014" s="1" t="s">
        <v>2420</v>
      </c>
      <c r="H1014" s="234">
        <v>23</v>
      </c>
      <c r="I1014" s="235">
        <f>H1014*F1014</f>
        <v>920</v>
      </c>
      <c r="K1014" s="241">
        <f>14.2*40</f>
        <v>568</v>
      </c>
      <c r="N1014" s="235">
        <v>0</v>
      </c>
      <c r="O1014" s="235">
        <f t="shared" si="73"/>
        <v>920</v>
      </c>
      <c r="P1014" s="238" t="s">
        <v>4088</v>
      </c>
      <c r="Q1014" s="1" t="s">
        <v>2529</v>
      </c>
      <c r="R1014" s="239" t="s">
        <v>5516</v>
      </c>
      <c r="S1014" s="238" t="s">
        <v>5517</v>
      </c>
      <c r="T1014" s="238" t="s">
        <v>3953</v>
      </c>
      <c r="U1014" s="238" t="s">
        <v>2097</v>
      </c>
      <c r="V1014" s="238" t="s">
        <v>4089</v>
      </c>
      <c r="W1014" s="236">
        <v>3316</v>
      </c>
      <c r="X1014" s="233">
        <v>41257</v>
      </c>
      <c r="Y1014" s="238" t="s">
        <v>1564</v>
      </c>
      <c r="AB1014" s="1" t="s">
        <v>2094</v>
      </c>
    </row>
    <row r="1015" spans="1:28" ht="11.25" customHeight="1">
      <c r="A1015" s="233">
        <v>41239</v>
      </c>
      <c r="B1015" s="1" t="s">
        <v>4087</v>
      </c>
      <c r="C1015" s="1" t="s">
        <v>2095</v>
      </c>
      <c r="D1015" s="5" t="s">
        <v>1906</v>
      </c>
      <c r="E1015" s="1">
        <v>9032</v>
      </c>
      <c r="F1015" s="1">
        <v>100</v>
      </c>
      <c r="G1015" s="1" t="s">
        <v>2101</v>
      </c>
      <c r="H1015" s="234">
        <v>2.7</v>
      </c>
      <c r="I1015" s="235">
        <f>H1015*F1015</f>
        <v>270</v>
      </c>
      <c r="K1015" s="241">
        <f>1.4929*100</f>
        <v>149.29</v>
      </c>
      <c r="N1015" s="235">
        <v>0</v>
      </c>
      <c r="O1015" s="235">
        <f t="shared" si="73"/>
        <v>270</v>
      </c>
      <c r="P1015" s="238" t="s">
        <v>4088</v>
      </c>
      <c r="Q1015" s="1" t="s">
        <v>2529</v>
      </c>
      <c r="R1015" s="239" t="s">
        <v>5516</v>
      </c>
      <c r="S1015" s="238" t="s">
        <v>5517</v>
      </c>
      <c r="T1015" s="238" t="s">
        <v>3953</v>
      </c>
      <c r="U1015" s="238" t="s">
        <v>2097</v>
      </c>
      <c r="V1015" s="238" t="s">
        <v>4089</v>
      </c>
      <c r="W1015" s="236">
        <v>3316</v>
      </c>
      <c r="X1015" s="233">
        <v>41257</v>
      </c>
      <c r="Y1015" s="238" t="s">
        <v>1564</v>
      </c>
      <c r="AB1015" s="1" t="s">
        <v>2094</v>
      </c>
    </row>
    <row r="1016" spans="1:28" ht="11.25" customHeight="1">
      <c r="A1016" s="233">
        <v>41239</v>
      </c>
      <c r="B1016" s="1" t="s">
        <v>4087</v>
      </c>
      <c r="C1016" s="1" t="s">
        <v>2095</v>
      </c>
      <c r="D1016" s="5" t="s">
        <v>1947</v>
      </c>
      <c r="E1016" s="1">
        <v>1110</v>
      </c>
      <c r="F1016" s="1">
        <v>20</v>
      </c>
      <c r="G1016" s="1" t="s">
        <v>2420</v>
      </c>
      <c r="H1016" s="234">
        <v>1.5</v>
      </c>
      <c r="I1016" s="235">
        <f>H1016*F1016</f>
        <v>30</v>
      </c>
      <c r="K1016" s="241">
        <f>0.77*F1016</f>
        <v>15.4</v>
      </c>
      <c r="N1016" s="235">
        <v>0</v>
      </c>
      <c r="O1016" s="235">
        <f t="shared" si="73"/>
        <v>30</v>
      </c>
      <c r="P1016" s="238" t="s">
        <v>4088</v>
      </c>
      <c r="Q1016" s="1" t="s">
        <v>2529</v>
      </c>
      <c r="R1016" s="239" t="s">
        <v>5516</v>
      </c>
      <c r="S1016" s="238" t="s">
        <v>5517</v>
      </c>
      <c r="T1016" s="238" t="s">
        <v>3953</v>
      </c>
      <c r="U1016" s="238" t="s">
        <v>2097</v>
      </c>
      <c r="V1016" s="238" t="s">
        <v>4089</v>
      </c>
      <c r="W1016" s="236">
        <v>3316</v>
      </c>
      <c r="X1016" s="233">
        <v>41257</v>
      </c>
      <c r="Y1016" s="238" t="s">
        <v>1564</v>
      </c>
      <c r="AB1016" s="1" t="s">
        <v>2094</v>
      </c>
    </row>
    <row r="1017" spans="1:28" ht="11.25" customHeight="1">
      <c r="A1017" s="233">
        <v>41239</v>
      </c>
      <c r="B1017" s="1" t="s">
        <v>3544</v>
      </c>
      <c r="C1017" s="1" t="s">
        <v>2095</v>
      </c>
      <c r="D1017" s="5" t="s">
        <v>1947</v>
      </c>
      <c r="E1017" s="1">
        <v>1110</v>
      </c>
      <c r="F1017" s="1">
        <v>100</v>
      </c>
      <c r="G1017" s="1" t="s">
        <v>2420</v>
      </c>
      <c r="H1017" s="234">
        <v>1.5</v>
      </c>
      <c r="I1017" s="235">
        <f>H1017*F1017</f>
        <v>150</v>
      </c>
      <c r="K1017" s="241">
        <f>0.77*F1017</f>
        <v>77</v>
      </c>
      <c r="N1017" s="235">
        <v>0</v>
      </c>
      <c r="O1017" s="235">
        <f t="shared" si="73"/>
        <v>150</v>
      </c>
      <c r="P1017" s="238" t="s">
        <v>4090</v>
      </c>
      <c r="Q1017" s="1" t="s">
        <v>2529</v>
      </c>
      <c r="R1017" s="239" t="s">
        <v>3951</v>
      </c>
      <c r="S1017" s="238" t="s">
        <v>3952</v>
      </c>
      <c r="T1017" s="238" t="s">
        <v>3953</v>
      </c>
      <c r="U1017" s="238" t="s">
        <v>2097</v>
      </c>
      <c r="V1017" s="238" t="s">
        <v>3954</v>
      </c>
      <c r="W1017" s="236">
        <v>68170</v>
      </c>
      <c r="X1017" s="233">
        <v>41257</v>
      </c>
      <c r="Y1017" s="238" t="s">
        <v>1564</v>
      </c>
      <c r="AB1017" s="1" t="s">
        <v>2094</v>
      </c>
    </row>
    <row r="1018" spans="1:28" ht="11.25" customHeight="1">
      <c r="A1018" s="233">
        <v>41240</v>
      </c>
      <c r="B1018" s="1" t="s">
        <v>4091</v>
      </c>
      <c r="C1018" s="1" t="s">
        <v>2095</v>
      </c>
      <c r="D1018" s="1" t="s">
        <v>1216</v>
      </c>
      <c r="E1018" s="1">
        <v>3200</v>
      </c>
      <c r="F1018" s="1">
        <v>10</v>
      </c>
      <c r="G1018" s="1" t="s">
        <v>2101</v>
      </c>
      <c r="H1018" s="234">
        <v>35</v>
      </c>
      <c r="I1018" s="235">
        <f t="shared" si="71"/>
        <v>350</v>
      </c>
      <c r="K1018" s="241">
        <f>23.94*10</f>
        <v>239.4</v>
      </c>
      <c r="L1018" s="237">
        <v>41263</v>
      </c>
      <c r="M1018" s="1" t="s">
        <v>2092</v>
      </c>
      <c r="N1018" s="235">
        <f t="shared" si="70"/>
        <v>350</v>
      </c>
      <c r="O1018" s="235">
        <f t="shared" ref="O1018:O1026" si="74">I1018-N1018</f>
        <v>0</v>
      </c>
      <c r="P1018" s="238" t="s">
        <v>4092</v>
      </c>
      <c r="Q1018" s="5" t="s">
        <v>4093</v>
      </c>
      <c r="R1018" s="239" t="s">
        <v>4094</v>
      </c>
      <c r="S1018" s="238" t="s">
        <v>4095</v>
      </c>
      <c r="T1018" s="238" t="s">
        <v>4096</v>
      </c>
      <c r="U1018" s="238" t="s">
        <v>4097</v>
      </c>
      <c r="V1018" s="238" t="s">
        <v>4098</v>
      </c>
      <c r="W1018" s="236">
        <v>9719.75</v>
      </c>
      <c r="X1018" s="233">
        <v>41250</v>
      </c>
      <c r="Y1018" s="238" t="s">
        <v>4099</v>
      </c>
      <c r="AB1018" s="1" t="s">
        <v>2094</v>
      </c>
    </row>
    <row r="1019" spans="1:28" ht="11.25" customHeight="1">
      <c r="A1019" s="233">
        <v>41240</v>
      </c>
      <c r="B1019" s="1" t="s">
        <v>4091</v>
      </c>
      <c r="C1019" s="1" t="s">
        <v>2095</v>
      </c>
      <c r="D1019" s="5" t="s">
        <v>2029</v>
      </c>
      <c r="E1019" s="1">
        <v>7502</v>
      </c>
      <c r="F1019" s="1">
        <v>10</v>
      </c>
      <c r="G1019" s="1" t="s">
        <v>2101</v>
      </c>
      <c r="H1019" s="234">
        <v>182</v>
      </c>
      <c r="I1019" s="235">
        <f t="shared" si="71"/>
        <v>1820</v>
      </c>
      <c r="K1019" s="241">
        <f>106*10</f>
        <v>1060</v>
      </c>
      <c r="L1019" s="237">
        <v>41263</v>
      </c>
      <c r="M1019" s="1" t="s">
        <v>2092</v>
      </c>
      <c r="N1019" s="235">
        <f t="shared" si="70"/>
        <v>1820</v>
      </c>
      <c r="O1019" s="235">
        <f t="shared" si="74"/>
        <v>0</v>
      </c>
      <c r="P1019" s="238" t="s">
        <v>4092</v>
      </c>
      <c r="Q1019" s="5" t="s">
        <v>4093</v>
      </c>
      <c r="R1019" s="239" t="s">
        <v>4094</v>
      </c>
      <c r="S1019" s="238" t="s">
        <v>4095</v>
      </c>
      <c r="T1019" s="238" t="s">
        <v>4096</v>
      </c>
      <c r="U1019" s="238" t="s">
        <v>4097</v>
      </c>
      <c r="V1019" s="238" t="s">
        <v>4098</v>
      </c>
      <c r="W1019" s="236">
        <v>9719.75</v>
      </c>
      <c r="X1019" s="233">
        <v>41250</v>
      </c>
      <c r="Y1019" s="238" t="s">
        <v>4099</v>
      </c>
      <c r="AB1019" s="1" t="s">
        <v>2094</v>
      </c>
    </row>
    <row r="1020" spans="1:28" ht="11.25" customHeight="1">
      <c r="A1020" s="233">
        <v>41240</v>
      </c>
      <c r="B1020" s="1" t="s">
        <v>4091</v>
      </c>
      <c r="C1020" s="1" t="s">
        <v>2095</v>
      </c>
      <c r="D1020" s="5" t="s">
        <v>1281</v>
      </c>
      <c r="E1020" s="225" t="s">
        <v>4100</v>
      </c>
      <c r="F1020" s="1">
        <v>50</v>
      </c>
      <c r="G1020" s="1" t="s">
        <v>2101</v>
      </c>
      <c r="H1020" s="234">
        <v>40.6</v>
      </c>
      <c r="I1020" s="235">
        <f t="shared" si="71"/>
        <v>2030</v>
      </c>
      <c r="K1020" s="241">
        <f>29.22*50</f>
        <v>1461</v>
      </c>
      <c r="L1020" s="237">
        <v>41263</v>
      </c>
      <c r="M1020" s="1" t="s">
        <v>2092</v>
      </c>
      <c r="N1020" s="235">
        <f t="shared" si="70"/>
        <v>2030</v>
      </c>
      <c r="O1020" s="235">
        <f t="shared" si="74"/>
        <v>0</v>
      </c>
      <c r="P1020" s="238" t="s">
        <v>4092</v>
      </c>
      <c r="Q1020" s="5" t="s">
        <v>4093</v>
      </c>
      <c r="R1020" s="239" t="s">
        <v>4094</v>
      </c>
      <c r="S1020" s="238" t="s">
        <v>4095</v>
      </c>
      <c r="T1020" s="238" t="s">
        <v>4096</v>
      </c>
      <c r="U1020" s="238" t="s">
        <v>4097</v>
      </c>
      <c r="V1020" s="238" t="s">
        <v>4098</v>
      </c>
      <c r="W1020" s="236">
        <v>9719.75</v>
      </c>
      <c r="X1020" s="233">
        <v>41250</v>
      </c>
      <c r="Y1020" s="238" t="s">
        <v>4099</v>
      </c>
      <c r="AB1020" s="1" t="s">
        <v>2094</v>
      </c>
    </row>
    <row r="1021" spans="1:28" ht="11.25" customHeight="1">
      <c r="A1021" s="233">
        <v>41240</v>
      </c>
      <c r="B1021" s="1" t="s">
        <v>4091</v>
      </c>
      <c r="C1021" s="1" t="s">
        <v>2095</v>
      </c>
      <c r="D1021" s="5" t="s">
        <v>1943</v>
      </c>
      <c r="E1021" s="1" t="s">
        <v>2814</v>
      </c>
      <c r="F1021" s="1">
        <v>100</v>
      </c>
      <c r="G1021" s="1" t="s">
        <v>2514</v>
      </c>
      <c r="H1021" s="234">
        <v>6.61</v>
      </c>
      <c r="I1021" s="235">
        <f t="shared" si="71"/>
        <v>661</v>
      </c>
      <c r="K1021" s="241">
        <f>4.89*100</f>
        <v>488.99999999999994</v>
      </c>
      <c r="L1021" s="237">
        <v>41263</v>
      </c>
      <c r="M1021" s="1" t="s">
        <v>2092</v>
      </c>
      <c r="N1021" s="235">
        <f t="shared" si="70"/>
        <v>661</v>
      </c>
      <c r="O1021" s="235">
        <f t="shared" si="74"/>
        <v>0</v>
      </c>
      <c r="P1021" s="238" t="s">
        <v>4092</v>
      </c>
      <c r="Q1021" s="5" t="s">
        <v>4093</v>
      </c>
      <c r="R1021" s="239" t="s">
        <v>4094</v>
      </c>
      <c r="S1021" s="238" t="s">
        <v>4095</v>
      </c>
      <c r="T1021" s="238" t="s">
        <v>4096</v>
      </c>
      <c r="U1021" s="238" t="s">
        <v>4097</v>
      </c>
      <c r="V1021" s="238" t="s">
        <v>4098</v>
      </c>
      <c r="W1021" s="236">
        <v>9719.75</v>
      </c>
      <c r="X1021" s="233">
        <v>41250</v>
      </c>
      <c r="Y1021" s="238" t="s">
        <v>4099</v>
      </c>
      <c r="AB1021" s="1" t="s">
        <v>2094</v>
      </c>
    </row>
    <row r="1022" spans="1:28" ht="11.25" customHeight="1">
      <c r="A1022" s="233">
        <v>41240</v>
      </c>
      <c r="B1022" s="1" t="s">
        <v>4091</v>
      </c>
      <c r="C1022" s="1" t="s">
        <v>2095</v>
      </c>
      <c r="D1022" s="5" t="s">
        <v>348</v>
      </c>
      <c r="E1022" s="1">
        <v>3700</v>
      </c>
      <c r="F1022" s="1">
        <v>100</v>
      </c>
      <c r="G1022" s="1" t="s">
        <v>230</v>
      </c>
      <c r="H1022" s="234">
        <v>4.7699999999999996</v>
      </c>
      <c r="I1022" s="235">
        <f t="shared" si="71"/>
        <v>476.99999999999994</v>
      </c>
      <c r="K1022" s="241">
        <f>3.09*100</f>
        <v>309</v>
      </c>
      <c r="L1022" s="237">
        <v>41263</v>
      </c>
      <c r="M1022" s="1" t="s">
        <v>2092</v>
      </c>
      <c r="N1022" s="235">
        <f t="shared" si="70"/>
        <v>476.99999999999994</v>
      </c>
      <c r="O1022" s="235">
        <f t="shared" si="74"/>
        <v>0</v>
      </c>
      <c r="P1022" s="238" t="s">
        <v>4092</v>
      </c>
      <c r="Q1022" s="5" t="s">
        <v>4093</v>
      </c>
      <c r="R1022" s="239" t="s">
        <v>4094</v>
      </c>
      <c r="S1022" s="238" t="s">
        <v>4095</v>
      </c>
      <c r="T1022" s="238" t="s">
        <v>4096</v>
      </c>
      <c r="U1022" s="238" t="s">
        <v>4097</v>
      </c>
      <c r="V1022" s="238" t="s">
        <v>4098</v>
      </c>
      <c r="W1022" s="236">
        <v>9719.75</v>
      </c>
      <c r="X1022" s="233">
        <v>41250</v>
      </c>
      <c r="Y1022" s="238" t="s">
        <v>4099</v>
      </c>
      <c r="AB1022" s="1" t="s">
        <v>2094</v>
      </c>
    </row>
    <row r="1023" spans="1:28" ht="11.25" customHeight="1">
      <c r="A1023" s="233">
        <v>41240</v>
      </c>
      <c r="B1023" s="1" t="s">
        <v>4091</v>
      </c>
      <c r="C1023" s="1" t="s">
        <v>2095</v>
      </c>
      <c r="D1023" s="5" t="s">
        <v>1954</v>
      </c>
      <c r="E1023" s="1">
        <v>12308</v>
      </c>
      <c r="F1023" s="1">
        <v>30</v>
      </c>
      <c r="G1023" s="1" t="s">
        <v>2420</v>
      </c>
      <c r="H1023" s="234">
        <v>26.5</v>
      </c>
      <c r="I1023" s="235">
        <f t="shared" si="71"/>
        <v>795</v>
      </c>
      <c r="K1023" s="241">
        <f>18.779*30</f>
        <v>563.37</v>
      </c>
      <c r="L1023" s="237">
        <v>41263</v>
      </c>
      <c r="M1023" s="1" t="s">
        <v>2092</v>
      </c>
      <c r="N1023" s="235">
        <f t="shared" si="70"/>
        <v>795</v>
      </c>
      <c r="O1023" s="235">
        <f t="shared" si="74"/>
        <v>0</v>
      </c>
      <c r="P1023" s="238" t="s">
        <v>4092</v>
      </c>
      <c r="Q1023" s="5" t="s">
        <v>4093</v>
      </c>
      <c r="R1023" s="239" t="s">
        <v>4094</v>
      </c>
      <c r="S1023" s="238" t="s">
        <v>4095</v>
      </c>
      <c r="T1023" s="238" t="s">
        <v>4096</v>
      </c>
      <c r="U1023" s="238" t="s">
        <v>4097</v>
      </c>
      <c r="V1023" s="238" t="s">
        <v>4098</v>
      </c>
      <c r="W1023" s="236">
        <v>9719.75</v>
      </c>
      <c r="X1023" s="233">
        <v>41250</v>
      </c>
      <c r="Y1023" s="238" t="s">
        <v>4099</v>
      </c>
      <c r="AB1023" s="1" t="s">
        <v>2094</v>
      </c>
    </row>
    <row r="1024" spans="1:28" ht="11.25" customHeight="1">
      <c r="A1024" s="233">
        <v>41240</v>
      </c>
      <c r="B1024" s="1" t="s">
        <v>4091</v>
      </c>
      <c r="C1024" s="1" t="s">
        <v>2095</v>
      </c>
      <c r="D1024" s="5" t="s">
        <v>1227</v>
      </c>
      <c r="E1024" s="1" t="s">
        <v>2649</v>
      </c>
      <c r="F1024" s="1">
        <v>12</v>
      </c>
      <c r="G1024" s="1" t="s">
        <v>2101</v>
      </c>
      <c r="H1024" s="234">
        <v>45</v>
      </c>
      <c r="I1024" s="235">
        <f t="shared" si="71"/>
        <v>540</v>
      </c>
      <c r="K1024" s="241">
        <f>34.8*12</f>
        <v>417.59999999999997</v>
      </c>
      <c r="L1024" s="237">
        <v>41263</v>
      </c>
      <c r="M1024" s="1" t="s">
        <v>2092</v>
      </c>
      <c r="N1024" s="235">
        <f t="shared" si="70"/>
        <v>540</v>
      </c>
      <c r="O1024" s="235">
        <f t="shared" si="74"/>
        <v>0</v>
      </c>
      <c r="P1024" s="238" t="s">
        <v>4092</v>
      </c>
      <c r="Q1024" s="5" t="s">
        <v>4093</v>
      </c>
      <c r="R1024" s="239" t="s">
        <v>4094</v>
      </c>
      <c r="S1024" s="238" t="s">
        <v>4095</v>
      </c>
      <c r="T1024" s="238" t="s">
        <v>4096</v>
      </c>
      <c r="U1024" s="238" t="s">
        <v>4097</v>
      </c>
      <c r="V1024" s="238" t="s">
        <v>4098</v>
      </c>
      <c r="W1024" s="236">
        <v>9719.75</v>
      </c>
      <c r="X1024" s="233">
        <v>41250</v>
      </c>
      <c r="Y1024" s="238" t="s">
        <v>4099</v>
      </c>
      <c r="AB1024" s="1" t="s">
        <v>2094</v>
      </c>
    </row>
    <row r="1025" spans="1:28" ht="11.25" customHeight="1">
      <c r="A1025" s="233">
        <v>41240</v>
      </c>
      <c r="B1025" s="5" t="s">
        <v>2738</v>
      </c>
      <c r="C1025" s="5" t="s">
        <v>2095</v>
      </c>
      <c r="D1025" s="5" t="s">
        <v>2043</v>
      </c>
      <c r="E1025" s="5" t="s">
        <v>3194</v>
      </c>
      <c r="F1025" s="5">
        <v>76</v>
      </c>
      <c r="G1025" s="5" t="s">
        <v>3155</v>
      </c>
      <c r="H1025" s="243">
        <v>172.8</v>
      </c>
      <c r="I1025" s="235">
        <f t="shared" si="71"/>
        <v>13132.800000000001</v>
      </c>
      <c r="K1025" s="241">
        <f>107.64*F1025</f>
        <v>8180.64</v>
      </c>
      <c r="L1025" s="237" t="s">
        <v>5496</v>
      </c>
      <c r="N1025" s="235">
        <v>12980</v>
      </c>
      <c r="O1025" s="235">
        <f t="shared" si="74"/>
        <v>152.80000000000109</v>
      </c>
      <c r="P1025" s="238" t="s">
        <v>4101</v>
      </c>
      <c r="Q1025" s="5" t="s">
        <v>4102</v>
      </c>
      <c r="R1025" s="239" t="s">
        <v>2741</v>
      </c>
      <c r="S1025" s="238" t="s">
        <v>3521</v>
      </c>
      <c r="T1025" s="238" t="s">
        <v>799</v>
      </c>
      <c r="U1025" s="238" t="s">
        <v>4103</v>
      </c>
      <c r="V1025" s="238" t="s">
        <v>4104</v>
      </c>
      <c r="W1025" s="236">
        <v>17766</v>
      </c>
      <c r="X1025" s="233">
        <v>41257</v>
      </c>
      <c r="Y1025" s="238" t="s">
        <v>4105</v>
      </c>
      <c r="AA1025" s="240" t="s">
        <v>2746</v>
      </c>
      <c r="AB1025" s="1" t="s">
        <v>2094</v>
      </c>
    </row>
    <row r="1026" spans="1:28" ht="11.25" customHeight="1">
      <c r="A1026" s="233">
        <v>41240</v>
      </c>
      <c r="B1026" s="5" t="s">
        <v>2738</v>
      </c>
      <c r="C1026" s="5" t="s">
        <v>2095</v>
      </c>
      <c r="D1026" s="5" t="s">
        <v>355</v>
      </c>
      <c r="E1026" s="5" t="s">
        <v>2516</v>
      </c>
      <c r="F1026" s="5">
        <v>162</v>
      </c>
      <c r="G1026" s="5" t="s">
        <v>2101</v>
      </c>
      <c r="H1026" s="243">
        <v>28.6</v>
      </c>
      <c r="I1026" s="235">
        <f t="shared" si="71"/>
        <v>4633.2</v>
      </c>
      <c r="K1026" s="241">
        <f>16.5*F1026</f>
        <v>2673</v>
      </c>
      <c r="N1026" s="235">
        <v>0</v>
      </c>
      <c r="O1026" s="235">
        <f t="shared" si="74"/>
        <v>4633.2</v>
      </c>
      <c r="P1026" s="238" t="s">
        <v>4101</v>
      </c>
      <c r="Q1026" s="5" t="s">
        <v>4102</v>
      </c>
      <c r="R1026" s="239" t="s">
        <v>2741</v>
      </c>
      <c r="S1026" s="238" t="s">
        <v>3521</v>
      </c>
      <c r="T1026" s="238" t="s">
        <v>799</v>
      </c>
      <c r="U1026" s="238" t="s">
        <v>4103</v>
      </c>
      <c r="V1026" s="238" t="s">
        <v>4104</v>
      </c>
      <c r="W1026" s="236">
        <v>17766</v>
      </c>
      <c r="X1026" s="233">
        <v>41257</v>
      </c>
      <c r="Y1026" s="238" t="s">
        <v>1562</v>
      </c>
      <c r="AA1026" s="240" t="s">
        <v>2746</v>
      </c>
      <c r="AB1026" s="1" t="s">
        <v>2094</v>
      </c>
    </row>
    <row r="1027" spans="1:28" ht="11.25" customHeight="1">
      <c r="A1027" s="233">
        <v>41240</v>
      </c>
      <c r="B1027" s="1" t="s">
        <v>3799</v>
      </c>
      <c r="C1027" s="1" t="s">
        <v>2095</v>
      </c>
      <c r="D1027" s="1" t="s">
        <v>1216</v>
      </c>
      <c r="E1027" s="1">
        <v>3200</v>
      </c>
      <c r="F1027" s="1">
        <v>6</v>
      </c>
      <c r="G1027" s="1" t="s">
        <v>2101</v>
      </c>
      <c r="H1027" s="234">
        <v>27.7</v>
      </c>
      <c r="I1027" s="235">
        <f t="shared" ref="I1027:I1039" si="75">F1027*H1027</f>
        <v>166.2</v>
      </c>
      <c r="K1027" s="241">
        <f>23.94*F1027</f>
        <v>143.64000000000001</v>
      </c>
      <c r="L1027" s="237">
        <v>41240</v>
      </c>
      <c r="M1027" s="1" t="s">
        <v>2412</v>
      </c>
      <c r="N1027" s="235">
        <f t="shared" ref="N1027:N1090" si="76">I1027</f>
        <v>166.2</v>
      </c>
      <c r="O1027" s="235">
        <f t="shared" ref="O1027:O1037" si="77">I1027-N1027</f>
        <v>0</v>
      </c>
      <c r="P1027" s="238" t="s">
        <v>4106</v>
      </c>
      <c r="Q1027" s="1" t="s">
        <v>2230</v>
      </c>
      <c r="R1027" s="239" t="s">
        <v>4107</v>
      </c>
      <c r="S1027" s="238" t="s">
        <v>4108</v>
      </c>
      <c r="T1027" s="238" t="s">
        <v>2097</v>
      </c>
      <c r="U1027" s="238" t="s">
        <v>2097</v>
      </c>
      <c r="V1027" s="238" t="s">
        <v>4109</v>
      </c>
      <c r="W1027" s="236">
        <v>5069.0200000000004</v>
      </c>
      <c r="X1027" s="233">
        <v>41263</v>
      </c>
      <c r="Y1027" s="238" t="s">
        <v>4110</v>
      </c>
      <c r="AB1027" s="1" t="s">
        <v>2551</v>
      </c>
    </row>
    <row r="1028" spans="1:28" ht="11.25" customHeight="1">
      <c r="A1028" s="233">
        <v>41240</v>
      </c>
      <c r="B1028" s="1" t="s">
        <v>3799</v>
      </c>
      <c r="C1028" s="1" t="s">
        <v>2095</v>
      </c>
      <c r="D1028" s="5" t="s">
        <v>355</v>
      </c>
      <c r="E1028" s="1" t="s">
        <v>2419</v>
      </c>
      <c r="F1028" s="1">
        <v>6</v>
      </c>
      <c r="G1028" s="1" t="s">
        <v>2101</v>
      </c>
      <c r="H1028" s="234">
        <v>13.17</v>
      </c>
      <c r="I1028" s="235">
        <f t="shared" si="75"/>
        <v>79.02</v>
      </c>
      <c r="K1028" s="241">
        <f>10.94*F1028</f>
        <v>65.64</v>
      </c>
      <c r="L1028" s="237">
        <v>41240</v>
      </c>
      <c r="M1028" s="1" t="s">
        <v>2412</v>
      </c>
      <c r="N1028" s="235">
        <f t="shared" si="76"/>
        <v>79.02</v>
      </c>
      <c r="O1028" s="235">
        <f t="shared" si="77"/>
        <v>0</v>
      </c>
      <c r="P1028" s="238" t="s">
        <v>4106</v>
      </c>
      <c r="Q1028" s="1" t="s">
        <v>2230</v>
      </c>
      <c r="R1028" s="239" t="s">
        <v>4107</v>
      </c>
      <c r="S1028" s="238" t="s">
        <v>4108</v>
      </c>
      <c r="T1028" s="238" t="s">
        <v>2097</v>
      </c>
      <c r="U1028" s="238" t="s">
        <v>2097</v>
      </c>
      <c r="V1028" s="238" t="s">
        <v>4109</v>
      </c>
      <c r="W1028" s="236">
        <v>5069.0200000000004</v>
      </c>
      <c r="X1028" s="233">
        <v>41263</v>
      </c>
      <c r="Y1028" s="238" t="s">
        <v>4110</v>
      </c>
      <c r="AB1028" s="1" t="s">
        <v>2551</v>
      </c>
    </row>
    <row r="1029" spans="1:28" ht="11.25" customHeight="1">
      <c r="A1029" s="233">
        <v>41240</v>
      </c>
      <c r="B1029" s="1" t="s">
        <v>3799</v>
      </c>
      <c r="C1029" s="1" t="s">
        <v>2095</v>
      </c>
      <c r="D1029" s="1" t="s">
        <v>1884</v>
      </c>
      <c r="E1029" s="1">
        <v>8247</v>
      </c>
      <c r="F1029" s="1">
        <v>8</v>
      </c>
      <c r="G1029" s="1" t="s">
        <v>2514</v>
      </c>
      <c r="H1029" s="234">
        <v>13.1</v>
      </c>
      <c r="I1029" s="235">
        <f t="shared" si="75"/>
        <v>104.8</v>
      </c>
      <c r="K1029" s="241">
        <f>12.35*F1029</f>
        <v>98.8</v>
      </c>
      <c r="L1029" s="237">
        <v>41240</v>
      </c>
      <c r="M1029" s="1" t="s">
        <v>2412</v>
      </c>
      <c r="N1029" s="235">
        <f t="shared" si="76"/>
        <v>104.8</v>
      </c>
      <c r="O1029" s="235">
        <f t="shared" si="77"/>
        <v>0</v>
      </c>
      <c r="P1029" s="238" t="s">
        <v>4106</v>
      </c>
      <c r="Q1029" s="1" t="s">
        <v>2230</v>
      </c>
      <c r="R1029" s="239" t="s">
        <v>4107</v>
      </c>
      <c r="S1029" s="238" t="s">
        <v>4108</v>
      </c>
      <c r="T1029" s="238" t="s">
        <v>2097</v>
      </c>
      <c r="U1029" s="238" t="s">
        <v>2097</v>
      </c>
      <c r="V1029" s="238" t="s">
        <v>4109</v>
      </c>
      <c r="W1029" s="236">
        <v>5069.0200000000004</v>
      </c>
      <c r="X1029" s="233">
        <v>41263</v>
      </c>
      <c r="Y1029" s="238" t="s">
        <v>4110</v>
      </c>
      <c r="AB1029" s="1" t="s">
        <v>2551</v>
      </c>
    </row>
    <row r="1030" spans="1:28" ht="11.25" customHeight="1">
      <c r="A1030" s="233">
        <v>41240</v>
      </c>
      <c r="B1030" s="1" t="s">
        <v>3372</v>
      </c>
      <c r="C1030" s="1" t="s">
        <v>4111</v>
      </c>
      <c r="D1030" s="5" t="s">
        <v>1951</v>
      </c>
      <c r="E1030" s="225" t="s">
        <v>4112</v>
      </c>
      <c r="F1030" s="1">
        <v>2</v>
      </c>
      <c r="G1030" s="1" t="s">
        <v>2553</v>
      </c>
      <c r="H1030" s="234">
        <v>3300</v>
      </c>
      <c r="I1030" s="235">
        <f t="shared" si="75"/>
        <v>6600</v>
      </c>
      <c r="K1030" s="241">
        <f>2340*F1030</f>
        <v>4680</v>
      </c>
      <c r="L1030" s="245">
        <v>41242</v>
      </c>
      <c r="M1030" s="5" t="s">
        <v>2412</v>
      </c>
      <c r="N1030" s="235">
        <f t="shared" si="76"/>
        <v>6600</v>
      </c>
      <c r="O1030" s="235">
        <f t="shared" si="77"/>
        <v>0</v>
      </c>
      <c r="P1030" s="238" t="s">
        <v>4113</v>
      </c>
      <c r="Q1030" s="1" t="s">
        <v>3373</v>
      </c>
      <c r="R1030" s="10" t="s">
        <v>3374</v>
      </c>
      <c r="S1030" s="238">
        <v>13896055976</v>
      </c>
      <c r="T1030" s="238" t="s">
        <v>3375</v>
      </c>
      <c r="U1030" s="238" t="s">
        <v>4114</v>
      </c>
      <c r="V1030" s="238" t="s">
        <v>1392</v>
      </c>
      <c r="W1030" s="236">
        <v>2774</v>
      </c>
      <c r="X1030" s="233">
        <v>41242</v>
      </c>
      <c r="Y1030" s="238" t="s">
        <v>4115</v>
      </c>
      <c r="AB1030" s="1" t="s">
        <v>2551</v>
      </c>
    </row>
    <row r="1031" spans="1:28" ht="10.5" customHeight="1">
      <c r="A1031" s="233">
        <v>41240</v>
      </c>
      <c r="B1031" s="1" t="s">
        <v>4116</v>
      </c>
      <c r="C1031" s="1" t="s">
        <v>2095</v>
      </c>
      <c r="D1031" s="5" t="s">
        <v>1944</v>
      </c>
      <c r="E1031" s="1">
        <v>3700</v>
      </c>
      <c r="F1031" s="1">
        <v>200</v>
      </c>
      <c r="G1031" s="1" t="s">
        <v>230</v>
      </c>
      <c r="H1031" s="234">
        <v>4.7</v>
      </c>
      <c r="I1031" s="235">
        <f t="shared" ref="I1031:I1037" si="78">F1031*H1031</f>
        <v>940</v>
      </c>
      <c r="K1031" s="241">
        <f>2.865*F1031</f>
        <v>573</v>
      </c>
      <c r="N1031" s="235">
        <v>0</v>
      </c>
      <c r="O1031" s="235">
        <f t="shared" si="77"/>
        <v>940</v>
      </c>
      <c r="P1031" s="238" t="s">
        <v>4117</v>
      </c>
      <c r="Q1031" s="1" t="s">
        <v>2529</v>
      </c>
      <c r="R1031" s="239" t="s">
        <v>4118</v>
      </c>
      <c r="S1031" s="238" t="s">
        <v>4119</v>
      </c>
      <c r="T1031" s="238" t="s">
        <v>4120</v>
      </c>
      <c r="V1031" s="238" t="s">
        <v>4121</v>
      </c>
      <c r="W1031" s="236">
        <v>11516</v>
      </c>
      <c r="X1031" s="233">
        <v>41267</v>
      </c>
      <c r="Y1031" s="238" t="s">
        <v>3980</v>
      </c>
      <c r="AB1031" s="1" t="s">
        <v>2094</v>
      </c>
    </row>
    <row r="1032" spans="1:28" ht="11.25" customHeight="1">
      <c r="A1032" s="233">
        <v>41240</v>
      </c>
      <c r="B1032" s="1" t="s">
        <v>4116</v>
      </c>
      <c r="C1032" s="1" t="s">
        <v>2095</v>
      </c>
      <c r="D1032" s="5" t="s">
        <v>233</v>
      </c>
      <c r="E1032" s="1" t="s">
        <v>2639</v>
      </c>
      <c r="F1032" s="1">
        <v>200</v>
      </c>
      <c r="G1032" s="1" t="s">
        <v>2514</v>
      </c>
      <c r="H1032" s="234">
        <v>2</v>
      </c>
      <c r="I1032" s="235">
        <f t="shared" si="78"/>
        <v>400</v>
      </c>
      <c r="K1032" s="241">
        <f>1.54*F1032</f>
        <v>308</v>
      </c>
      <c r="N1032" s="235">
        <v>0</v>
      </c>
      <c r="O1032" s="235">
        <f t="shared" si="77"/>
        <v>400</v>
      </c>
      <c r="P1032" s="238" t="s">
        <v>4117</v>
      </c>
      <c r="Q1032" s="1" t="s">
        <v>2529</v>
      </c>
      <c r="R1032" s="239" t="s">
        <v>4118</v>
      </c>
      <c r="S1032" s="238" t="s">
        <v>4119</v>
      </c>
      <c r="T1032" s="238" t="s">
        <v>4120</v>
      </c>
      <c r="V1032" s="238" t="s">
        <v>4121</v>
      </c>
      <c r="W1032" s="236">
        <v>11516</v>
      </c>
      <c r="X1032" s="233">
        <v>41267</v>
      </c>
      <c r="Y1032" s="238" t="s">
        <v>3980</v>
      </c>
      <c r="AB1032" s="1" t="s">
        <v>2094</v>
      </c>
    </row>
    <row r="1033" spans="1:28" ht="11.25" customHeight="1">
      <c r="A1033" s="233">
        <v>41240</v>
      </c>
      <c r="B1033" s="1" t="s">
        <v>4116</v>
      </c>
      <c r="C1033" s="1" t="s">
        <v>2095</v>
      </c>
      <c r="D1033" s="5" t="s">
        <v>2026</v>
      </c>
      <c r="E1033" s="1" t="s">
        <v>2513</v>
      </c>
      <c r="F1033" s="1">
        <v>1000</v>
      </c>
      <c r="G1033" s="1" t="s">
        <v>5002</v>
      </c>
      <c r="H1033" s="234">
        <v>1.72</v>
      </c>
      <c r="I1033" s="235">
        <f t="shared" si="78"/>
        <v>1720</v>
      </c>
      <c r="K1033" s="241">
        <f>1.4*F1033</f>
        <v>1400</v>
      </c>
      <c r="N1033" s="235">
        <v>0</v>
      </c>
      <c r="O1033" s="235">
        <f t="shared" si="77"/>
        <v>1720</v>
      </c>
      <c r="P1033" s="238" t="s">
        <v>4117</v>
      </c>
      <c r="Q1033" s="1" t="s">
        <v>2529</v>
      </c>
      <c r="R1033" s="239" t="s">
        <v>4118</v>
      </c>
      <c r="S1033" s="238" t="s">
        <v>4119</v>
      </c>
      <c r="T1033" s="238" t="s">
        <v>4120</v>
      </c>
      <c r="U1033" s="238" t="s">
        <v>4122</v>
      </c>
      <c r="V1033" s="238" t="s">
        <v>4121</v>
      </c>
      <c r="W1033" s="236">
        <v>11516</v>
      </c>
      <c r="X1033" s="233">
        <v>41267</v>
      </c>
      <c r="Y1033" s="238" t="s">
        <v>3980</v>
      </c>
      <c r="AB1033" s="1" t="s">
        <v>2094</v>
      </c>
    </row>
    <row r="1034" spans="1:28" ht="11.25" customHeight="1">
      <c r="A1034" s="233">
        <v>41240</v>
      </c>
      <c r="B1034" s="1" t="s">
        <v>4116</v>
      </c>
      <c r="C1034" s="1" t="s">
        <v>2095</v>
      </c>
      <c r="D1034" s="1" t="s">
        <v>1216</v>
      </c>
      <c r="E1034" s="1">
        <v>3200</v>
      </c>
      <c r="F1034" s="1">
        <v>200</v>
      </c>
      <c r="G1034" s="1" t="s">
        <v>2101</v>
      </c>
      <c r="H1034" s="234">
        <v>30.5</v>
      </c>
      <c r="I1034" s="235">
        <f t="shared" si="78"/>
        <v>6100</v>
      </c>
      <c r="K1034" s="241">
        <f>20.89*F1034</f>
        <v>4178</v>
      </c>
      <c r="N1034" s="235">
        <v>0</v>
      </c>
      <c r="O1034" s="235">
        <f t="shared" si="77"/>
        <v>6100</v>
      </c>
      <c r="P1034" s="238" t="s">
        <v>4117</v>
      </c>
      <c r="Q1034" s="1" t="s">
        <v>2529</v>
      </c>
      <c r="R1034" s="239" t="s">
        <v>4118</v>
      </c>
      <c r="S1034" s="238" t="s">
        <v>4119</v>
      </c>
      <c r="T1034" s="238" t="s">
        <v>4120</v>
      </c>
      <c r="U1034" s="238" t="s">
        <v>4122</v>
      </c>
      <c r="V1034" s="238" t="s">
        <v>4121</v>
      </c>
      <c r="W1034" s="236">
        <v>11516</v>
      </c>
      <c r="X1034" s="233">
        <v>41267</v>
      </c>
      <c r="Y1034" s="238" t="s">
        <v>3980</v>
      </c>
      <c r="AB1034" s="1" t="s">
        <v>2094</v>
      </c>
    </row>
    <row r="1035" spans="1:28" ht="11.25" customHeight="1">
      <c r="A1035" s="233">
        <v>41240</v>
      </c>
      <c r="B1035" s="1" t="s">
        <v>4116</v>
      </c>
      <c r="C1035" s="1" t="s">
        <v>2095</v>
      </c>
      <c r="D1035" s="5" t="s">
        <v>1895</v>
      </c>
      <c r="E1035" s="1" t="s">
        <v>2419</v>
      </c>
      <c r="F1035" s="1">
        <v>100</v>
      </c>
      <c r="G1035" s="1" t="s">
        <v>2101</v>
      </c>
      <c r="H1035" s="234">
        <v>15.86</v>
      </c>
      <c r="I1035" s="235">
        <f t="shared" si="78"/>
        <v>1586</v>
      </c>
      <c r="K1035" s="241">
        <f>10.94*F1035</f>
        <v>1094</v>
      </c>
      <c r="N1035" s="235">
        <v>0</v>
      </c>
      <c r="O1035" s="235">
        <f t="shared" si="77"/>
        <v>1586</v>
      </c>
      <c r="P1035" s="238" t="s">
        <v>4117</v>
      </c>
      <c r="Q1035" s="1" t="s">
        <v>2529</v>
      </c>
      <c r="R1035" s="239" t="s">
        <v>4118</v>
      </c>
      <c r="S1035" s="238" t="s">
        <v>4119</v>
      </c>
      <c r="T1035" s="238" t="s">
        <v>4120</v>
      </c>
      <c r="U1035" s="238" t="s">
        <v>4122</v>
      </c>
      <c r="V1035" s="238" t="s">
        <v>4121</v>
      </c>
      <c r="W1035" s="236">
        <v>11516</v>
      </c>
      <c r="X1035" s="233">
        <v>41267</v>
      </c>
      <c r="Y1035" s="238" t="s">
        <v>3980</v>
      </c>
      <c r="AB1035" s="1" t="s">
        <v>2094</v>
      </c>
    </row>
    <row r="1036" spans="1:28" ht="11.25" customHeight="1">
      <c r="A1036" s="233">
        <v>41240</v>
      </c>
      <c r="B1036" s="1" t="s">
        <v>4116</v>
      </c>
      <c r="C1036" s="1" t="s">
        <v>2095</v>
      </c>
      <c r="D1036" s="5" t="s">
        <v>264</v>
      </c>
      <c r="E1036" s="1" t="s">
        <v>2134</v>
      </c>
      <c r="F1036" s="1">
        <v>100</v>
      </c>
      <c r="G1036" s="1" t="s">
        <v>2101</v>
      </c>
      <c r="H1036" s="234">
        <v>2.2999999999999998</v>
      </c>
      <c r="I1036" s="235">
        <f t="shared" si="78"/>
        <v>229.99999999999997</v>
      </c>
      <c r="K1036" s="241">
        <f>1.17*F1036</f>
        <v>117</v>
      </c>
      <c r="N1036" s="235">
        <v>0</v>
      </c>
      <c r="O1036" s="235">
        <f t="shared" si="77"/>
        <v>229.99999999999997</v>
      </c>
      <c r="P1036" s="238" t="s">
        <v>4117</v>
      </c>
      <c r="Q1036" s="1" t="s">
        <v>2529</v>
      </c>
      <c r="R1036" s="239" t="s">
        <v>4118</v>
      </c>
      <c r="S1036" s="238" t="s">
        <v>4119</v>
      </c>
      <c r="T1036" s="238" t="s">
        <v>4120</v>
      </c>
      <c r="U1036" s="238" t="s">
        <v>4122</v>
      </c>
      <c r="V1036" s="238" t="s">
        <v>4121</v>
      </c>
      <c r="W1036" s="236">
        <v>11516</v>
      </c>
      <c r="X1036" s="233">
        <v>41267</v>
      </c>
      <c r="Y1036" s="238" t="s">
        <v>3980</v>
      </c>
      <c r="AB1036" s="1" t="s">
        <v>2094</v>
      </c>
    </row>
    <row r="1037" spans="1:28" ht="11.25" customHeight="1">
      <c r="A1037" s="233">
        <v>41240</v>
      </c>
      <c r="B1037" s="1" t="s">
        <v>4116</v>
      </c>
      <c r="C1037" s="1" t="s">
        <v>2095</v>
      </c>
      <c r="D1037" s="5" t="s">
        <v>1879</v>
      </c>
      <c r="E1037" s="1" t="s">
        <v>2136</v>
      </c>
      <c r="F1037" s="1">
        <v>300</v>
      </c>
      <c r="G1037" s="1" t="s">
        <v>2514</v>
      </c>
      <c r="H1037" s="234">
        <v>1.8</v>
      </c>
      <c r="I1037" s="235">
        <f t="shared" si="78"/>
        <v>540</v>
      </c>
      <c r="K1037" s="241">
        <f>1.575*F1037</f>
        <v>472.5</v>
      </c>
      <c r="N1037" s="235">
        <v>0</v>
      </c>
      <c r="O1037" s="235">
        <f t="shared" si="77"/>
        <v>540</v>
      </c>
      <c r="P1037" s="238" t="s">
        <v>4117</v>
      </c>
      <c r="Q1037" s="1" t="s">
        <v>2529</v>
      </c>
      <c r="R1037" s="239" t="s">
        <v>4118</v>
      </c>
      <c r="S1037" s="238" t="s">
        <v>4119</v>
      </c>
      <c r="T1037" s="238" t="s">
        <v>4120</v>
      </c>
      <c r="U1037" s="238" t="s">
        <v>4122</v>
      </c>
      <c r="V1037" s="238" t="s">
        <v>4121</v>
      </c>
      <c r="W1037" s="236">
        <v>11516</v>
      </c>
      <c r="X1037" s="233">
        <v>41267</v>
      </c>
      <c r="Y1037" s="238" t="s">
        <v>3980</v>
      </c>
      <c r="AB1037" s="1" t="s">
        <v>2094</v>
      </c>
    </row>
    <row r="1038" spans="1:28" ht="11.25" customHeight="1">
      <c r="A1038" s="233">
        <v>41241</v>
      </c>
      <c r="B1038" s="1" t="s">
        <v>3682</v>
      </c>
      <c r="C1038" s="1" t="s">
        <v>2095</v>
      </c>
      <c r="D1038" s="5" t="s">
        <v>2023</v>
      </c>
      <c r="E1038" s="1" t="s">
        <v>2096</v>
      </c>
      <c r="F1038" s="1">
        <v>20</v>
      </c>
      <c r="G1038" s="1" t="s">
        <v>2420</v>
      </c>
      <c r="H1038" s="234">
        <v>32</v>
      </c>
      <c r="I1038" s="235">
        <f t="shared" si="75"/>
        <v>640</v>
      </c>
      <c r="K1038" s="241">
        <f>29.25*20</f>
        <v>585</v>
      </c>
      <c r="L1038" s="237">
        <v>41241</v>
      </c>
      <c r="M1038" s="1" t="s">
        <v>2412</v>
      </c>
      <c r="N1038" s="235">
        <f t="shared" si="76"/>
        <v>640</v>
      </c>
      <c r="O1038" s="235">
        <f t="shared" ref="O1038:O1041" si="79">I1038-N1038</f>
        <v>0</v>
      </c>
      <c r="P1038" s="238" t="s">
        <v>4123</v>
      </c>
      <c r="Q1038" s="1" t="s">
        <v>2230</v>
      </c>
      <c r="R1038" s="239" t="s">
        <v>4124</v>
      </c>
      <c r="S1038" s="238" t="s">
        <v>4125</v>
      </c>
      <c r="T1038" s="239" t="s">
        <v>2097</v>
      </c>
      <c r="U1038" s="239" t="s">
        <v>2097</v>
      </c>
      <c r="V1038" s="238" t="s">
        <v>2512</v>
      </c>
      <c r="AB1038" s="1" t="s">
        <v>2551</v>
      </c>
    </row>
    <row r="1039" spans="1:28" ht="11.25" customHeight="1">
      <c r="A1039" s="233">
        <v>41241</v>
      </c>
      <c r="B1039" s="1" t="s">
        <v>3682</v>
      </c>
      <c r="C1039" s="1" t="s">
        <v>2095</v>
      </c>
      <c r="D1039" s="5" t="s">
        <v>1947</v>
      </c>
      <c r="E1039" s="1">
        <v>1110</v>
      </c>
      <c r="F1039" s="1">
        <v>100</v>
      </c>
      <c r="G1039" s="1" t="s">
        <v>2420</v>
      </c>
      <c r="H1039" s="234">
        <v>0.86</v>
      </c>
      <c r="I1039" s="235">
        <f t="shared" si="75"/>
        <v>86</v>
      </c>
      <c r="K1039" s="241">
        <f>0.77*F1039</f>
        <v>77</v>
      </c>
      <c r="L1039" s="237">
        <v>41241</v>
      </c>
      <c r="M1039" s="1" t="s">
        <v>2412</v>
      </c>
      <c r="N1039" s="235">
        <f t="shared" si="76"/>
        <v>86</v>
      </c>
      <c r="O1039" s="235">
        <f t="shared" si="79"/>
        <v>0</v>
      </c>
      <c r="P1039" s="238" t="s">
        <v>4126</v>
      </c>
      <c r="Q1039" s="1" t="s">
        <v>2230</v>
      </c>
      <c r="R1039" s="239" t="s">
        <v>4124</v>
      </c>
      <c r="S1039" s="238" t="s">
        <v>4125</v>
      </c>
      <c r="T1039" s="239" t="s">
        <v>2097</v>
      </c>
      <c r="U1039" s="239" t="s">
        <v>2097</v>
      </c>
      <c r="V1039" s="238" t="s">
        <v>3684</v>
      </c>
      <c r="W1039" s="236">
        <v>1077</v>
      </c>
      <c r="X1039" s="233">
        <v>41256</v>
      </c>
      <c r="Y1039" s="255">
        <v>23000504124</v>
      </c>
      <c r="AB1039" s="1" t="s">
        <v>2551</v>
      </c>
    </row>
    <row r="1040" spans="1:28" ht="11.25" customHeight="1">
      <c r="A1040" s="233">
        <v>41241</v>
      </c>
      <c r="B1040" s="5" t="s">
        <v>2738</v>
      </c>
      <c r="C1040" s="5" t="s">
        <v>2095</v>
      </c>
      <c r="D1040" s="5" t="s">
        <v>241</v>
      </c>
      <c r="E1040" s="5">
        <v>6200</v>
      </c>
      <c r="F1040" s="5">
        <v>-76</v>
      </c>
      <c r="G1040" s="5" t="s">
        <v>2101</v>
      </c>
      <c r="H1040" s="243">
        <v>79.400000000000006</v>
      </c>
      <c r="I1040" s="235">
        <f>H1040*F1040</f>
        <v>-6034.4000000000005</v>
      </c>
      <c r="J1040" s="352">
        <v>42.7</v>
      </c>
      <c r="K1040" s="241">
        <f>42.7*F1040</f>
        <v>-3245.2000000000003</v>
      </c>
      <c r="L1040" s="238" t="s">
        <v>2097</v>
      </c>
      <c r="M1040" s="238" t="s">
        <v>2097</v>
      </c>
      <c r="N1040" s="235">
        <f t="shared" si="76"/>
        <v>-6034.4000000000005</v>
      </c>
      <c r="O1040" s="235">
        <f t="shared" si="79"/>
        <v>0</v>
      </c>
      <c r="P1040" s="238" t="s">
        <v>2097</v>
      </c>
      <c r="Q1040" s="238" t="s">
        <v>2097</v>
      </c>
      <c r="R1040" s="238" t="s">
        <v>2097</v>
      </c>
      <c r="S1040" s="238" t="s">
        <v>2097</v>
      </c>
      <c r="T1040" s="238" t="s">
        <v>2097</v>
      </c>
      <c r="U1040" s="238" t="s">
        <v>2097</v>
      </c>
      <c r="V1040" s="238" t="s">
        <v>2097</v>
      </c>
      <c r="W1040" s="238" t="s">
        <v>2097</v>
      </c>
      <c r="X1040" s="238" t="s">
        <v>2097</v>
      </c>
      <c r="Y1040" s="238" t="s">
        <v>2097</v>
      </c>
      <c r="AA1040" s="240" t="s">
        <v>2746</v>
      </c>
      <c r="AB1040" s="1" t="s">
        <v>2094</v>
      </c>
    </row>
    <row r="1041" spans="1:28" ht="11.25" customHeight="1">
      <c r="A1041" s="233">
        <v>41241</v>
      </c>
      <c r="B1041" s="5" t="s">
        <v>2738</v>
      </c>
      <c r="C1041" s="5" t="s">
        <v>2095</v>
      </c>
      <c r="D1041" s="5" t="s">
        <v>1895</v>
      </c>
      <c r="E1041" s="5" t="s">
        <v>2516</v>
      </c>
      <c r="F1041" s="5">
        <v>-10</v>
      </c>
      <c r="G1041" s="5" t="s">
        <v>2101</v>
      </c>
      <c r="H1041" s="243">
        <v>28.6</v>
      </c>
      <c r="I1041" s="235">
        <f>H1041*F1041</f>
        <v>-286</v>
      </c>
      <c r="K1041" s="241">
        <f>16.5*F1041</f>
        <v>-165</v>
      </c>
      <c r="L1041" s="238" t="s">
        <v>2097</v>
      </c>
      <c r="M1041" s="238" t="s">
        <v>2097</v>
      </c>
      <c r="N1041" s="235">
        <f t="shared" si="76"/>
        <v>-286</v>
      </c>
      <c r="O1041" s="235">
        <f t="shared" si="79"/>
        <v>0</v>
      </c>
      <c r="P1041" s="238" t="s">
        <v>2097</v>
      </c>
      <c r="Q1041" s="238" t="s">
        <v>2097</v>
      </c>
      <c r="R1041" s="238" t="s">
        <v>2097</v>
      </c>
      <c r="S1041" s="238" t="s">
        <v>2097</v>
      </c>
      <c r="T1041" s="238" t="s">
        <v>2097</v>
      </c>
      <c r="U1041" s="238" t="s">
        <v>2097</v>
      </c>
      <c r="V1041" s="238" t="s">
        <v>2097</v>
      </c>
      <c r="W1041" s="238" t="s">
        <v>2097</v>
      </c>
      <c r="X1041" s="238" t="s">
        <v>2097</v>
      </c>
      <c r="Y1041" s="238" t="s">
        <v>2097</v>
      </c>
      <c r="AA1041" s="240" t="s">
        <v>2746</v>
      </c>
      <c r="AB1041" s="1" t="s">
        <v>2094</v>
      </c>
    </row>
    <row r="1042" spans="1:28" ht="11.25" customHeight="1">
      <c r="A1042" s="233">
        <v>41241</v>
      </c>
      <c r="B1042" s="136" t="s">
        <v>4069</v>
      </c>
      <c r="C1042" s="1" t="s">
        <v>2095</v>
      </c>
      <c r="D1042" s="5" t="s">
        <v>307</v>
      </c>
      <c r="E1042" s="1">
        <v>1270</v>
      </c>
      <c r="F1042" s="1">
        <v>120</v>
      </c>
      <c r="G1042" s="1" t="s">
        <v>2420</v>
      </c>
      <c r="H1042" s="234">
        <v>6.5</v>
      </c>
      <c r="I1042" s="235">
        <f>F1042*H1042</f>
        <v>780</v>
      </c>
      <c r="K1042" s="241">
        <f>4.31*F1042</f>
        <v>517.19999999999993</v>
      </c>
      <c r="N1042" s="235">
        <v>0</v>
      </c>
      <c r="O1042" s="235">
        <f>I1042-N1042</f>
        <v>780</v>
      </c>
      <c r="P1042" s="238" t="s">
        <v>4127</v>
      </c>
      <c r="Q1042" s="1" t="s">
        <v>3564</v>
      </c>
      <c r="R1042" s="239" t="s">
        <v>4071</v>
      </c>
      <c r="S1042" s="238" t="s">
        <v>4072</v>
      </c>
      <c r="T1042" s="238" t="s">
        <v>4073</v>
      </c>
      <c r="U1042" s="238" t="s">
        <v>4122</v>
      </c>
      <c r="V1042" s="238" t="s">
        <v>5541</v>
      </c>
      <c r="W1042" s="236">
        <v>1070</v>
      </c>
      <c r="X1042" s="233">
        <v>41346</v>
      </c>
      <c r="AB1042" s="1" t="s">
        <v>2094</v>
      </c>
    </row>
    <row r="1043" spans="1:28" ht="11.25" customHeight="1">
      <c r="A1043" s="233">
        <v>41242</v>
      </c>
      <c r="B1043" s="1" t="s">
        <v>2541</v>
      </c>
      <c r="C1043" s="1" t="s">
        <v>2095</v>
      </c>
      <c r="D1043" s="5" t="s">
        <v>1906</v>
      </c>
      <c r="E1043" s="1">
        <v>9032</v>
      </c>
      <c r="F1043" s="1">
        <v>1000</v>
      </c>
      <c r="G1043" s="1" t="s">
        <v>2101</v>
      </c>
      <c r="H1043" s="234">
        <v>1.7</v>
      </c>
      <c r="I1043" s="235">
        <f>H1043*F1043</f>
        <v>1700</v>
      </c>
      <c r="K1043" s="241">
        <f>1.4929*F1043</f>
        <v>1492.8999999999999</v>
      </c>
      <c r="L1043" s="237">
        <v>41242</v>
      </c>
      <c r="M1043" s="1" t="s">
        <v>2412</v>
      </c>
      <c r="N1043" s="235">
        <f t="shared" si="76"/>
        <v>1700</v>
      </c>
      <c r="O1043" s="235">
        <f>I1043-N1043</f>
        <v>0</v>
      </c>
      <c r="P1043" s="238" t="s">
        <v>4128</v>
      </c>
      <c r="Q1043" s="1" t="s">
        <v>2230</v>
      </c>
      <c r="R1043" s="239" t="s">
        <v>2543</v>
      </c>
      <c r="S1043" s="238" t="s">
        <v>2544</v>
      </c>
      <c r="T1043" s="238" t="s">
        <v>2097</v>
      </c>
      <c r="V1043" s="238" t="s">
        <v>2512</v>
      </c>
      <c r="AB1043" s="1" t="s">
        <v>2094</v>
      </c>
    </row>
    <row r="1044" spans="1:28" ht="11.25" customHeight="1">
      <c r="A1044" s="233">
        <v>41242</v>
      </c>
      <c r="B1044" s="1" t="s">
        <v>4129</v>
      </c>
      <c r="C1044" s="1" t="s">
        <v>2095</v>
      </c>
      <c r="D1044" s="5" t="s">
        <v>87</v>
      </c>
      <c r="E1044" s="1">
        <v>9032</v>
      </c>
      <c r="F1044" s="1">
        <v>50</v>
      </c>
      <c r="G1044" s="1" t="s">
        <v>2101</v>
      </c>
      <c r="H1044" s="234">
        <v>2.7</v>
      </c>
      <c r="I1044" s="235">
        <f>H1044*F1044</f>
        <v>135</v>
      </c>
      <c r="K1044" s="241">
        <f>1.4929*F1044</f>
        <v>74.644999999999996</v>
      </c>
      <c r="N1044" s="235">
        <v>0</v>
      </c>
      <c r="O1044" s="235">
        <f>I1044-N1044</f>
        <v>135</v>
      </c>
      <c r="P1044" s="238" t="s">
        <v>4130</v>
      </c>
      <c r="Q1044" s="1" t="s">
        <v>3564</v>
      </c>
      <c r="R1044" s="239" t="s">
        <v>4131</v>
      </c>
      <c r="S1044" s="238" t="s">
        <v>4132</v>
      </c>
      <c r="T1044" s="238" t="s">
        <v>4133</v>
      </c>
      <c r="U1044" s="238" t="s">
        <v>4134</v>
      </c>
      <c r="AB1044" s="1" t="s">
        <v>2094</v>
      </c>
    </row>
    <row r="1045" spans="1:28" ht="11.25" customHeight="1">
      <c r="A1045" s="233">
        <v>41242</v>
      </c>
      <c r="B1045" s="1" t="s">
        <v>2520</v>
      </c>
      <c r="C1045" s="1" t="s">
        <v>2095</v>
      </c>
      <c r="D1045" s="5" t="s">
        <v>1906</v>
      </c>
      <c r="E1045" s="1">
        <v>9032</v>
      </c>
      <c r="F1045" s="1">
        <v>500</v>
      </c>
      <c r="G1045" s="1" t="s">
        <v>2101</v>
      </c>
      <c r="H1045" s="234">
        <v>2.4</v>
      </c>
      <c r="I1045" s="236">
        <f>H1045*F1045</f>
        <v>1200</v>
      </c>
      <c r="K1045" s="241">
        <f>1.4929*F1045</f>
        <v>746.44999999999993</v>
      </c>
      <c r="L1045" s="237">
        <v>41242</v>
      </c>
      <c r="M1045" s="1" t="s">
        <v>2349</v>
      </c>
      <c r="N1045" s="235">
        <f t="shared" si="76"/>
        <v>1200</v>
      </c>
      <c r="O1045" s="235">
        <f t="shared" ref="O1045:O1064" si="80">I1045-N1045</f>
        <v>0</v>
      </c>
      <c r="P1045" s="238" t="s">
        <v>4135</v>
      </c>
      <c r="Q1045" s="1" t="s">
        <v>2586</v>
      </c>
      <c r="R1045" s="239" t="s">
        <v>2523</v>
      </c>
      <c r="S1045" s="238" t="s">
        <v>2524</v>
      </c>
      <c r="T1045" s="238" t="s">
        <v>2525</v>
      </c>
      <c r="U1045" s="238" t="s">
        <v>4136</v>
      </c>
      <c r="V1045" s="238" t="s">
        <v>2512</v>
      </c>
      <c r="AB1045" s="1" t="s">
        <v>2094</v>
      </c>
    </row>
    <row r="1046" spans="1:28" ht="11.25" customHeight="1">
      <c r="A1046" s="233">
        <v>41242</v>
      </c>
      <c r="B1046" s="1" t="s">
        <v>3772</v>
      </c>
      <c r="C1046" s="5" t="s">
        <v>2095</v>
      </c>
      <c r="D1046" s="5" t="s">
        <v>857</v>
      </c>
      <c r="E1046" s="1">
        <v>9031</v>
      </c>
      <c r="F1046" s="1">
        <v>-845</v>
      </c>
      <c r="G1046" s="232" t="s">
        <v>3134</v>
      </c>
      <c r="H1046" s="234">
        <v>2.2999999999999998</v>
      </c>
      <c r="I1046" s="235">
        <f t="shared" ref="I1046:I1075" si="81">F1046*H1046</f>
        <v>-1943.4999999999998</v>
      </c>
      <c r="K1046" s="241">
        <f>1.4929*F1046</f>
        <v>-1261.5004999999999</v>
      </c>
      <c r="L1046" s="238" t="s">
        <v>2097</v>
      </c>
      <c r="M1046" s="238" t="s">
        <v>2097</v>
      </c>
      <c r="N1046" s="235">
        <f t="shared" si="76"/>
        <v>-1943.4999999999998</v>
      </c>
      <c r="O1046" s="235">
        <f t="shared" si="80"/>
        <v>0</v>
      </c>
      <c r="P1046" s="238" t="s">
        <v>2097</v>
      </c>
      <c r="Q1046" s="238" t="s">
        <v>2097</v>
      </c>
      <c r="R1046" s="239" t="s">
        <v>3775</v>
      </c>
      <c r="S1046" s="238" t="s">
        <v>3776</v>
      </c>
      <c r="T1046" s="238" t="s">
        <v>3777</v>
      </c>
      <c r="V1046" s="238" t="s">
        <v>2512</v>
      </c>
      <c r="AA1046" s="240" t="s">
        <v>4137</v>
      </c>
      <c r="AB1046" s="1" t="s">
        <v>2094</v>
      </c>
    </row>
    <row r="1047" spans="1:28" ht="11.25" customHeight="1">
      <c r="A1047" s="233">
        <v>41242</v>
      </c>
      <c r="B1047" s="1" t="s">
        <v>3772</v>
      </c>
      <c r="C1047" s="5" t="s">
        <v>2095</v>
      </c>
      <c r="D1047" s="5" t="s">
        <v>1905</v>
      </c>
      <c r="E1047" s="1">
        <v>9032</v>
      </c>
      <c r="F1047" s="1">
        <v>845</v>
      </c>
      <c r="G1047" s="1" t="s">
        <v>2101</v>
      </c>
      <c r="H1047" s="234">
        <v>2.2999999999999998</v>
      </c>
      <c r="I1047" s="235">
        <f t="shared" si="81"/>
        <v>1943.4999999999998</v>
      </c>
      <c r="K1047" s="241">
        <f>1.4929*F1047</f>
        <v>1261.5004999999999</v>
      </c>
      <c r="L1047" s="237" t="s">
        <v>2097</v>
      </c>
      <c r="M1047" s="1" t="s">
        <v>2097</v>
      </c>
      <c r="N1047" s="235">
        <f t="shared" si="76"/>
        <v>1943.4999999999998</v>
      </c>
      <c r="O1047" s="235">
        <f t="shared" si="80"/>
        <v>0</v>
      </c>
      <c r="P1047" s="238" t="s">
        <v>4138</v>
      </c>
      <c r="Q1047" s="1" t="s">
        <v>2230</v>
      </c>
      <c r="R1047" s="239" t="s">
        <v>3775</v>
      </c>
      <c r="S1047" s="238" t="s">
        <v>3776</v>
      </c>
      <c r="T1047" s="238" t="s">
        <v>3777</v>
      </c>
      <c r="V1047" s="238" t="s">
        <v>2512</v>
      </c>
      <c r="AB1047" s="1" t="s">
        <v>2094</v>
      </c>
    </row>
    <row r="1048" spans="1:28" ht="11.25" customHeight="1">
      <c r="A1048" s="233">
        <v>41242</v>
      </c>
      <c r="B1048" s="1" t="s">
        <v>3559</v>
      </c>
      <c r="C1048" s="5" t="s">
        <v>2095</v>
      </c>
      <c r="D1048" s="5" t="s">
        <v>306</v>
      </c>
      <c r="E1048" s="1">
        <v>1426</v>
      </c>
      <c r="F1048" s="1">
        <v>3</v>
      </c>
      <c r="G1048" s="5" t="s">
        <v>2420</v>
      </c>
      <c r="H1048" s="234">
        <v>22.4</v>
      </c>
      <c r="I1048" s="235">
        <f t="shared" si="81"/>
        <v>67.199999999999989</v>
      </c>
      <c r="K1048" s="241">
        <f>19.422*F1048</f>
        <v>58.266000000000005</v>
      </c>
      <c r="L1048" s="237">
        <v>41242</v>
      </c>
      <c r="M1048" s="1" t="s">
        <v>2412</v>
      </c>
      <c r="N1048" s="235">
        <f t="shared" si="76"/>
        <v>67.199999999999989</v>
      </c>
      <c r="O1048" s="235">
        <f t="shared" si="80"/>
        <v>0</v>
      </c>
      <c r="P1048" s="238" t="s">
        <v>4113</v>
      </c>
      <c r="Q1048" s="1" t="s">
        <v>2529</v>
      </c>
      <c r="R1048" s="247" t="s">
        <v>2097</v>
      </c>
      <c r="S1048" s="238" t="s">
        <v>4139</v>
      </c>
      <c r="T1048" s="238" t="s">
        <v>3562</v>
      </c>
      <c r="U1048" s="238" t="s">
        <v>2097</v>
      </c>
      <c r="V1048" s="246" t="s">
        <v>2512</v>
      </c>
      <c r="AB1048" s="5" t="s">
        <v>2551</v>
      </c>
    </row>
    <row r="1049" spans="1:28" ht="11.25" customHeight="1">
      <c r="A1049" s="233">
        <v>41246</v>
      </c>
      <c r="B1049" s="1" t="s">
        <v>4140</v>
      </c>
      <c r="C1049" s="5" t="s">
        <v>2095</v>
      </c>
      <c r="D1049" s="1" t="s">
        <v>1219</v>
      </c>
      <c r="E1049" s="1" t="s">
        <v>2533</v>
      </c>
      <c r="F1049" s="1">
        <v>40</v>
      </c>
      <c r="G1049" s="1" t="s">
        <v>2420</v>
      </c>
      <c r="H1049" s="234">
        <v>13</v>
      </c>
      <c r="I1049" s="235">
        <f t="shared" si="81"/>
        <v>520</v>
      </c>
      <c r="K1049" s="250">
        <f>12.6*F1049</f>
        <v>504</v>
      </c>
      <c r="L1049" s="237">
        <v>41248</v>
      </c>
      <c r="M1049" s="1" t="s">
        <v>2412</v>
      </c>
      <c r="N1049" s="235">
        <f t="shared" si="76"/>
        <v>520</v>
      </c>
      <c r="O1049" s="235">
        <f t="shared" si="80"/>
        <v>0</v>
      </c>
      <c r="P1049" s="238" t="s">
        <v>4141</v>
      </c>
      <c r="Q1049" s="1" t="s">
        <v>2529</v>
      </c>
      <c r="R1049" s="239" t="s">
        <v>4142</v>
      </c>
      <c r="S1049" s="238" t="s">
        <v>4143</v>
      </c>
      <c r="T1049" s="238" t="s">
        <v>4144</v>
      </c>
      <c r="V1049" s="238" t="s">
        <v>2512</v>
      </c>
      <c r="AB1049" s="1" t="s">
        <v>2551</v>
      </c>
    </row>
    <row r="1050" spans="1:28" ht="11.25" customHeight="1">
      <c r="A1050" s="233">
        <v>41246</v>
      </c>
      <c r="B1050" s="1" t="s">
        <v>499</v>
      </c>
      <c r="C1050" s="5" t="s">
        <v>2095</v>
      </c>
      <c r="D1050" s="5" t="s">
        <v>2043</v>
      </c>
      <c r="E1050" s="1" t="s">
        <v>3194</v>
      </c>
      <c r="F1050" s="1">
        <v>1</v>
      </c>
      <c r="G1050" s="1" t="s">
        <v>3155</v>
      </c>
      <c r="H1050" s="234">
        <v>160</v>
      </c>
      <c r="I1050" s="235">
        <f t="shared" si="81"/>
        <v>160</v>
      </c>
      <c r="K1050" s="241">
        <f>107.64*F1050</f>
        <v>107.64</v>
      </c>
      <c r="L1050" s="237">
        <v>41246</v>
      </c>
      <c r="M1050" s="1" t="s">
        <v>2349</v>
      </c>
      <c r="N1050" s="235">
        <f t="shared" si="76"/>
        <v>160</v>
      </c>
      <c r="O1050" s="235">
        <f t="shared" si="80"/>
        <v>0</v>
      </c>
      <c r="P1050" s="238" t="s">
        <v>4145</v>
      </c>
      <c r="R1050" s="239" t="s">
        <v>4146</v>
      </c>
      <c r="S1050" s="238" t="s">
        <v>4147</v>
      </c>
      <c r="T1050" s="238" t="s">
        <v>4148</v>
      </c>
      <c r="V1050" s="238" t="s">
        <v>2512</v>
      </c>
      <c r="AB1050" s="1" t="s">
        <v>2094</v>
      </c>
    </row>
    <row r="1051" spans="1:28" ht="11.25" customHeight="1">
      <c r="A1051" s="233">
        <v>41247</v>
      </c>
      <c r="B1051" s="1" t="s">
        <v>3682</v>
      </c>
      <c r="C1051" s="1" t="s">
        <v>2095</v>
      </c>
      <c r="D1051" s="5" t="s">
        <v>1947</v>
      </c>
      <c r="E1051" s="1">
        <v>1110</v>
      </c>
      <c r="F1051" s="1">
        <v>100</v>
      </c>
      <c r="G1051" s="1" t="s">
        <v>2420</v>
      </c>
      <c r="H1051" s="234">
        <v>0.8</v>
      </c>
      <c r="I1051" s="235">
        <f t="shared" si="81"/>
        <v>80</v>
      </c>
      <c r="K1051" s="241">
        <f>0.77*F1051</f>
        <v>77</v>
      </c>
      <c r="L1051" s="237">
        <v>41247</v>
      </c>
      <c r="M1051" s="1" t="s">
        <v>2412</v>
      </c>
      <c r="N1051" s="235">
        <f t="shared" si="76"/>
        <v>80</v>
      </c>
      <c r="O1051" s="235">
        <f t="shared" si="80"/>
        <v>0</v>
      </c>
      <c r="P1051" s="238" t="s">
        <v>2097</v>
      </c>
      <c r="Q1051" s="1" t="s">
        <v>2230</v>
      </c>
      <c r="R1051" s="239" t="s">
        <v>4124</v>
      </c>
      <c r="S1051" s="238" t="s">
        <v>4125</v>
      </c>
      <c r="T1051" s="239" t="s">
        <v>2097</v>
      </c>
      <c r="U1051" s="239" t="s">
        <v>2097</v>
      </c>
      <c r="V1051" s="238" t="s">
        <v>2512</v>
      </c>
      <c r="AB1051" s="1" t="s">
        <v>2551</v>
      </c>
    </row>
    <row r="1052" spans="1:28" ht="11.25" customHeight="1">
      <c r="A1052" s="233">
        <v>41247</v>
      </c>
      <c r="B1052" s="228" t="s">
        <v>2673</v>
      </c>
      <c r="C1052" s="1" t="s">
        <v>2095</v>
      </c>
      <c r="D1052" s="5" t="s">
        <v>2054</v>
      </c>
      <c r="E1052" s="5" t="s">
        <v>3970</v>
      </c>
      <c r="F1052" s="5">
        <v>-10</v>
      </c>
      <c r="G1052" s="1" t="s">
        <v>2420</v>
      </c>
      <c r="H1052" s="234">
        <v>43</v>
      </c>
      <c r="I1052" s="235">
        <f t="shared" si="81"/>
        <v>-430</v>
      </c>
      <c r="K1052" s="241">
        <f>30*-9+52*-1</f>
        <v>-322</v>
      </c>
      <c r="L1052" s="238" t="s">
        <v>2097</v>
      </c>
      <c r="M1052" s="238" t="s">
        <v>2097</v>
      </c>
      <c r="N1052" s="235">
        <f t="shared" si="76"/>
        <v>-430</v>
      </c>
      <c r="O1052" s="235">
        <f t="shared" si="80"/>
        <v>0</v>
      </c>
      <c r="P1052" s="238" t="s">
        <v>2097</v>
      </c>
      <c r="Q1052" s="238" t="s">
        <v>2097</v>
      </c>
      <c r="R1052" s="239" t="s">
        <v>3174</v>
      </c>
      <c r="S1052" s="238" t="s">
        <v>3175</v>
      </c>
      <c r="T1052" s="238" t="s">
        <v>2097</v>
      </c>
      <c r="U1052" s="238" t="s">
        <v>2097</v>
      </c>
      <c r="V1052" s="238" t="s">
        <v>2097</v>
      </c>
      <c r="W1052" s="238" t="s">
        <v>2097</v>
      </c>
      <c r="X1052" s="238" t="s">
        <v>2097</v>
      </c>
      <c r="Y1052" s="238" t="s">
        <v>2097</v>
      </c>
      <c r="AB1052" s="1" t="s">
        <v>2551</v>
      </c>
    </row>
    <row r="1053" spans="1:28" ht="11.25" customHeight="1">
      <c r="A1053" s="233">
        <v>41247</v>
      </c>
      <c r="B1053" s="1" t="s">
        <v>3496</v>
      </c>
      <c r="C1053" s="1" t="s">
        <v>2095</v>
      </c>
      <c r="D1053" s="5" t="s">
        <v>1887</v>
      </c>
      <c r="E1053" s="1" t="s">
        <v>4149</v>
      </c>
      <c r="F1053" s="1">
        <v>200</v>
      </c>
      <c r="G1053" s="1" t="s">
        <v>2514</v>
      </c>
      <c r="H1053" s="234">
        <v>2.8</v>
      </c>
      <c r="I1053" s="236">
        <f t="shared" si="81"/>
        <v>560</v>
      </c>
      <c r="K1053" s="241">
        <f>1.24*F1053</f>
        <v>248</v>
      </c>
      <c r="L1053" s="237">
        <v>41305</v>
      </c>
      <c r="M1053" s="1" t="s">
        <v>167</v>
      </c>
      <c r="N1053" s="235">
        <f t="shared" si="76"/>
        <v>560</v>
      </c>
      <c r="O1053" s="235">
        <f t="shared" si="80"/>
        <v>0</v>
      </c>
      <c r="P1053" s="238" t="s">
        <v>4150</v>
      </c>
      <c r="Q1053" s="1" t="s">
        <v>2230</v>
      </c>
      <c r="R1053" s="239" t="s">
        <v>1395</v>
      </c>
      <c r="S1053" s="238" t="s">
        <v>4151</v>
      </c>
      <c r="T1053" s="238" t="s">
        <v>2275</v>
      </c>
      <c r="U1053" s="238" t="s">
        <v>2276</v>
      </c>
      <c r="V1053" s="238" t="s">
        <v>3821</v>
      </c>
      <c r="W1053" s="236">
        <v>2987.5</v>
      </c>
      <c r="X1053" s="233">
        <v>41247</v>
      </c>
      <c r="Y1053" s="238" t="s">
        <v>2276</v>
      </c>
      <c r="AB1053" s="1" t="s">
        <v>3822</v>
      </c>
    </row>
    <row r="1054" spans="1:28" ht="11.25" customHeight="1">
      <c r="A1054" s="233">
        <v>41247</v>
      </c>
      <c r="B1054" s="1" t="s">
        <v>2279</v>
      </c>
      <c r="C1054" s="1" t="s">
        <v>2259</v>
      </c>
      <c r="D1054" s="5" t="s">
        <v>4152</v>
      </c>
      <c r="E1054" s="1" t="s">
        <v>3905</v>
      </c>
      <c r="F1054" s="1">
        <v>200</v>
      </c>
      <c r="G1054" s="1" t="s">
        <v>3831</v>
      </c>
      <c r="H1054" s="234">
        <v>1.8</v>
      </c>
      <c r="I1054" s="236">
        <f t="shared" si="81"/>
        <v>360</v>
      </c>
      <c r="K1054" s="241">
        <f>1.17*F1054</f>
        <v>234</v>
      </c>
      <c r="L1054" s="237">
        <v>41305</v>
      </c>
      <c r="M1054" s="1" t="s">
        <v>167</v>
      </c>
      <c r="N1054" s="235">
        <f t="shared" si="76"/>
        <v>360</v>
      </c>
      <c r="O1054" s="235">
        <f t="shared" si="80"/>
        <v>0</v>
      </c>
      <c r="P1054" s="238" t="s">
        <v>4153</v>
      </c>
      <c r="Q1054" s="1" t="s">
        <v>3827</v>
      </c>
      <c r="R1054" s="239" t="s">
        <v>1395</v>
      </c>
      <c r="S1054" s="238" t="s">
        <v>4151</v>
      </c>
      <c r="T1054" s="238" t="s">
        <v>2275</v>
      </c>
      <c r="U1054" s="238" t="s">
        <v>2276</v>
      </c>
      <c r="V1054" s="238" t="s">
        <v>3821</v>
      </c>
      <c r="W1054" s="236">
        <v>2987.5</v>
      </c>
      <c r="X1054" s="233">
        <v>41247</v>
      </c>
      <c r="Y1054" s="238" t="s">
        <v>2276</v>
      </c>
      <c r="AB1054" s="1" t="s">
        <v>3822</v>
      </c>
    </row>
    <row r="1055" spans="1:28" ht="11.25" customHeight="1">
      <c r="A1055" s="233">
        <v>41247</v>
      </c>
      <c r="B1055" s="1" t="s">
        <v>2279</v>
      </c>
      <c r="C1055" s="1" t="s">
        <v>2259</v>
      </c>
      <c r="D1055" s="5" t="s">
        <v>3824</v>
      </c>
      <c r="E1055" s="1">
        <v>4620</v>
      </c>
      <c r="F1055" s="1">
        <v>20</v>
      </c>
      <c r="G1055" s="1" t="s">
        <v>3825</v>
      </c>
      <c r="H1055" s="234">
        <v>22.5</v>
      </c>
      <c r="I1055" s="236">
        <f t="shared" si="81"/>
        <v>450</v>
      </c>
      <c r="K1055" s="241">
        <f>17.79*F1055</f>
        <v>355.79999999999995</v>
      </c>
      <c r="L1055" s="237">
        <v>41305</v>
      </c>
      <c r="M1055" s="1" t="s">
        <v>167</v>
      </c>
      <c r="N1055" s="235">
        <f t="shared" si="76"/>
        <v>450</v>
      </c>
      <c r="O1055" s="235">
        <f t="shared" si="80"/>
        <v>0</v>
      </c>
      <c r="P1055" s="238" t="s">
        <v>4153</v>
      </c>
      <c r="Q1055" s="1" t="s">
        <v>3827</v>
      </c>
      <c r="R1055" s="239" t="s">
        <v>1395</v>
      </c>
      <c r="S1055" s="238" t="s">
        <v>4151</v>
      </c>
      <c r="T1055" s="238" t="s">
        <v>2275</v>
      </c>
      <c r="U1055" s="238" t="s">
        <v>2276</v>
      </c>
      <c r="V1055" s="238" t="s">
        <v>3821</v>
      </c>
      <c r="W1055" s="236">
        <v>2987.5</v>
      </c>
      <c r="X1055" s="233">
        <v>41247</v>
      </c>
      <c r="Y1055" s="238" t="s">
        <v>2276</v>
      </c>
      <c r="AB1055" s="1" t="s">
        <v>3822</v>
      </c>
    </row>
    <row r="1056" spans="1:28" ht="11.25" customHeight="1">
      <c r="A1056" s="233">
        <v>41247</v>
      </c>
      <c r="B1056" s="1" t="s">
        <v>4154</v>
      </c>
      <c r="C1056" s="1" t="s">
        <v>2259</v>
      </c>
      <c r="D1056" s="5" t="s">
        <v>233</v>
      </c>
      <c r="E1056" s="1" t="s">
        <v>4155</v>
      </c>
      <c r="F1056" s="1">
        <v>3000</v>
      </c>
      <c r="G1056" s="1" t="s">
        <v>3831</v>
      </c>
      <c r="H1056" s="234">
        <v>1.63</v>
      </c>
      <c r="I1056" s="235">
        <f t="shared" si="81"/>
        <v>4890</v>
      </c>
      <c r="K1056" s="241">
        <f>1.24*F1056</f>
        <v>3720</v>
      </c>
      <c r="L1056" s="237">
        <v>41247</v>
      </c>
      <c r="M1056" s="1" t="s">
        <v>2262</v>
      </c>
      <c r="N1056" s="235">
        <f t="shared" si="76"/>
        <v>4890</v>
      </c>
      <c r="O1056" s="235">
        <f t="shared" si="80"/>
        <v>0</v>
      </c>
      <c r="P1056" s="238" t="s">
        <v>4156</v>
      </c>
      <c r="Q1056" s="1" t="s">
        <v>3827</v>
      </c>
      <c r="R1056" s="239" t="s">
        <v>4157</v>
      </c>
      <c r="S1056" s="238" t="s">
        <v>4158</v>
      </c>
      <c r="T1056" s="238" t="s">
        <v>4159</v>
      </c>
      <c r="U1056" s="238" t="s">
        <v>2276</v>
      </c>
      <c r="V1056" s="238" t="s">
        <v>4160</v>
      </c>
      <c r="W1056" s="236">
        <v>4890</v>
      </c>
      <c r="X1056" s="233">
        <v>41247</v>
      </c>
      <c r="Y1056" s="238" t="s">
        <v>2276</v>
      </c>
      <c r="AB1056" s="1" t="s">
        <v>3838</v>
      </c>
    </row>
    <row r="1057" spans="1:28" ht="11.25" customHeight="1">
      <c r="A1057" s="233">
        <v>41248</v>
      </c>
      <c r="B1057" s="1" t="s">
        <v>4161</v>
      </c>
      <c r="C1057" s="1" t="s">
        <v>2259</v>
      </c>
      <c r="D1057" s="5" t="s">
        <v>4162</v>
      </c>
      <c r="E1057" s="1">
        <v>9031</v>
      </c>
      <c r="F1057" s="1">
        <v>100</v>
      </c>
      <c r="G1057" s="232" t="s">
        <v>4163</v>
      </c>
      <c r="H1057" s="234">
        <v>2.5</v>
      </c>
      <c r="I1057" s="235">
        <f t="shared" si="81"/>
        <v>250</v>
      </c>
      <c r="K1057" s="241">
        <f>1.4929*F1057</f>
        <v>149.29</v>
      </c>
      <c r="L1057" s="237">
        <v>41248</v>
      </c>
      <c r="M1057" s="1" t="s">
        <v>3841</v>
      </c>
      <c r="N1057" s="235">
        <f t="shared" si="76"/>
        <v>250</v>
      </c>
      <c r="O1057" s="235">
        <f t="shared" si="80"/>
        <v>0</v>
      </c>
      <c r="P1057" s="238" t="s">
        <v>4164</v>
      </c>
      <c r="Q1057" s="1" t="s">
        <v>4165</v>
      </c>
      <c r="R1057" s="239" t="s">
        <v>1425</v>
      </c>
      <c r="S1057" s="238" t="s">
        <v>4166</v>
      </c>
      <c r="T1057" s="238" t="s">
        <v>1424</v>
      </c>
      <c r="U1057" s="238" t="s">
        <v>4167</v>
      </c>
      <c r="V1057" s="238" t="s">
        <v>4168</v>
      </c>
      <c r="AB1057" s="1" t="s">
        <v>4169</v>
      </c>
    </row>
    <row r="1058" spans="1:28" ht="11.25" customHeight="1">
      <c r="A1058" s="233">
        <v>41248</v>
      </c>
      <c r="B1058" s="1" t="s">
        <v>4170</v>
      </c>
      <c r="C1058" s="1" t="s">
        <v>4171</v>
      </c>
      <c r="D1058" s="5" t="s">
        <v>4172</v>
      </c>
      <c r="E1058" s="1" t="s">
        <v>4173</v>
      </c>
      <c r="F1058" s="1">
        <v>500</v>
      </c>
      <c r="G1058" s="1" t="s">
        <v>5002</v>
      </c>
      <c r="H1058" s="234">
        <v>1.59</v>
      </c>
      <c r="I1058" s="235">
        <f t="shared" si="81"/>
        <v>795</v>
      </c>
      <c r="K1058" s="241">
        <f>1.4*F1058</f>
        <v>700</v>
      </c>
      <c r="L1058" s="237">
        <v>41309</v>
      </c>
      <c r="M1058" s="1" t="s">
        <v>166</v>
      </c>
      <c r="N1058" s="235">
        <f t="shared" si="76"/>
        <v>795</v>
      </c>
      <c r="O1058" s="235">
        <f t="shared" si="80"/>
        <v>0</v>
      </c>
      <c r="P1058" s="238" t="s">
        <v>4175</v>
      </c>
      <c r="Q1058" s="1" t="s">
        <v>4176</v>
      </c>
      <c r="R1058" s="239" t="s">
        <v>4177</v>
      </c>
      <c r="S1058" s="238" t="s">
        <v>4178</v>
      </c>
      <c r="T1058" s="238" t="s">
        <v>4179</v>
      </c>
      <c r="U1058" s="238" t="s">
        <v>4180</v>
      </c>
      <c r="V1058" s="238" t="s">
        <v>4168</v>
      </c>
      <c r="AB1058" s="1" t="s">
        <v>4181</v>
      </c>
    </row>
    <row r="1059" spans="1:28" ht="11.25" customHeight="1">
      <c r="A1059" s="233">
        <v>41248</v>
      </c>
      <c r="B1059" s="1" t="s">
        <v>4170</v>
      </c>
      <c r="C1059" s="1" t="s">
        <v>4171</v>
      </c>
      <c r="D1059" s="1" t="s">
        <v>1225</v>
      </c>
      <c r="E1059" s="1" t="s">
        <v>4182</v>
      </c>
      <c r="F1059" s="1">
        <v>400</v>
      </c>
      <c r="G1059" s="1" t="s">
        <v>4183</v>
      </c>
      <c r="H1059" s="234">
        <v>4.0999999999999996</v>
      </c>
      <c r="I1059" s="235">
        <f t="shared" si="81"/>
        <v>1639.9999999999998</v>
      </c>
      <c r="K1059" s="241">
        <f>3.86*F1059</f>
        <v>1544</v>
      </c>
      <c r="L1059" s="237">
        <v>41338</v>
      </c>
      <c r="M1059" s="1" t="s">
        <v>166</v>
      </c>
      <c r="N1059" s="235">
        <f t="shared" si="76"/>
        <v>1639.9999999999998</v>
      </c>
      <c r="O1059" s="235">
        <f t="shared" si="80"/>
        <v>0</v>
      </c>
      <c r="P1059" s="238" t="s">
        <v>4175</v>
      </c>
      <c r="Q1059" s="1" t="s">
        <v>4176</v>
      </c>
      <c r="R1059" s="239" t="s">
        <v>4177</v>
      </c>
      <c r="S1059" s="238" t="s">
        <v>4178</v>
      </c>
      <c r="T1059" s="238" t="s">
        <v>4179</v>
      </c>
      <c r="U1059" s="238" t="s">
        <v>4180</v>
      </c>
      <c r="V1059" s="238" t="s">
        <v>4168</v>
      </c>
      <c r="AB1059" s="1" t="s">
        <v>4181</v>
      </c>
    </row>
    <row r="1060" spans="1:28" ht="11.25" customHeight="1">
      <c r="A1060" s="233">
        <v>41248</v>
      </c>
      <c r="B1060" s="1" t="s">
        <v>4184</v>
      </c>
      <c r="C1060" s="1" t="s">
        <v>4171</v>
      </c>
      <c r="D1060" s="5" t="s">
        <v>857</v>
      </c>
      <c r="E1060" s="1">
        <v>9032</v>
      </c>
      <c r="F1060" s="1">
        <v>100</v>
      </c>
      <c r="G1060" s="1" t="s">
        <v>4183</v>
      </c>
      <c r="H1060" s="234">
        <v>2.1</v>
      </c>
      <c r="I1060" s="235">
        <f t="shared" si="81"/>
        <v>210</v>
      </c>
      <c r="K1060" s="241">
        <f>1.4929*F1060</f>
        <v>149.29</v>
      </c>
      <c r="L1060" s="237">
        <v>41261</v>
      </c>
      <c r="M1060" s="1" t="s">
        <v>4185</v>
      </c>
      <c r="N1060" s="235">
        <f t="shared" si="76"/>
        <v>210</v>
      </c>
      <c r="O1060" s="235">
        <f t="shared" si="80"/>
        <v>0</v>
      </c>
      <c r="P1060" s="238" t="s">
        <v>4186</v>
      </c>
      <c r="Q1060" s="1" t="s">
        <v>4187</v>
      </c>
      <c r="R1060" s="239" t="s">
        <v>4188</v>
      </c>
      <c r="S1060" s="238" t="s">
        <v>4189</v>
      </c>
      <c r="T1060" s="238" t="s">
        <v>4190</v>
      </c>
      <c r="U1060" s="238" t="s">
        <v>4191</v>
      </c>
      <c r="V1060" s="238" t="s">
        <v>4168</v>
      </c>
      <c r="AB1060" s="1" t="s">
        <v>4169</v>
      </c>
    </row>
    <row r="1061" spans="1:28" ht="11.25" customHeight="1">
      <c r="A1061" s="233">
        <v>41249</v>
      </c>
      <c r="B1061" s="1" t="s">
        <v>4192</v>
      </c>
      <c r="C1061" s="5" t="s">
        <v>4171</v>
      </c>
      <c r="D1061" s="5" t="s">
        <v>4193</v>
      </c>
      <c r="E1061" s="1">
        <v>9032</v>
      </c>
      <c r="F1061" s="1">
        <v>200</v>
      </c>
      <c r="G1061" s="1" t="s">
        <v>4183</v>
      </c>
      <c r="H1061" s="234">
        <v>2.7</v>
      </c>
      <c r="I1061" s="235">
        <f t="shared" si="81"/>
        <v>540</v>
      </c>
      <c r="K1061" s="241">
        <f>1.4929*F1061</f>
        <v>298.58</v>
      </c>
      <c r="N1061" s="235">
        <v>0</v>
      </c>
      <c r="O1061" s="235">
        <f t="shared" si="80"/>
        <v>540</v>
      </c>
      <c r="P1061" s="238" t="s">
        <v>4194</v>
      </c>
      <c r="Q1061" s="1" t="s">
        <v>4195</v>
      </c>
      <c r="R1061" s="239" t="s">
        <v>5516</v>
      </c>
      <c r="S1061" s="238" t="s">
        <v>5517</v>
      </c>
      <c r="T1061" s="238" t="s">
        <v>4196</v>
      </c>
      <c r="U1061" s="238" t="s">
        <v>4196</v>
      </c>
      <c r="V1061" s="238" t="s">
        <v>4197</v>
      </c>
      <c r="W1061" s="236">
        <v>3316</v>
      </c>
      <c r="X1061" s="233">
        <v>41257</v>
      </c>
      <c r="Y1061" s="238" t="s">
        <v>1564</v>
      </c>
      <c r="AB1061" s="1" t="s">
        <v>4169</v>
      </c>
    </row>
    <row r="1062" spans="1:28" ht="11.25" customHeight="1">
      <c r="A1062" s="233">
        <v>41249</v>
      </c>
      <c r="B1062" s="1" t="s">
        <v>4192</v>
      </c>
      <c r="C1062" s="5" t="s">
        <v>4171</v>
      </c>
      <c r="D1062" s="5" t="s">
        <v>4198</v>
      </c>
      <c r="E1062" s="1">
        <v>1270</v>
      </c>
      <c r="F1062" s="1">
        <v>20</v>
      </c>
      <c r="G1062" s="1" t="s">
        <v>4199</v>
      </c>
      <c r="H1062" s="234">
        <v>6.5</v>
      </c>
      <c r="I1062" s="235">
        <f t="shared" si="81"/>
        <v>130</v>
      </c>
      <c r="K1062" s="241">
        <f>4.22*F1062</f>
        <v>84.399999999999991</v>
      </c>
      <c r="N1062" s="235">
        <v>0</v>
      </c>
      <c r="O1062" s="235">
        <f t="shared" si="80"/>
        <v>130</v>
      </c>
      <c r="P1062" s="238" t="s">
        <v>4194</v>
      </c>
      <c r="Q1062" s="1" t="s">
        <v>4195</v>
      </c>
      <c r="R1062" s="239" t="s">
        <v>5516</v>
      </c>
      <c r="S1062" s="238" t="s">
        <v>5517</v>
      </c>
      <c r="T1062" s="238" t="s">
        <v>4196</v>
      </c>
      <c r="U1062" s="238" t="s">
        <v>4196</v>
      </c>
      <c r="V1062" s="238" t="s">
        <v>4197</v>
      </c>
      <c r="W1062" s="236">
        <v>3316</v>
      </c>
      <c r="X1062" s="233">
        <v>41257</v>
      </c>
      <c r="Y1062" s="238" t="s">
        <v>1564</v>
      </c>
      <c r="AB1062" s="1" t="s">
        <v>4169</v>
      </c>
    </row>
    <row r="1063" spans="1:28" ht="11.25" customHeight="1">
      <c r="A1063" s="233">
        <v>41249</v>
      </c>
      <c r="B1063" s="1" t="s">
        <v>4192</v>
      </c>
      <c r="C1063" s="5" t="s">
        <v>4171</v>
      </c>
      <c r="D1063" s="1" t="s">
        <v>1720</v>
      </c>
      <c r="E1063" s="1">
        <v>8210</v>
      </c>
      <c r="F1063" s="1">
        <v>40</v>
      </c>
      <c r="G1063" s="1" t="s">
        <v>4183</v>
      </c>
      <c r="H1063" s="234">
        <v>6.9</v>
      </c>
      <c r="I1063" s="235">
        <f t="shared" si="81"/>
        <v>276</v>
      </c>
      <c r="K1063" s="241">
        <f>3.63*F1063</f>
        <v>145.19999999999999</v>
      </c>
      <c r="N1063" s="235">
        <v>0</v>
      </c>
      <c r="O1063" s="235">
        <f t="shared" si="80"/>
        <v>276</v>
      </c>
      <c r="P1063" s="238" t="s">
        <v>4194</v>
      </c>
      <c r="Q1063" s="1" t="s">
        <v>4195</v>
      </c>
      <c r="R1063" s="239" t="s">
        <v>5516</v>
      </c>
      <c r="S1063" s="238" t="s">
        <v>5517</v>
      </c>
      <c r="T1063" s="238" t="s">
        <v>4196</v>
      </c>
      <c r="U1063" s="238" t="s">
        <v>4196</v>
      </c>
      <c r="V1063" s="238" t="s">
        <v>4197</v>
      </c>
      <c r="W1063" s="236">
        <v>3316</v>
      </c>
      <c r="X1063" s="233">
        <v>41257</v>
      </c>
      <c r="Y1063" s="238" t="s">
        <v>1564</v>
      </c>
      <c r="AB1063" s="1" t="s">
        <v>4169</v>
      </c>
    </row>
    <row r="1064" spans="1:28" ht="11.25" customHeight="1">
      <c r="A1064" s="233">
        <v>41249</v>
      </c>
      <c r="B1064" s="1" t="s">
        <v>4192</v>
      </c>
      <c r="C1064" s="5" t="s">
        <v>4171</v>
      </c>
      <c r="D1064" s="1" t="s">
        <v>4200</v>
      </c>
      <c r="E1064" s="1">
        <v>10434</v>
      </c>
      <c r="F1064" s="1">
        <v>50</v>
      </c>
      <c r="G1064" s="1" t="s">
        <v>4199</v>
      </c>
      <c r="H1064" s="234">
        <v>23</v>
      </c>
      <c r="I1064" s="235">
        <f t="shared" si="81"/>
        <v>1150</v>
      </c>
      <c r="K1064" s="241">
        <f>14.2*F1064</f>
        <v>710</v>
      </c>
      <c r="N1064" s="235">
        <v>0</v>
      </c>
      <c r="O1064" s="235">
        <f t="shared" si="80"/>
        <v>1150</v>
      </c>
      <c r="P1064" s="238" t="s">
        <v>4194</v>
      </c>
      <c r="Q1064" s="1" t="s">
        <v>4195</v>
      </c>
      <c r="R1064" s="239" t="s">
        <v>5516</v>
      </c>
      <c r="S1064" s="238" t="s">
        <v>5517</v>
      </c>
      <c r="T1064" s="238" t="s">
        <v>4196</v>
      </c>
      <c r="U1064" s="238" t="s">
        <v>4196</v>
      </c>
      <c r="V1064" s="238" t="s">
        <v>4197</v>
      </c>
      <c r="W1064" s="236">
        <v>3316</v>
      </c>
      <c r="X1064" s="233">
        <v>41257</v>
      </c>
      <c r="Y1064" s="238" t="s">
        <v>1564</v>
      </c>
      <c r="AB1064" s="1" t="s">
        <v>4169</v>
      </c>
    </row>
    <row r="1065" spans="1:28" ht="11.25" customHeight="1">
      <c r="A1065" s="233">
        <v>41249</v>
      </c>
      <c r="B1065" s="1" t="s">
        <v>4201</v>
      </c>
      <c r="C1065" s="5" t="s">
        <v>4171</v>
      </c>
      <c r="D1065" s="5" t="s">
        <v>4193</v>
      </c>
      <c r="E1065" s="1">
        <v>9032</v>
      </c>
      <c r="F1065" s="1">
        <v>100</v>
      </c>
      <c r="G1065" s="1" t="s">
        <v>4183</v>
      </c>
      <c r="H1065" s="234">
        <v>1.9</v>
      </c>
      <c r="I1065" s="235">
        <f t="shared" si="81"/>
        <v>190</v>
      </c>
      <c r="K1065" s="241">
        <f>1.4929*100</f>
        <v>149.29</v>
      </c>
      <c r="L1065" s="237">
        <v>41249</v>
      </c>
      <c r="M1065" s="1" t="s">
        <v>4185</v>
      </c>
      <c r="N1065" s="235">
        <f t="shared" si="76"/>
        <v>190</v>
      </c>
      <c r="O1065" s="235">
        <f t="shared" ref="O1065:O1075" si="82">I1065-N1065</f>
        <v>0</v>
      </c>
      <c r="P1065" s="238" t="s">
        <v>4202</v>
      </c>
      <c r="Q1065" s="1" t="s">
        <v>4203</v>
      </c>
      <c r="R1065" s="239" t="s">
        <v>4204</v>
      </c>
      <c r="S1065" s="238" t="s">
        <v>4205</v>
      </c>
      <c r="T1065" s="265" t="s">
        <v>4206</v>
      </c>
      <c r="U1065" s="238" t="s">
        <v>4207</v>
      </c>
      <c r="AB1065" s="1" t="s">
        <v>4181</v>
      </c>
    </row>
    <row r="1066" spans="1:28" ht="11.25" customHeight="1">
      <c r="A1066" s="233">
        <v>41249</v>
      </c>
      <c r="B1066" s="1" t="s">
        <v>4208</v>
      </c>
      <c r="C1066" s="5" t="s">
        <v>4171</v>
      </c>
      <c r="D1066" s="1" t="s">
        <v>1216</v>
      </c>
      <c r="E1066" s="1">
        <v>3200</v>
      </c>
      <c r="F1066" s="1">
        <v>50</v>
      </c>
      <c r="G1066" s="1" t="s">
        <v>4183</v>
      </c>
      <c r="H1066" s="234">
        <v>28.2</v>
      </c>
      <c r="I1066" s="235">
        <f t="shared" si="81"/>
        <v>1410</v>
      </c>
      <c r="K1066" s="241">
        <f>23.94*F1066</f>
        <v>1197</v>
      </c>
      <c r="L1066" s="237">
        <v>41250</v>
      </c>
      <c r="M1066" s="1" t="s">
        <v>4209</v>
      </c>
      <c r="N1066" s="235">
        <f t="shared" si="76"/>
        <v>1410</v>
      </c>
      <c r="O1066" s="235">
        <f t="shared" si="82"/>
        <v>0</v>
      </c>
      <c r="P1066" s="238" t="s">
        <v>4210</v>
      </c>
      <c r="Q1066" s="1" t="s">
        <v>4195</v>
      </c>
      <c r="R1066" s="239" t="s">
        <v>4211</v>
      </c>
      <c r="S1066" s="238" t="s">
        <v>4212</v>
      </c>
      <c r="T1066" s="238" t="s">
        <v>4213</v>
      </c>
      <c r="V1066" s="238" t="s">
        <v>4214</v>
      </c>
      <c r="W1066" s="236">
        <v>2600</v>
      </c>
      <c r="X1066" s="233">
        <v>41250</v>
      </c>
      <c r="Y1066" s="238" t="s">
        <v>4215</v>
      </c>
      <c r="AB1066" s="1" t="s">
        <v>4181</v>
      </c>
    </row>
    <row r="1067" spans="1:28" ht="11.25" customHeight="1">
      <c r="A1067" s="233">
        <v>41249</v>
      </c>
      <c r="B1067" s="1" t="s">
        <v>4208</v>
      </c>
      <c r="C1067" s="5" t="s">
        <v>4171</v>
      </c>
      <c r="D1067" s="5" t="s">
        <v>4216</v>
      </c>
      <c r="E1067" s="1">
        <v>3700</v>
      </c>
      <c r="F1067" s="1">
        <v>50</v>
      </c>
      <c r="G1067" s="1" t="s">
        <v>230</v>
      </c>
      <c r="H1067" s="234">
        <v>3.56</v>
      </c>
      <c r="I1067" s="235">
        <f t="shared" si="81"/>
        <v>178</v>
      </c>
      <c r="K1067" s="241">
        <f>3.09*F1067</f>
        <v>154.5</v>
      </c>
      <c r="L1067" s="237">
        <v>41250</v>
      </c>
      <c r="M1067" s="1" t="s">
        <v>4209</v>
      </c>
      <c r="N1067" s="235">
        <f t="shared" si="76"/>
        <v>178</v>
      </c>
      <c r="O1067" s="235">
        <f t="shared" si="82"/>
        <v>0</v>
      </c>
      <c r="P1067" s="238" t="s">
        <v>4210</v>
      </c>
      <c r="Q1067" s="1" t="s">
        <v>4195</v>
      </c>
      <c r="R1067" s="239" t="s">
        <v>4211</v>
      </c>
      <c r="S1067" s="238" t="s">
        <v>4212</v>
      </c>
      <c r="T1067" s="238" t="s">
        <v>4213</v>
      </c>
      <c r="V1067" s="238" t="s">
        <v>4214</v>
      </c>
      <c r="W1067" s="236">
        <v>2600</v>
      </c>
      <c r="X1067" s="233">
        <v>41250</v>
      </c>
      <c r="Y1067" s="238" t="s">
        <v>4215</v>
      </c>
      <c r="AB1067" s="1" t="s">
        <v>4181</v>
      </c>
    </row>
    <row r="1068" spans="1:28" ht="11.25" customHeight="1">
      <c r="A1068" s="233">
        <v>41249</v>
      </c>
      <c r="B1068" s="1" t="s">
        <v>4208</v>
      </c>
      <c r="C1068" s="5" t="s">
        <v>4171</v>
      </c>
      <c r="D1068" s="5" t="s">
        <v>233</v>
      </c>
      <c r="E1068" s="1" t="s">
        <v>4217</v>
      </c>
      <c r="F1068" s="1">
        <v>550</v>
      </c>
      <c r="G1068" s="1" t="s">
        <v>4174</v>
      </c>
      <c r="H1068" s="234">
        <v>1.84</v>
      </c>
      <c r="I1068" s="235">
        <f t="shared" si="81"/>
        <v>1012</v>
      </c>
      <c r="K1068" s="241">
        <f>1.54*F1068</f>
        <v>847</v>
      </c>
      <c r="L1068" s="237">
        <v>41250</v>
      </c>
      <c r="M1068" s="1" t="s">
        <v>4209</v>
      </c>
      <c r="N1068" s="235">
        <f t="shared" si="76"/>
        <v>1012</v>
      </c>
      <c r="O1068" s="235">
        <f t="shared" si="82"/>
        <v>0</v>
      </c>
      <c r="P1068" s="238" t="s">
        <v>4210</v>
      </c>
      <c r="Q1068" s="1" t="s">
        <v>4195</v>
      </c>
      <c r="R1068" s="239" t="s">
        <v>4211</v>
      </c>
      <c r="S1068" s="238" t="s">
        <v>4212</v>
      </c>
      <c r="T1068" s="238" t="s">
        <v>4213</v>
      </c>
      <c r="V1068" s="238" t="s">
        <v>4214</v>
      </c>
      <c r="W1068" s="236">
        <v>2600</v>
      </c>
      <c r="X1068" s="233">
        <v>41250</v>
      </c>
      <c r="Y1068" s="238" t="s">
        <v>4215</v>
      </c>
      <c r="AB1068" s="1" t="s">
        <v>4181</v>
      </c>
    </row>
    <row r="1069" spans="1:28" ht="11.25" customHeight="1">
      <c r="A1069" s="233">
        <v>41249</v>
      </c>
      <c r="B1069" s="1" t="s">
        <v>4218</v>
      </c>
      <c r="C1069" s="5" t="s">
        <v>4171</v>
      </c>
      <c r="D1069" s="5" t="s">
        <v>4219</v>
      </c>
      <c r="E1069" s="1">
        <v>12308</v>
      </c>
      <c r="F1069" s="1">
        <v>20</v>
      </c>
      <c r="G1069" s="1" t="s">
        <v>4199</v>
      </c>
      <c r="H1069" s="234">
        <v>26.5</v>
      </c>
      <c r="I1069" s="235">
        <f t="shared" si="81"/>
        <v>530</v>
      </c>
      <c r="K1069" s="241">
        <f>19.1*4+18.779*16</f>
        <v>376.86400000000003</v>
      </c>
      <c r="L1069" s="237">
        <v>41263</v>
      </c>
      <c r="M1069" s="1" t="s">
        <v>4220</v>
      </c>
      <c r="N1069" s="235">
        <f t="shared" si="76"/>
        <v>530</v>
      </c>
      <c r="O1069" s="235">
        <f t="shared" si="82"/>
        <v>0</v>
      </c>
      <c r="P1069" s="238" t="s">
        <v>4221</v>
      </c>
      <c r="Q1069" s="1" t="s">
        <v>4222</v>
      </c>
      <c r="R1069" s="239" t="s">
        <v>4223</v>
      </c>
      <c r="S1069" s="238" t="s">
        <v>4224</v>
      </c>
      <c r="T1069" s="238" t="s">
        <v>4225</v>
      </c>
      <c r="U1069" s="238" t="s">
        <v>4226</v>
      </c>
      <c r="V1069" s="238" t="s">
        <v>4227</v>
      </c>
      <c r="W1069" s="236">
        <v>9719.75</v>
      </c>
      <c r="X1069" s="233">
        <v>41250</v>
      </c>
      <c r="Y1069" s="238" t="s">
        <v>4228</v>
      </c>
      <c r="AB1069" s="1" t="s">
        <v>4169</v>
      </c>
    </row>
    <row r="1070" spans="1:28" ht="11.25" customHeight="1">
      <c r="A1070" s="233">
        <v>41249</v>
      </c>
      <c r="B1070" s="1" t="s">
        <v>4218</v>
      </c>
      <c r="C1070" s="5" t="s">
        <v>4171</v>
      </c>
      <c r="D1070" s="5" t="s">
        <v>290</v>
      </c>
      <c r="E1070" s="1" t="s">
        <v>4229</v>
      </c>
      <c r="F1070" s="1">
        <v>50</v>
      </c>
      <c r="G1070" s="1" t="s">
        <v>4199</v>
      </c>
      <c r="H1070" s="234">
        <v>1.615</v>
      </c>
      <c r="I1070" s="235">
        <f t="shared" si="81"/>
        <v>80.75</v>
      </c>
      <c r="K1070" s="241">
        <f>1.178*F1070</f>
        <v>58.9</v>
      </c>
      <c r="L1070" s="237">
        <v>41263</v>
      </c>
      <c r="M1070" s="1" t="s">
        <v>4220</v>
      </c>
      <c r="N1070" s="235">
        <f t="shared" si="76"/>
        <v>80.75</v>
      </c>
      <c r="O1070" s="235">
        <f t="shared" si="82"/>
        <v>0</v>
      </c>
      <c r="P1070" s="238" t="s">
        <v>4221</v>
      </c>
      <c r="Q1070" s="1" t="s">
        <v>4222</v>
      </c>
      <c r="R1070" s="239" t="s">
        <v>4223</v>
      </c>
      <c r="S1070" s="238" t="s">
        <v>4224</v>
      </c>
      <c r="T1070" s="238" t="s">
        <v>4225</v>
      </c>
      <c r="U1070" s="238" t="s">
        <v>4226</v>
      </c>
      <c r="V1070" s="238" t="s">
        <v>4227</v>
      </c>
      <c r="W1070" s="236">
        <v>9719.75</v>
      </c>
      <c r="X1070" s="233">
        <v>41250</v>
      </c>
      <c r="Y1070" s="238" t="s">
        <v>4228</v>
      </c>
      <c r="AB1070" s="1" t="s">
        <v>4169</v>
      </c>
    </row>
    <row r="1071" spans="1:28" ht="11.25" customHeight="1">
      <c r="A1071" s="233">
        <v>41249</v>
      </c>
      <c r="B1071" s="1" t="s">
        <v>4218</v>
      </c>
      <c r="C1071" s="5" t="s">
        <v>4171</v>
      </c>
      <c r="D1071" s="5" t="s">
        <v>4230</v>
      </c>
      <c r="E1071" s="225" t="s">
        <v>4231</v>
      </c>
      <c r="F1071" s="1">
        <v>60</v>
      </c>
      <c r="G1071" s="1" t="s">
        <v>4183</v>
      </c>
      <c r="H1071" s="234">
        <v>40.6</v>
      </c>
      <c r="I1071" s="235">
        <f t="shared" si="81"/>
        <v>2436</v>
      </c>
      <c r="K1071" s="241">
        <f>29.05*F1071</f>
        <v>1743</v>
      </c>
      <c r="L1071" s="237">
        <v>41263</v>
      </c>
      <c r="M1071" s="1" t="s">
        <v>4220</v>
      </c>
      <c r="N1071" s="235">
        <f t="shared" si="76"/>
        <v>2436</v>
      </c>
      <c r="O1071" s="235">
        <f t="shared" si="82"/>
        <v>0</v>
      </c>
      <c r="P1071" s="238" t="s">
        <v>4221</v>
      </c>
      <c r="Q1071" s="1" t="s">
        <v>4222</v>
      </c>
      <c r="R1071" s="239" t="s">
        <v>4223</v>
      </c>
      <c r="S1071" s="238" t="s">
        <v>4224</v>
      </c>
      <c r="T1071" s="238" t="s">
        <v>4225</v>
      </c>
      <c r="U1071" s="238" t="s">
        <v>4226</v>
      </c>
      <c r="V1071" s="238" t="s">
        <v>4227</v>
      </c>
      <c r="W1071" s="236">
        <v>9719.75</v>
      </c>
      <c r="X1071" s="233">
        <v>41250</v>
      </c>
      <c r="Y1071" s="238" t="s">
        <v>4228</v>
      </c>
      <c r="AB1071" s="1" t="s">
        <v>4169</v>
      </c>
    </row>
    <row r="1072" spans="1:28" ht="11.25" customHeight="1">
      <c r="A1072" s="233">
        <v>41250</v>
      </c>
      <c r="B1072" s="1" t="s">
        <v>4232</v>
      </c>
      <c r="C1072" s="5" t="s">
        <v>4171</v>
      </c>
      <c r="D1072" s="5" t="s">
        <v>87</v>
      </c>
      <c r="E1072" s="5">
        <v>9032</v>
      </c>
      <c r="F1072" s="1">
        <v>1200</v>
      </c>
      <c r="G1072" s="1" t="s">
        <v>4183</v>
      </c>
      <c r="H1072" s="234">
        <v>2.2999999999999998</v>
      </c>
      <c r="I1072" s="235">
        <f t="shared" si="81"/>
        <v>2760</v>
      </c>
      <c r="K1072" s="241">
        <f>1.4929*F1072</f>
        <v>1791.4799999999998</v>
      </c>
      <c r="L1072" s="237">
        <v>41339</v>
      </c>
      <c r="M1072" s="1" t="s">
        <v>167</v>
      </c>
      <c r="N1072" s="235">
        <f t="shared" si="76"/>
        <v>2760</v>
      </c>
      <c r="O1072" s="235">
        <f t="shared" si="82"/>
        <v>0</v>
      </c>
      <c r="P1072" s="238" t="s">
        <v>4233</v>
      </c>
      <c r="Q1072" s="1" t="s">
        <v>4222</v>
      </c>
      <c r="R1072" s="239" t="s">
        <v>4234</v>
      </c>
      <c r="S1072" s="238" t="s">
        <v>4235</v>
      </c>
      <c r="T1072" s="238" t="s">
        <v>4236</v>
      </c>
      <c r="U1072" s="238" t="s">
        <v>4237</v>
      </c>
      <c r="V1072" s="238" t="s">
        <v>4238</v>
      </c>
      <c r="W1072" s="236">
        <v>3985</v>
      </c>
      <c r="X1072" s="233">
        <v>41267</v>
      </c>
      <c r="Y1072" s="238" t="s">
        <v>5325</v>
      </c>
      <c r="AB1072" s="1" t="s">
        <v>4169</v>
      </c>
    </row>
    <row r="1073" spans="1:28" ht="11.25" customHeight="1">
      <c r="A1073" s="233">
        <v>41250</v>
      </c>
      <c r="B1073" s="1" t="s">
        <v>4232</v>
      </c>
      <c r="C1073" s="5" t="s">
        <v>4171</v>
      </c>
      <c r="D1073" s="1" t="s">
        <v>1720</v>
      </c>
      <c r="E1073" s="5">
        <v>8210</v>
      </c>
      <c r="F1073" s="1">
        <v>150</v>
      </c>
      <c r="G1073" s="1" t="s">
        <v>4183</v>
      </c>
      <c r="H1073" s="234">
        <v>6.5</v>
      </c>
      <c r="I1073" s="235">
        <f t="shared" si="81"/>
        <v>975</v>
      </c>
      <c r="K1073" s="241">
        <f>3.63*F1073</f>
        <v>544.5</v>
      </c>
      <c r="L1073" s="237">
        <v>41339</v>
      </c>
      <c r="M1073" s="1" t="s">
        <v>167</v>
      </c>
      <c r="N1073" s="235">
        <f t="shared" si="76"/>
        <v>975</v>
      </c>
      <c r="O1073" s="235">
        <f t="shared" si="82"/>
        <v>0</v>
      </c>
      <c r="P1073" s="238" t="s">
        <v>4233</v>
      </c>
      <c r="Q1073" s="1" t="s">
        <v>4222</v>
      </c>
      <c r="R1073" s="239" t="s">
        <v>4234</v>
      </c>
      <c r="S1073" s="238" t="s">
        <v>4235</v>
      </c>
      <c r="T1073" s="238" t="s">
        <v>4236</v>
      </c>
      <c r="U1073" s="238" t="s">
        <v>4237</v>
      </c>
      <c r="V1073" s="238" t="s">
        <v>4238</v>
      </c>
      <c r="W1073" s="236">
        <v>3985</v>
      </c>
      <c r="X1073" s="233">
        <v>41267</v>
      </c>
      <c r="Y1073" s="238" t="s">
        <v>5325</v>
      </c>
      <c r="AB1073" s="1" t="s">
        <v>4169</v>
      </c>
    </row>
    <row r="1074" spans="1:28" ht="11.25" customHeight="1">
      <c r="A1074" s="233">
        <v>41250</v>
      </c>
      <c r="B1074" s="1" t="s">
        <v>4239</v>
      </c>
      <c r="C1074" s="1" t="s">
        <v>1282</v>
      </c>
      <c r="D1074" s="5" t="s">
        <v>4240</v>
      </c>
      <c r="E1074" s="5">
        <v>301508</v>
      </c>
      <c r="F1074" s="1">
        <v>11</v>
      </c>
      <c r="G1074" s="1" t="s">
        <v>4241</v>
      </c>
      <c r="H1074" s="234">
        <v>140</v>
      </c>
      <c r="I1074" s="235">
        <f t="shared" si="81"/>
        <v>1540</v>
      </c>
      <c r="K1074" s="241">
        <f>89.66*F1074</f>
        <v>986.26</v>
      </c>
      <c r="N1074" s="235">
        <v>0</v>
      </c>
      <c r="O1074" s="235">
        <f t="shared" si="82"/>
        <v>1540</v>
      </c>
      <c r="P1074" s="238" t="s">
        <v>4242</v>
      </c>
      <c r="Q1074" s="1" t="s">
        <v>4243</v>
      </c>
      <c r="R1074" s="239" t="s">
        <v>4244</v>
      </c>
      <c r="S1074" s="238" t="s">
        <v>4245</v>
      </c>
      <c r="T1074" s="238" t="s">
        <v>4246</v>
      </c>
      <c r="U1074" s="238" t="s">
        <v>4247</v>
      </c>
      <c r="V1074" s="238" t="s">
        <v>4248</v>
      </c>
      <c r="W1074" s="236">
        <v>68170</v>
      </c>
      <c r="X1074" s="233">
        <v>41257</v>
      </c>
      <c r="Y1074" s="238" t="s">
        <v>1564</v>
      </c>
      <c r="AB1074" s="1" t="s">
        <v>4249</v>
      </c>
    </row>
    <row r="1075" spans="1:28" ht="11.25" customHeight="1">
      <c r="A1075" s="233">
        <v>41250</v>
      </c>
      <c r="B1075" s="1" t="s">
        <v>4250</v>
      </c>
      <c r="C1075" s="5" t="s">
        <v>4251</v>
      </c>
      <c r="D1075" s="5" t="s">
        <v>4252</v>
      </c>
      <c r="E1075" s="1">
        <v>52000183617</v>
      </c>
      <c r="F1075" s="225">
        <v>100</v>
      </c>
      <c r="G1075" s="225" t="s">
        <v>4253</v>
      </c>
      <c r="H1075" s="31">
        <v>22.7</v>
      </c>
      <c r="I1075" s="235">
        <f t="shared" si="81"/>
        <v>2270</v>
      </c>
      <c r="K1075" s="241">
        <f>17.57*F1075</f>
        <v>1757</v>
      </c>
      <c r="N1075" s="235">
        <v>0</v>
      </c>
      <c r="O1075" s="235">
        <f t="shared" si="82"/>
        <v>2270</v>
      </c>
      <c r="P1075" s="238" t="s">
        <v>4242</v>
      </c>
      <c r="Q1075" s="1" t="s">
        <v>4243</v>
      </c>
      <c r="R1075" s="239" t="s">
        <v>4244</v>
      </c>
      <c r="S1075" s="238" t="s">
        <v>4245</v>
      </c>
      <c r="T1075" s="238" t="s">
        <v>4246</v>
      </c>
      <c r="U1075" s="238" t="s">
        <v>4247</v>
      </c>
      <c r="V1075" s="238" t="s">
        <v>4248</v>
      </c>
      <c r="W1075" s="236">
        <v>68170</v>
      </c>
      <c r="X1075" s="233">
        <v>41257</v>
      </c>
      <c r="Y1075" s="238" t="s">
        <v>1564</v>
      </c>
      <c r="AB1075" s="1" t="s">
        <v>4249</v>
      </c>
    </row>
    <row r="1076" spans="1:28" ht="11.25" customHeight="1">
      <c r="A1076" s="233">
        <v>41250</v>
      </c>
      <c r="B1076" s="1" t="s">
        <v>4254</v>
      </c>
      <c r="C1076" s="5" t="s">
        <v>4251</v>
      </c>
      <c r="D1076" s="5" t="s">
        <v>4255</v>
      </c>
      <c r="E1076" s="225" t="s">
        <v>4256</v>
      </c>
      <c r="F1076" s="225">
        <v>2</v>
      </c>
      <c r="G1076" s="225" t="s">
        <v>4257</v>
      </c>
      <c r="H1076" s="234">
        <v>1200</v>
      </c>
      <c r="I1076" s="235">
        <f>F1076*H1076</f>
        <v>2400</v>
      </c>
      <c r="K1076" s="241">
        <f>708*1+790*1</f>
        <v>1498</v>
      </c>
      <c r="L1076" s="237">
        <v>41299</v>
      </c>
      <c r="M1076" s="1" t="s">
        <v>4258</v>
      </c>
      <c r="N1076" s="235">
        <f t="shared" si="76"/>
        <v>2400</v>
      </c>
      <c r="O1076" s="235">
        <f t="shared" ref="O1076:O1109" si="83">I1076-N1076</f>
        <v>0</v>
      </c>
      <c r="P1076" s="238" t="s">
        <v>4259</v>
      </c>
      <c r="Q1076" s="1" t="s">
        <v>4243</v>
      </c>
      <c r="R1076" s="239" t="s">
        <v>4260</v>
      </c>
      <c r="S1076" s="238" t="s">
        <v>4261</v>
      </c>
      <c r="T1076" s="238" t="s">
        <v>4246</v>
      </c>
      <c r="U1076" s="238" t="s">
        <v>4247</v>
      </c>
      <c r="V1076" s="238" t="s">
        <v>4262</v>
      </c>
      <c r="W1076" s="236">
        <v>2400</v>
      </c>
      <c r="X1076" s="233">
        <v>41257</v>
      </c>
      <c r="Y1076" s="238" t="s">
        <v>1565</v>
      </c>
      <c r="AA1076" s="240" t="s">
        <v>4263</v>
      </c>
      <c r="AB1076" s="1" t="s">
        <v>4249</v>
      </c>
    </row>
    <row r="1077" spans="1:28" ht="11.25" customHeight="1">
      <c r="A1077" s="233">
        <v>41253</v>
      </c>
      <c r="B1077" s="1" t="s">
        <v>4264</v>
      </c>
      <c r="C1077" s="1" t="s">
        <v>4251</v>
      </c>
      <c r="D1077" s="1" t="s">
        <v>4265</v>
      </c>
      <c r="E1077" s="1">
        <v>10434</v>
      </c>
      <c r="F1077" s="225">
        <v>40</v>
      </c>
      <c r="G1077" s="225" t="s">
        <v>4266</v>
      </c>
      <c r="H1077" s="234">
        <v>16.559999999999999</v>
      </c>
      <c r="I1077" s="235">
        <f>F1077*H1077</f>
        <v>662.4</v>
      </c>
      <c r="K1077" s="241">
        <f>14.2*F1077</f>
        <v>568</v>
      </c>
      <c r="L1077" s="237">
        <v>41338</v>
      </c>
      <c r="M1077" s="1" t="s">
        <v>166</v>
      </c>
      <c r="N1077" s="235">
        <f t="shared" si="76"/>
        <v>662.4</v>
      </c>
      <c r="O1077" s="235">
        <f t="shared" si="83"/>
        <v>0</v>
      </c>
      <c r="P1077" s="238" t="s">
        <v>4267</v>
      </c>
      <c r="Q1077" s="1" t="s">
        <v>4268</v>
      </c>
      <c r="R1077" s="239" t="s">
        <v>4269</v>
      </c>
      <c r="S1077" s="238" t="s">
        <v>4270</v>
      </c>
      <c r="T1077" s="238" t="s">
        <v>4271</v>
      </c>
      <c r="U1077" s="238" t="s">
        <v>4272</v>
      </c>
      <c r="V1077" s="238" t="s">
        <v>4273</v>
      </c>
      <c r="AB1077" s="1" t="s">
        <v>4274</v>
      </c>
    </row>
    <row r="1078" spans="1:28" ht="11.25" customHeight="1">
      <c r="A1078" s="233">
        <v>41253</v>
      </c>
      <c r="B1078" s="1" t="s">
        <v>4264</v>
      </c>
      <c r="C1078" s="1" t="s">
        <v>4251</v>
      </c>
      <c r="D1078" s="5" t="s">
        <v>348</v>
      </c>
      <c r="E1078" s="1">
        <v>3700</v>
      </c>
      <c r="F1078" s="225">
        <v>10</v>
      </c>
      <c r="G1078" s="1" t="s">
        <v>230</v>
      </c>
      <c r="H1078" s="234">
        <v>3.3</v>
      </c>
      <c r="I1078" s="235">
        <f>F1078*H1078</f>
        <v>33</v>
      </c>
      <c r="K1078" s="241">
        <f>3.09*F1078</f>
        <v>30.9</v>
      </c>
      <c r="L1078" s="237">
        <v>41338</v>
      </c>
      <c r="M1078" s="1" t="s">
        <v>166</v>
      </c>
      <c r="N1078" s="235">
        <f t="shared" si="76"/>
        <v>33</v>
      </c>
      <c r="O1078" s="235">
        <f t="shared" si="83"/>
        <v>0</v>
      </c>
      <c r="P1078" s="238" t="s">
        <v>4275</v>
      </c>
      <c r="Q1078" s="1" t="s">
        <v>4268</v>
      </c>
      <c r="R1078" s="239" t="s">
        <v>4269</v>
      </c>
      <c r="S1078" s="238" t="s">
        <v>4270</v>
      </c>
      <c r="T1078" s="238" t="s">
        <v>4271</v>
      </c>
      <c r="U1078" s="238" t="s">
        <v>4272</v>
      </c>
      <c r="V1078" s="238" t="s">
        <v>4273</v>
      </c>
      <c r="AB1078" s="1" t="s">
        <v>4274</v>
      </c>
    </row>
    <row r="1079" spans="1:28" ht="11.25" customHeight="1">
      <c r="A1079" s="233">
        <v>41253</v>
      </c>
      <c r="B1079" s="5" t="s">
        <v>1465</v>
      </c>
      <c r="C1079" s="5" t="s">
        <v>4251</v>
      </c>
      <c r="D1079" s="5" t="s">
        <v>4276</v>
      </c>
      <c r="E1079" s="5">
        <v>8515</v>
      </c>
      <c r="F1079" s="1">
        <v>205</v>
      </c>
      <c r="G1079" s="5" t="s">
        <v>4253</v>
      </c>
      <c r="H1079" s="234">
        <v>20</v>
      </c>
      <c r="I1079" s="235">
        <f t="shared" ref="I1079:I1109" si="84">F1079*H1079</f>
        <v>4100</v>
      </c>
      <c r="K1079" s="241">
        <f>17.1*200+17*5</f>
        <v>3505.0000000000005</v>
      </c>
      <c r="L1079" s="237">
        <v>41253</v>
      </c>
      <c r="M1079" s="1" t="s">
        <v>4258</v>
      </c>
      <c r="N1079" s="235">
        <f t="shared" si="76"/>
        <v>4100</v>
      </c>
      <c r="O1079" s="235">
        <f t="shared" si="83"/>
        <v>0</v>
      </c>
      <c r="P1079" s="238" t="s">
        <v>4277</v>
      </c>
      <c r="Q1079" s="1" t="s">
        <v>4243</v>
      </c>
      <c r="R1079" s="239" t="s">
        <v>4278</v>
      </c>
      <c r="S1079" s="238" t="s">
        <v>4279</v>
      </c>
      <c r="T1079" s="238" t="s">
        <v>4247</v>
      </c>
      <c r="U1079" s="238" t="s">
        <v>4247</v>
      </c>
      <c r="V1079" s="246" t="s">
        <v>4273</v>
      </c>
      <c r="AB1079" s="1" t="s">
        <v>4274</v>
      </c>
    </row>
    <row r="1080" spans="1:28" ht="11.25" customHeight="1">
      <c r="A1080" s="233">
        <v>41254</v>
      </c>
      <c r="B1080" s="1" t="s">
        <v>4280</v>
      </c>
      <c r="C1080" s="5" t="s">
        <v>4251</v>
      </c>
      <c r="D1080" s="227" t="s">
        <v>5694</v>
      </c>
      <c r="E1080" s="1" t="s">
        <v>4281</v>
      </c>
      <c r="F1080" s="1">
        <v>2500</v>
      </c>
      <c r="G1080" s="1" t="s">
        <v>4266</v>
      </c>
      <c r="H1080" s="234">
        <v>0.65600000000000003</v>
      </c>
      <c r="I1080" s="235">
        <f t="shared" si="84"/>
        <v>1640</v>
      </c>
      <c r="K1080" s="241">
        <f>0.589*F1080</f>
        <v>1472.5</v>
      </c>
      <c r="L1080" s="237">
        <v>41249</v>
      </c>
      <c r="M1080" s="1" t="s">
        <v>4282</v>
      </c>
      <c r="N1080" s="235">
        <f t="shared" si="76"/>
        <v>1640</v>
      </c>
      <c r="O1080" s="235">
        <f t="shared" si="83"/>
        <v>0</v>
      </c>
      <c r="P1080" s="238" t="s">
        <v>4283</v>
      </c>
      <c r="Q1080" s="1" t="s">
        <v>4284</v>
      </c>
      <c r="R1080" s="239" t="s">
        <v>4285</v>
      </c>
      <c r="S1080" s="238" t="s">
        <v>4286</v>
      </c>
      <c r="T1080" s="238" t="s">
        <v>4287</v>
      </c>
      <c r="U1080" s="238" t="s">
        <v>4288</v>
      </c>
      <c r="V1080" s="238" t="s">
        <v>4289</v>
      </c>
      <c r="W1080" s="236">
        <v>1640</v>
      </c>
      <c r="X1080" s="233">
        <v>41267</v>
      </c>
      <c r="Y1080" s="238" t="s">
        <v>4290</v>
      </c>
      <c r="AB1080" s="1" t="s">
        <v>4274</v>
      </c>
    </row>
    <row r="1081" spans="1:28" ht="11.25" customHeight="1">
      <c r="A1081" s="233">
        <v>41253</v>
      </c>
      <c r="B1081" s="1" t="s">
        <v>4291</v>
      </c>
      <c r="C1081" s="5" t="s">
        <v>4251</v>
      </c>
      <c r="D1081" s="5" t="s">
        <v>4292</v>
      </c>
      <c r="E1081" s="5" t="s">
        <v>4293</v>
      </c>
      <c r="F1081" s="5">
        <v>200</v>
      </c>
      <c r="G1081" s="1" t="s">
        <v>5002</v>
      </c>
      <c r="H1081" s="234">
        <v>2.68</v>
      </c>
      <c r="I1081" s="235">
        <f>H1081*F1081</f>
        <v>536</v>
      </c>
      <c r="K1081" s="241">
        <f>1.4*F1081</f>
        <v>280</v>
      </c>
      <c r="L1081" s="237">
        <v>41260</v>
      </c>
      <c r="M1081" s="1" t="s">
        <v>4282</v>
      </c>
      <c r="N1081" s="235">
        <f t="shared" si="76"/>
        <v>536</v>
      </c>
      <c r="O1081" s="235">
        <f t="shared" si="83"/>
        <v>0</v>
      </c>
      <c r="P1081" s="238" t="s">
        <v>4294</v>
      </c>
      <c r="Q1081" s="1" t="s">
        <v>4295</v>
      </c>
      <c r="R1081" s="239" t="s">
        <v>4296</v>
      </c>
      <c r="S1081" s="238" t="s">
        <v>4297</v>
      </c>
      <c r="T1081" s="238" t="s">
        <v>4298</v>
      </c>
      <c r="U1081" s="238" t="s">
        <v>4299</v>
      </c>
      <c r="V1081" s="238" t="s">
        <v>4300</v>
      </c>
      <c r="W1081" s="236">
        <v>536</v>
      </c>
      <c r="X1081" s="233">
        <v>41253</v>
      </c>
      <c r="Y1081" s="238" t="s">
        <v>4299</v>
      </c>
      <c r="AA1081" s="240" t="s">
        <v>4263</v>
      </c>
      <c r="AB1081" s="1" t="s">
        <v>4249</v>
      </c>
    </row>
    <row r="1082" spans="1:28" ht="11.25" customHeight="1">
      <c r="A1082" s="233">
        <v>41253</v>
      </c>
      <c r="B1082" s="1" t="s">
        <v>4301</v>
      </c>
      <c r="C1082" s="5" t="s">
        <v>4251</v>
      </c>
      <c r="D1082" s="5" t="s">
        <v>87</v>
      </c>
      <c r="E1082" s="1">
        <v>9032</v>
      </c>
      <c r="F1082" s="1">
        <v>500</v>
      </c>
      <c r="G1082" s="1" t="s">
        <v>4302</v>
      </c>
      <c r="H1082" s="234">
        <v>2.4</v>
      </c>
      <c r="I1082" s="235">
        <f>H1082*F1082</f>
        <v>1200</v>
      </c>
      <c r="K1082" s="241">
        <f>1.4929*F1082</f>
        <v>746.44999999999993</v>
      </c>
      <c r="L1082" s="237">
        <v>41254</v>
      </c>
      <c r="M1082" s="1" t="s">
        <v>4282</v>
      </c>
      <c r="N1082" s="235">
        <f t="shared" si="76"/>
        <v>1200</v>
      </c>
      <c r="O1082" s="235">
        <f t="shared" si="83"/>
        <v>0</v>
      </c>
      <c r="P1082" s="238" t="s">
        <v>4303</v>
      </c>
      <c r="Q1082" s="1" t="s">
        <v>4295</v>
      </c>
      <c r="R1082" s="239" t="s">
        <v>4304</v>
      </c>
      <c r="S1082" s="238" t="s">
        <v>4305</v>
      </c>
      <c r="T1082" s="238" t="s">
        <v>4306</v>
      </c>
      <c r="U1082" s="238" t="s">
        <v>4307</v>
      </c>
      <c r="V1082" s="238" t="s">
        <v>4308</v>
      </c>
      <c r="W1082" s="236">
        <v>1200</v>
      </c>
      <c r="X1082" s="233">
        <v>41253</v>
      </c>
      <c r="Y1082" s="238" t="s">
        <v>4307</v>
      </c>
      <c r="AA1082" s="240" t="s">
        <v>4263</v>
      </c>
      <c r="AB1082" s="1" t="s">
        <v>4249</v>
      </c>
    </row>
    <row r="1083" spans="1:28" ht="11.25" customHeight="1">
      <c r="A1083" s="233">
        <v>41253</v>
      </c>
      <c r="B1083" s="1" t="s">
        <v>4309</v>
      </c>
      <c r="C1083" s="5" t="s">
        <v>4251</v>
      </c>
      <c r="D1083" s="1" t="s">
        <v>1219</v>
      </c>
      <c r="E1083" s="1" t="s">
        <v>4310</v>
      </c>
      <c r="F1083" s="1">
        <v>4</v>
      </c>
      <c r="G1083" s="1" t="s">
        <v>4266</v>
      </c>
      <c r="H1083" s="234">
        <v>14</v>
      </c>
      <c r="I1083" s="235">
        <f>H1083*F1083</f>
        <v>56</v>
      </c>
      <c r="K1083" s="250">
        <f>12.6*F1083</f>
        <v>50.4</v>
      </c>
      <c r="L1083" s="237">
        <v>41253</v>
      </c>
      <c r="M1083" s="1" t="s">
        <v>4258</v>
      </c>
      <c r="N1083" s="235">
        <f t="shared" si="76"/>
        <v>56</v>
      </c>
      <c r="O1083" s="235">
        <f t="shared" si="83"/>
        <v>0</v>
      </c>
      <c r="P1083" s="238" t="s">
        <v>4311</v>
      </c>
      <c r="Q1083" s="1" t="s">
        <v>4243</v>
      </c>
      <c r="R1083" s="239" t="s">
        <v>4312</v>
      </c>
      <c r="S1083" s="238" t="s">
        <v>4313</v>
      </c>
      <c r="T1083" s="238" t="s">
        <v>3562</v>
      </c>
      <c r="U1083" s="238" t="s">
        <v>4247</v>
      </c>
      <c r="V1083" s="246" t="s">
        <v>4273</v>
      </c>
      <c r="AB1083" s="5" t="s">
        <v>4274</v>
      </c>
    </row>
    <row r="1084" spans="1:28" ht="11.25" customHeight="1">
      <c r="A1084" s="233">
        <v>41254</v>
      </c>
      <c r="B1084" s="1" t="s">
        <v>4314</v>
      </c>
      <c r="C1084" s="5" t="s">
        <v>4251</v>
      </c>
      <c r="D1084" s="5" t="s">
        <v>1721</v>
      </c>
      <c r="E1084" s="1">
        <v>9010</v>
      </c>
      <c r="F1084" s="1">
        <v>150</v>
      </c>
      <c r="G1084" s="1" t="s">
        <v>4302</v>
      </c>
      <c r="H1084" s="234">
        <v>3.4</v>
      </c>
      <c r="I1084" s="235">
        <f t="shared" si="84"/>
        <v>510</v>
      </c>
      <c r="K1084" s="241">
        <f>F1084*2.88</f>
        <v>432</v>
      </c>
      <c r="L1084" s="245">
        <v>41250</v>
      </c>
      <c r="M1084" s="5" t="s">
        <v>4315</v>
      </c>
      <c r="N1084" s="235">
        <f t="shared" si="76"/>
        <v>510</v>
      </c>
      <c r="O1084" s="235">
        <f t="shared" si="83"/>
        <v>0</v>
      </c>
      <c r="P1084" s="238" t="s">
        <v>4316</v>
      </c>
      <c r="Q1084" s="1" t="s">
        <v>4317</v>
      </c>
      <c r="R1084" s="239" t="s">
        <v>4318</v>
      </c>
      <c r="S1084" s="238" t="s">
        <v>4319</v>
      </c>
      <c r="T1084" s="238" t="s">
        <v>4320</v>
      </c>
      <c r="U1084" s="238" t="s">
        <v>4321</v>
      </c>
      <c r="V1084" s="238" t="s">
        <v>1489</v>
      </c>
      <c r="W1084" s="236">
        <v>9000</v>
      </c>
      <c r="X1084" s="233">
        <v>41253</v>
      </c>
      <c r="Y1084" s="238" t="s">
        <v>4316</v>
      </c>
      <c r="AB1084" s="1" t="s">
        <v>4274</v>
      </c>
    </row>
    <row r="1085" spans="1:28" ht="11.25" customHeight="1">
      <c r="A1085" s="233">
        <v>41254</v>
      </c>
      <c r="B1085" s="1" t="s">
        <v>4314</v>
      </c>
      <c r="C1085" s="5" t="s">
        <v>4251</v>
      </c>
      <c r="D1085" s="1" t="s">
        <v>1219</v>
      </c>
      <c r="E1085" s="1" t="s">
        <v>4310</v>
      </c>
      <c r="F1085" s="1">
        <v>75</v>
      </c>
      <c r="G1085" s="1" t="s">
        <v>4266</v>
      </c>
      <c r="H1085" s="234">
        <v>15</v>
      </c>
      <c r="I1085" s="235">
        <f t="shared" si="84"/>
        <v>1125</v>
      </c>
      <c r="K1085" s="250">
        <f>12.6*F1085</f>
        <v>945</v>
      </c>
      <c r="L1085" s="245">
        <v>41250</v>
      </c>
      <c r="M1085" s="5" t="s">
        <v>4315</v>
      </c>
      <c r="N1085" s="235">
        <f t="shared" si="76"/>
        <v>1125</v>
      </c>
      <c r="O1085" s="235">
        <f t="shared" si="83"/>
        <v>0</v>
      </c>
      <c r="P1085" s="238" t="s">
        <v>4316</v>
      </c>
      <c r="Q1085" s="1" t="s">
        <v>4317</v>
      </c>
      <c r="R1085" s="239" t="s">
        <v>4318</v>
      </c>
      <c r="S1085" s="238" t="s">
        <v>4319</v>
      </c>
      <c r="T1085" s="238" t="s">
        <v>4320</v>
      </c>
      <c r="U1085" s="238" t="s">
        <v>4321</v>
      </c>
      <c r="V1085" s="238" t="s">
        <v>1489</v>
      </c>
      <c r="W1085" s="236">
        <v>9000</v>
      </c>
      <c r="X1085" s="233">
        <v>41253</v>
      </c>
      <c r="Y1085" s="238" t="s">
        <v>4316</v>
      </c>
      <c r="AB1085" s="1" t="s">
        <v>4274</v>
      </c>
    </row>
    <row r="1086" spans="1:28" ht="11.25" customHeight="1">
      <c r="A1086" s="233">
        <v>41254</v>
      </c>
      <c r="B1086" s="1" t="s">
        <v>4314</v>
      </c>
      <c r="C1086" s="1" t="s">
        <v>1335</v>
      </c>
      <c r="D1086" s="95" t="s">
        <v>5040</v>
      </c>
      <c r="E1086" s="1" t="s">
        <v>4322</v>
      </c>
      <c r="F1086" s="1">
        <v>150</v>
      </c>
      <c r="G1086" s="1" t="s">
        <v>4241</v>
      </c>
      <c r="H1086" s="234">
        <v>15</v>
      </c>
      <c r="I1086" s="235">
        <f t="shared" si="84"/>
        <v>2250</v>
      </c>
      <c r="K1086" s="241">
        <f>10*F1086</f>
        <v>1500</v>
      </c>
      <c r="L1086" s="245">
        <v>41250</v>
      </c>
      <c r="M1086" s="5" t="s">
        <v>4315</v>
      </c>
      <c r="N1086" s="235">
        <f t="shared" si="76"/>
        <v>2250</v>
      </c>
      <c r="O1086" s="235">
        <f t="shared" si="83"/>
        <v>0</v>
      </c>
      <c r="P1086" s="238" t="s">
        <v>4316</v>
      </c>
      <c r="Q1086" s="1" t="s">
        <v>4317</v>
      </c>
      <c r="R1086" s="239" t="s">
        <v>4318</v>
      </c>
      <c r="S1086" s="238" t="s">
        <v>4319</v>
      </c>
      <c r="T1086" s="238" t="s">
        <v>4320</v>
      </c>
      <c r="U1086" s="238" t="s">
        <v>4321</v>
      </c>
      <c r="V1086" s="238" t="s">
        <v>1489</v>
      </c>
      <c r="W1086" s="236">
        <v>9000</v>
      </c>
      <c r="X1086" s="233">
        <v>41253</v>
      </c>
      <c r="Y1086" s="238" t="s">
        <v>4316</v>
      </c>
      <c r="AB1086" s="1" t="s">
        <v>4274</v>
      </c>
    </row>
    <row r="1087" spans="1:28" ht="11.25" customHeight="1">
      <c r="A1087" s="233">
        <v>41254</v>
      </c>
      <c r="B1087" s="1" t="s">
        <v>4314</v>
      </c>
      <c r="C1087" s="5" t="s">
        <v>4251</v>
      </c>
      <c r="D1087" s="5" t="s">
        <v>4323</v>
      </c>
      <c r="E1087" s="1">
        <v>4620</v>
      </c>
      <c r="F1087" s="1">
        <v>75</v>
      </c>
      <c r="G1087" s="1" t="s">
        <v>4324</v>
      </c>
      <c r="H1087" s="234">
        <v>21</v>
      </c>
      <c r="I1087" s="235">
        <f t="shared" si="84"/>
        <v>1575</v>
      </c>
      <c r="K1087" s="241">
        <f>17.49*F1087</f>
        <v>1311.7499999999998</v>
      </c>
      <c r="L1087" s="245">
        <v>41250</v>
      </c>
      <c r="M1087" s="5" t="s">
        <v>4315</v>
      </c>
      <c r="N1087" s="235">
        <f t="shared" si="76"/>
        <v>1575</v>
      </c>
      <c r="O1087" s="235">
        <f t="shared" si="83"/>
        <v>0</v>
      </c>
      <c r="P1087" s="238" t="s">
        <v>4316</v>
      </c>
      <c r="Q1087" s="1" t="s">
        <v>4317</v>
      </c>
      <c r="R1087" s="239" t="s">
        <v>4318</v>
      </c>
      <c r="S1087" s="238" t="s">
        <v>4319</v>
      </c>
      <c r="T1087" s="238" t="s">
        <v>4320</v>
      </c>
      <c r="U1087" s="238" t="s">
        <v>4321</v>
      </c>
      <c r="V1087" s="238" t="s">
        <v>1489</v>
      </c>
      <c r="W1087" s="236">
        <v>9000</v>
      </c>
      <c r="X1087" s="233">
        <v>41253</v>
      </c>
      <c r="Y1087" s="238" t="s">
        <v>4316</v>
      </c>
      <c r="AB1087" s="1" t="s">
        <v>4274</v>
      </c>
    </row>
    <row r="1088" spans="1:28" ht="11.25" customHeight="1">
      <c r="A1088" s="233">
        <v>41254</v>
      </c>
      <c r="B1088" s="228" t="s">
        <v>4325</v>
      </c>
      <c r="C1088" s="1" t="s">
        <v>4251</v>
      </c>
      <c r="D1088" s="5" t="s">
        <v>4292</v>
      </c>
      <c r="E1088" s="5" t="s">
        <v>4326</v>
      </c>
      <c r="F1088" s="1">
        <v>15000</v>
      </c>
      <c r="G1088" s="1" t="s">
        <v>5002</v>
      </c>
      <c r="H1088" s="234">
        <v>1.48</v>
      </c>
      <c r="I1088" s="235">
        <f t="shared" si="84"/>
        <v>22200</v>
      </c>
      <c r="K1088" s="241">
        <f>1.4*F1088</f>
        <v>21000</v>
      </c>
      <c r="L1088" s="237">
        <v>41263</v>
      </c>
      <c r="M1088" s="1" t="s">
        <v>4282</v>
      </c>
      <c r="N1088" s="235">
        <f t="shared" si="76"/>
        <v>22200</v>
      </c>
      <c r="O1088" s="235">
        <f t="shared" si="83"/>
        <v>0</v>
      </c>
      <c r="P1088" s="238" t="s">
        <v>4327</v>
      </c>
      <c r="Q1088" s="1" t="s">
        <v>4328</v>
      </c>
      <c r="R1088" s="239" t="s">
        <v>4329</v>
      </c>
      <c r="S1088" s="238" t="s">
        <v>4330</v>
      </c>
      <c r="T1088" s="239" t="s">
        <v>4247</v>
      </c>
      <c r="U1088" s="239" t="s">
        <v>4247</v>
      </c>
      <c r="V1088" s="238" t="s">
        <v>4331</v>
      </c>
      <c r="W1088" s="236">
        <v>23100</v>
      </c>
      <c r="X1088" s="233">
        <v>41263</v>
      </c>
      <c r="Y1088" s="238" t="s">
        <v>4328</v>
      </c>
      <c r="AB1088" s="1" t="s">
        <v>4274</v>
      </c>
    </row>
    <row r="1089" spans="1:28" ht="11.25" customHeight="1">
      <c r="A1089" s="233">
        <v>41254</v>
      </c>
      <c r="B1089" s="228" t="s">
        <v>4325</v>
      </c>
      <c r="C1089" s="1" t="s">
        <v>4251</v>
      </c>
      <c r="D1089" s="1" t="s">
        <v>1216</v>
      </c>
      <c r="E1089" s="1">
        <v>3200</v>
      </c>
      <c r="F1089" s="1">
        <v>8</v>
      </c>
      <c r="G1089" s="1" t="s">
        <v>4302</v>
      </c>
      <c r="H1089" s="234">
        <v>26.5</v>
      </c>
      <c r="I1089" s="235">
        <f t="shared" si="84"/>
        <v>212</v>
      </c>
      <c r="K1089" s="241">
        <f>23.94*F1089</f>
        <v>191.52</v>
      </c>
      <c r="L1089" s="237">
        <v>41292</v>
      </c>
      <c r="M1089" s="1" t="s">
        <v>4282</v>
      </c>
      <c r="N1089" s="235">
        <f t="shared" si="76"/>
        <v>212</v>
      </c>
      <c r="O1089" s="235">
        <f t="shared" si="83"/>
        <v>0</v>
      </c>
      <c r="P1089" s="238" t="s">
        <v>4327</v>
      </c>
      <c r="Q1089" s="1" t="s">
        <v>4328</v>
      </c>
      <c r="R1089" s="239" t="s">
        <v>4329</v>
      </c>
      <c r="S1089" s="238" t="s">
        <v>4330</v>
      </c>
      <c r="T1089" s="239" t="s">
        <v>4247</v>
      </c>
      <c r="U1089" s="239" t="s">
        <v>4247</v>
      </c>
      <c r="V1089" s="238" t="s">
        <v>4331</v>
      </c>
      <c r="W1089" s="236">
        <v>23100</v>
      </c>
      <c r="X1089" s="233">
        <v>41263</v>
      </c>
      <c r="Y1089" s="238" t="s">
        <v>4328</v>
      </c>
      <c r="AB1089" s="1" t="s">
        <v>4274</v>
      </c>
    </row>
    <row r="1090" spans="1:28" ht="11.25" customHeight="1">
      <c r="A1090" s="233">
        <v>41254</v>
      </c>
      <c r="B1090" s="228" t="s">
        <v>4325</v>
      </c>
      <c r="C1090" s="1" t="s">
        <v>4251</v>
      </c>
      <c r="D1090" s="5" t="s">
        <v>348</v>
      </c>
      <c r="E1090" s="5">
        <v>3700</v>
      </c>
      <c r="F1090" s="1">
        <v>8</v>
      </c>
      <c r="G1090" s="1" t="s">
        <v>230</v>
      </c>
      <c r="H1090" s="234">
        <v>3.31</v>
      </c>
      <c r="I1090" s="235">
        <f t="shared" si="84"/>
        <v>26.48</v>
      </c>
      <c r="K1090" s="241">
        <f>3.09*F1090</f>
        <v>24.72</v>
      </c>
      <c r="L1090" s="237">
        <v>41292</v>
      </c>
      <c r="M1090" s="1" t="s">
        <v>4282</v>
      </c>
      <c r="N1090" s="235">
        <f t="shared" si="76"/>
        <v>26.48</v>
      </c>
      <c r="O1090" s="235">
        <f t="shared" si="83"/>
        <v>0</v>
      </c>
      <c r="P1090" s="238" t="s">
        <v>4327</v>
      </c>
      <c r="Q1090" s="1" t="s">
        <v>4328</v>
      </c>
      <c r="R1090" s="239" t="s">
        <v>4329</v>
      </c>
      <c r="S1090" s="238" t="s">
        <v>4330</v>
      </c>
      <c r="T1090" s="239" t="s">
        <v>4247</v>
      </c>
      <c r="U1090" s="239" t="s">
        <v>4247</v>
      </c>
      <c r="V1090" s="238" t="s">
        <v>4331</v>
      </c>
      <c r="W1090" s="236">
        <v>23100</v>
      </c>
      <c r="X1090" s="233">
        <v>41263</v>
      </c>
      <c r="Y1090" s="238" t="s">
        <v>4328</v>
      </c>
      <c r="AB1090" s="1" t="s">
        <v>4274</v>
      </c>
    </row>
    <row r="1091" spans="1:28" ht="11.25" customHeight="1">
      <c r="A1091" s="233">
        <v>41254</v>
      </c>
      <c r="B1091" s="228" t="s">
        <v>1474</v>
      </c>
      <c r="C1091" s="1" t="s">
        <v>4251</v>
      </c>
      <c r="D1091" s="5" t="s">
        <v>4332</v>
      </c>
      <c r="E1091" s="1" t="s">
        <v>681</v>
      </c>
      <c r="F1091" s="1">
        <v>40</v>
      </c>
      <c r="G1091" s="1" t="s">
        <v>237</v>
      </c>
      <c r="H1091" s="234">
        <v>36.729999999999997</v>
      </c>
      <c r="I1091" s="235">
        <f t="shared" si="84"/>
        <v>1469.1999999999998</v>
      </c>
      <c r="K1091" s="241">
        <f>33.111*F1091</f>
        <v>1324.4399999999998</v>
      </c>
      <c r="L1091" s="237">
        <v>41254</v>
      </c>
      <c r="M1091" s="237" t="s">
        <v>4315</v>
      </c>
      <c r="N1091" s="235">
        <f t="shared" ref="N1091:N1154" si="85">I1091</f>
        <v>1469.1999999999998</v>
      </c>
      <c r="O1091" s="235">
        <f t="shared" si="83"/>
        <v>0</v>
      </c>
      <c r="P1091" s="238" t="s">
        <v>4247</v>
      </c>
      <c r="Q1091" s="1" t="s">
        <v>4333</v>
      </c>
      <c r="R1091" s="239" t="s">
        <v>4334</v>
      </c>
      <c r="S1091" s="238" t="s">
        <v>4335</v>
      </c>
      <c r="T1091" s="238" t="s">
        <v>4336</v>
      </c>
      <c r="U1091" s="238" t="s">
        <v>4337</v>
      </c>
      <c r="AB1091" s="1" t="s">
        <v>4274</v>
      </c>
    </row>
    <row r="1092" spans="1:28" ht="11.25" customHeight="1">
      <c r="A1092" s="233">
        <v>41254</v>
      </c>
      <c r="B1092" s="228" t="s">
        <v>1474</v>
      </c>
      <c r="C1092" s="1" t="s">
        <v>4251</v>
      </c>
      <c r="D1092" s="5" t="s">
        <v>4338</v>
      </c>
      <c r="E1092" s="1" t="s">
        <v>4339</v>
      </c>
      <c r="F1092" s="1">
        <v>20</v>
      </c>
      <c r="G1092" s="1" t="s">
        <v>237</v>
      </c>
      <c r="H1092" s="234">
        <v>47.6</v>
      </c>
      <c r="I1092" s="235">
        <f t="shared" si="84"/>
        <v>952</v>
      </c>
      <c r="K1092" s="241">
        <f>42.939*F1092</f>
        <v>858.78</v>
      </c>
      <c r="L1092" s="237">
        <v>41254</v>
      </c>
      <c r="M1092" s="237" t="s">
        <v>4315</v>
      </c>
      <c r="N1092" s="235">
        <f t="shared" si="85"/>
        <v>952</v>
      </c>
      <c r="O1092" s="235">
        <f t="shared" si="83"/>
        <v>0</v>
      </c>
      <c r="P1092" s="238" t="s">
        <v>4247</v>
      </c>
      <c r="Q1092" s="1" t="s">
        <v>4333</v>
      </c>
      <c r="R1092" s="239" t="s">
        <v>4334</v>
      </c>
      <c r="S1092" s="238" t="s">
        <v>4335</v>
      </c>
      <c r="T1092" s="238" t="s">
        <v>4336</v>
      </c>
      <c r="U1092" s="238" t="s">
        <v>4337</v>
      </c>
      <c r="AB1092" s="1" t="s">
        <v>4274</v>
      </c>
    </row>
    <row r="1093" spans="1:28" ht="11.25" customHeight="1">
      <c r="A1093" s="233">
        <v>41254</v>
      </c>
      <c r="B1093" s="228" t="s">
        <v>1474</v>
      </c>
      <c r="C1093" s="1" t="s">
        <v>4251</v>
      </c>
      <c r="D1093" s="225" t="s">
        <v>4340</v>
      </c>
      <c r="E1093" s="1" t="s">
        <v>49</v>
      </c>
      <c r="F1093" s="1">
        <v>2</v>
      </c>
      <c r="G1093" s="1" t="s">
        <v>237</v>
      </c>
      <c r="H1093" s="234">
        <v>218.18</v>
      </c>
      <c r="I1093" s="235">
        <f t="shared" si="84"/>
        <v>436.36</v>
      </c>
      <c r="K1093" s="241">
        <f>181.36*F1093</f>
        <v>362.72</v>
      </c>
      <c r="L1093" s="237">
        <v>41254</v>
      </c>
      <c r="M1093" s="237" t="s">
        <v>4315</v>
      </c>
      <c r="N1093" s="235">
        <f t="shared" si="85"/>
        <v>436.36</v>
      </c>
      <c r="O1093" s="235">
        <f t="shared" si="83"/>
        <v>0</v>
      </c>
      <c r="P1093" s="238" t="s">
        <v>4247</v>
      </c>
      <c r="Q1093" s="1" t="s">
        <v>4333</v>
      </c>
      <c r="R1093" s="239" t="s">
        <v>4334</v>
      </c>
      <c r="S1093" s="238" t="s">
        <v>4335</v>
      </c>
      <c r="T1093" s="238" t="s">
        <v>4336</v>
      </c>
      <c r="U1093" s="238" t="s">
        <v>4337</v>
      </c>
      <c r="AB1093" s="1" t="s">
        <v>4274</v>
      </c>
    </row>
    <row r="1094" spans="1:28" ht="11.25" customHeight="1">
      <c r="A1094" s="233">
        <v>41254</v>
      </c>
      <c r="B1094" s="228" t="s">
        <v>1474</v>
      </c>
      <c r="C1094" s="1" t="s">
        <v>4251</v>
      </c>
      <c r="D1094" s="5" t="s">
        <v>4341</v>
      </c>
      <c r="E1094" s="1" t="s">
        <v>50</v>
      </c>
      <c r="F1094" s="1">
        <v>5</v>
      </c>
      <c r="G1094" s="1" t="s">
        <v>237</v>
      </c>
      <c r="H1094" s="234">
        <v>129.72999999999999</v>
      </c>
      <c r="I1094" s="235">
        <f t="shared" si="84"/>
        <v>648.65</v>
      </c>
      <c r="K1094" s="241">
        <f>107.64*F1094</f>
        <v>538.20000000000005</v>
      </c>
      <c r="L1094" s="237">
        <v>41254</v>
      </c>
      <c r="M1094" s="237" t="s">
        <v>4315</v>
      </c>
      <c r="N1094" s="235">
        <f t="shared" si="85"/>
        <v>648.65</v>
      </c>
      <c r="O1094" s="235">
        <f t="shared" si="83"/>
        <v>0</v>
      </c>
      <c r="P1094" s="238" t="s">
        <v>4247</v>
      </c>
      <c r="Q1094" s="1" t="s">
        <v>4333</v>
      </c>
      <c r="R1094" s="239" t="s">
        <v>4334</v>
      </c>
      <c r="S1094" s="238" t="s">
        <v>4335</v>
      </c>
      <c r="T1094" s="238" t="s">
        <v>4336</v>
      </c>
      <c r="U1094" s="238" t="s">
        <v>4337</v>
      </c>
      <c r="AB1094" s="1" t="s">
        <v>4274</v>
      </c>
    </row>
    <row r="1095" spans="1:28" ht="11.25" customHeight="1">
      <c r="A1095" s="233">
        <v>41254</v>
      </c>
      <c r="B1095" s="228" t="s">
        <v>1474</v>
      </c>
      <c r="C1095" s="1" t="s">
        <v>4251</v>
      </c>
      <c r="D1095" s="5" t="s">
        <v>4342</v>
      </c>
      <c r="E1095" s="1">
        <v>9031</v>
      </c>
      <c r="F1095" s="1">
        <v>500</v>
      </c>
      <c r="G1095" s="232" t="s">
        <v>4343</v>
      </c>
      <c r="H1095" s="234">
        <v>1.73</v>
      </c>
      <c r="I1095" s="235">
        <f t="shared" si="84"/>
        <v>865</v>
      </c>
      <c r="K1095" s="241">
        <f>1.4929*500</f>
        <v>746.44999999999993</v>
      </c>
      <c r="L1095" s="237">
        <v>41254</v>
      </c>
      <c r="M1095" s="237" t="s">
        <v>4315</v>
      </c>
      <c r="N1095" s="235">
        <f t="shared" si="85"/>
        <v>865</v>
      </c>
      <c r="O1095" s="235">
        <f t="shared" si="83"/>
        <v>0</v>
      </c>
      <c r="P1095" s="238" t="s">
        <v>4247</v>
      </c>
      <c r="Q1095" s="1" t="s">
        <v>4333</v>
      </c>
      <c r="R1095" s="239" t="s">
        <v>4334</v>
      </c>
      <c r="S1095" s="238" t="s">
        <v>4335</v>
      </c>
      <c r="T1095" s="238" t="s">
        <v>4336</v>
      </c>
      <c r="U1095" s="238" t="s">
        <v>4337</v>
      </c>
      <c r="AB1095" s="1" t="s">
        <v>4274</v>
      </c>
    </row>
    <row r="1096" spans="1:28" ht="12.75" customHeight="1">
      <c r="A1096" s="233">
        <v>41254</v>
      </c>
      <c r="B1096" s="228" t="s">
        <v>1474</v>
      </c>
      <c r="C1096" s="1" t="s">
        <v>4251</v>
      </c>
      <c r="D1096" s="5" t="s">
        <v>4344</v>
      </c>
      <c r="E1096" s="1">
        <v>9032</v>
      </c>
      <c r="F1096" s="1">
        <v>2000</v>
      </c>
      <c r="G1096" s="1" t="s">
        <v>4302</v>
      </c>
      <c r="H1096" s="234">
        <v>1.73</v>
      </c>
      <c r="I1096" s="235">
        <f t="shared" si="84"/>
        <v>3460</v>
      </c>
      <c r="K1096" s="241">
        <f>1.4929*F1096</f>
        <v>2985.7999999999997</v>
      </c>
      <c r="L1096" s="237">
        <v>41254</v>
      </c>
      <c r="M1096" s="237" t="s">
        <v>4315</v>
      </c>
      <c r="N1096" s="235">
        <f t="shared" si="85"/>
        <v>3460</v>
      </c>
      <c r="O1096" s="235">
        <f t="shared" si="83"/>
        <v>0</v>
      </c>
      <c r="P1096" s="238" t="s">
        <v>4247</v>
      </c>
      <c r="Q1096" s="1" t="s">
        <v>4333</v>
      </c>
      <c r="R1096" s="239" t="s">
        <v>4334</v>
      </c>
      <c r="S1096" s="238" t="s">
        <v>4335</v>
      </c>
      <c r="T1096" s="238" t="s">
        <v>4336</v>
      </c>
      <c r="U1096" s="238" t="s">
        <v>4337</v>
      </c>
      <c r="AB1096" s="1" t="s">
        <v>4274</v>
      </c>
    </row>
    <row r="1097" spans="1:28" ht="11.25" customHeight="1">
      <c r="A1097" s="233">
        <v>41254</v>
      </c>
      <c r="B1097" s="228" t="s">
        <v>1474</v>
      </c>
      <c r="C1097" s="1" t="s">
        <v>4251</v>
      </c>
      <c r="D1097" s="5" t="s">
        <v>4345</v>
      </c>
      <c r="E1097" s="1">
        <v>1426</v>
      </c>
      <c r="F1097" s="1">
        <v>2</v>
      </c>
      <c r="G1097" s="1" t="s">
        <v>240</v>
      </c>
      <c r="H1097" s="234">
        <v>21.49</v>
      </c>
      <c r="I1097" s="235">
        <f t="shared" si="84"/>
        <v>42.98</v>
      </c>
      <c r="K1097" s="241">
        <f>19.422*F1097</f>
        <v>38.844000000000001</v>
      </c>
      <c r="L1097" s="237">
        <v>41254</v>
      </c>
      <c r="M1097" s="237" t="s">
        <v>4315</v>
      </c>
      <c r="N1097" s="235">
        <f t="shared" si="85"/>
        <v>42.98</v>
      </c>
      <c r="O1097" s="235">
        <f t="shared" si="83"/>
        <v>0</v>
      </c>
      <c r="P1097" s="238" t="s">
        <v>4247</v>
      </c>
      <c r="Q1097" s="1" t="s">
        <v>4333</v>
      </c>
      <c r="R1097" s="239" t="s">
        <v>4334</v>
      </c>
      <c r="S1097" s="238" t="s">
        <v>4335</v>
      </c>
      <c r="T1097" s="238" t="s">
        <v>4336</v>
      </c>
      <c r="U1097" s="238" t="s">
        <v>4337</v>
      </c>
      <c r="AB1097" s="1" t="s">
        <v>4274</v>
      </c>
    </row>
    <row r="1098" spans="1:28" ht="11.25" customHeight="1">
      <c r="A1098" s="233">
        <v>41254</v>
      </c>
      <c r="B1098" s="228" t="s">
        <v>1474</v>
      </c>
      <c r="C1098" s="1" t="s">
        <v>4251</v>
      </c>
      <c r="D1098" s="1" t="s">
        <v>683</v>
      </c>
      <c r="E1098" s="1" t="s">
        <v>4346</v>
      </c>
      <c r="F1098" s="1">
        <v>200</v>
      </c>
      <c r="G1098" s="1" t="s">
        <v>240</v>
      </c>
      <c r="H1098" s="234">
        <v>3.46</v>
      </c>
      <c r="I1098" s="235">
        <f t="shared" si="84"/>
        <v>692</v>
      </c>
      <c r="K1098" s="241">
        <f>3.3*F1098</f>
        <v>660</v>
      </c>
      <c r="L1098" s="237">
        <v>41254</v>
      </c>
      <c r="M1098" s="237" t="s">
        <v>4315</v>
      </c>
      <c r="N1098" s="235">
        <f t="shared" si="85"/>
        <v>692</v>
      </c>
      <c r="O1098" s="235">
        <f t="shared" si="83"/>
        <v>0</v>
      </c>
      <c r="P1098" s="238" t="s">
        <v>4247</v>
      </c>
      <c r="Q1098" s="1" t="s">
        <v>4333</v>
      </c>
      <c r="R1098" s="239" t="s">
        <v>4334</v>
      </c>
      <c r="S1098" s="238" t="s">
        <v>4335</v>
      </c>
      <c r="T1098" s="238" t="s">
        <v>4336</v>
      </c>
      <c r="U1098" s="238" t="s">
        <v>4337</v>
      </c>
      <c r="AB1098" s="1" t="s">
        <v>4274</v>
      </c>
    </row>
    <row r="1099" spans="1:28" ht="11.25" customHeight="1">
      <c r="A1099" s="233">
        <v>41254</v>
      </c>
      <c r="B1099" s="228" t="s">
        <v>1474</v>
      </c>
      <c r="C1099" s="1" t="s">
        <v>4251</v>
      </c>
      <c r="D1099" s="5" t="s">
        <v>4347</v>
      </c>
      <c r="E1099" s="1">
        <v>10197</v>
      </c>
      <c r="F1099" s="1">
        <v>2</v>
      </c>
      <c r="G1099" s="1" t="s">
        <v>240</v>
      </c>
      <c r="H1099" s="234">
        <v>43.2</v>
      </c>
      <c r="I1099" s="235">
        <f t="shared" si="84"/>
        <v>86.4</v>
      </c>
      <c r="K1099" s="241">
        <f>39.078*F1099</f>
        <v>78.156000000000006</v>
      </c>
      <c r="L1099" s="237">
        <v>41254</v>
      </c>
      <c r="M1099" s="237" t="s">
        <v>4315</v>
      </c>
      <c r="N1099" s="235">
        <f t="shared" si="85"/>
        <v>86.4</v>
      </c>
      <c r="O1099" s="235">
        <f t="shared" si="83"/>
        <v>0</v>
      </c>
      <c r="P1099" s="238" t="s">
        <v>4247</v>
      </c>
      <c r="Q1099" s="1" t="s">
        <v>4333</v>
      </c>
      <c r="R1099" s="239" t="s">
        <v>4334</v>
      </c>
      <c r="S1099" s="238" t="s">
        <v>4335</v>
      </c>
      <c r="T1099" s="238" t="s">
        <v>4336</v>
      </c>
      <c r="U1099" s="238" t="s">
        <v>4337</v>
      </c>
      <c r="AB1099" s="1" t="s">
        <v>4274</v>
      </c>
    </row>
    <row r="1100" spans="1:28" ht="11.25" customHeight="1">
      <c r="A1100" s="233">
        <v>41254</v>
      </c>
      <c r="B1100" s="228" t="s">
        <v>1474</v>
      </c>
      <c r="C1100" s="1" t="s">
        <v>4251</v>
      </c>
      <c r="D1100" s="1" t="s">
        <v>4265</v>
      </c>
      <c r="E1100" s="1">
        <v>10434</v>
      </c>
      <c r="F1100" s="1">
        <v>5</v>
      </c>
      <c r="G1100" s="1" t="s">
        <v>240</v>
      </c>
      <c r="H1100" s="234">
        <v>17.28</v>
      </c>
      <c r="I1100" s="235">
        <f t="shared" si="84"/>
        <v>86.4</v>
      </c>
      <c r="K1100" s="241">
        <f>14.2*F1100</f>
        <v>71</v>
      </c>
      <c r="L1100" s="237">
        <v>41254</v>
      </c>
      <c r="M1100" s="237" t="s">
        <v>4315</v>
      </c>
      <c r="N1100" s="235">
        <f t="shared" si="85"/>
        <v>86.4</v>
      </c>
      <c r="O1100" s="235">
        <f t="shared" si="83"/>
        <v>0</v>
      </c>
      <c r="P1100" s="238" t="s">
        <v>4247</v>
      </c>
      <c r="Q1100" s="1" t="s">
        <v>4333</v>
      </c>
      <c r="R1100" s="239" t="s">
        <v>4334</v>
      </c>
      <c r="S1100" s="238" t="s">
        <v>4335</v>
      </c>
      <c r="T1100" s="238" t="s">
        <v>4336</v>
      </c>
      <c r="U1100" s="238" t="s">
        <v>4337</v>
      </c>
      <c r="AB1100" s="1" t="s">
        <v>4274</v>
      </c>
    </row>
    <row r="1101" spans="1:28" ht="11.25" customHeight="1">
      <c r="A1101" s="233">
        <v>41254</v>
      </c>
      <c r="B1101" s="228" t="s">
        <v>4348</v>
      </c>
      <c r="C1101" s="1" t="s">
        <v>4251</v>
      </c>
      <c r="D1101" s="5" t="s">
        <v>4349</v>
      </c>
      <c r="E1101" s="1">
        <v>12308</v>
      </c>
      <c r="F1101" s="1">
        <v>5</v>
      </c>
      <c r="G1101" s="1" t="s">
        <v>240</v>
      </c>
      <c r="H1101" s="234">
        <v>20.88</v>
      </c>
      <c r="I1101" s="235">
        <f t="shared" si="84"/>
        <v>104.39999999999999</v>
      </c>
      <c r="K1101" s="241">
        <f>18*F1101</f>
        <v>90</v>
      </c>
      <c r="L1101" s="237">
        <v>41254</v>
      </c>
      <c r="M1101" s="237" t="s">
        <v>4315</v>
      </c>
      <c r="N1101" s="235">
        <f t="shared" si="85"/>
        <v>104.39999999999999</v>
      </c>
      <c r="O1101" s="235">
        <f t="shared" si="83"/>
        <v>0</v>
      </c>
      <c r="P1101" s="238" t="s">
        <v>4247</v>
      </c>
      <c r="Q1101" s="1" t="s">
        <v>4333</v>
      </c>
      <c r="R1101" s="239" t="s">
        <v>4334</v>
      </c>
      <c r="S1101" s="238" t="s">
        <v>4335</v>
      </c>
      <c r="T1101" s="238" t="s">
        <v>4336</v>
      </c>
      <c r="U1101" s="238" t="s">
        <v>4337</v>
      </c>
      <c r="AB1101" s="1" t="s">
        <v>4274</v>
      </c>
    </row>
    <row r="1102" spans="1:28" ht="11.25" customHeight="1">
      <c r="A1102" s="233">
        <v>41254</v>
      </c>
      <c r="B1102" s="228" t="s">
        <v>1474</v>
      </c>
      <c r="C1102" s="1" t="s">
        <v>4251</v>
      </c>
      <c r="D1102" s="5" t="s">
        <v>4350</v>
      </c>
      <c r="E1102" s="1" t="s">
        <v>1475</v>
      </c>
      <c r="F1102" s="1">
        <v>500</v>
      </c>
      <c r="G1102" s="1" t="s">
        <v>232</v>
      </c>
      <c r="H1102" s="234">
        <v>1.93</v>
      </c>
      <c r="I1102" s="235">
        <f t="shared" si="84"/>
        <v>965</v>
      </c>
      <c r="K1102" s="241">
        <f>1.24*F1102</f>
        <v>620</v>
      </c>
      <c r="L1102" s="237">
        <v>41254</v>
      </c>
      <c r="M1102" s="237" t="s">
        <v>4315</v>
      </c>
      <c r="N1102" s="235">
        <f t="shared" si="85"/>
        <v>965</v>
      </c>
      <c r="O1102" s="235">
        <f t="shared" si="83"/>
        <v>0</v>
      </c>
      <c r="P1102" s="238" t="s">
        <v>4247</v>
      </c>
      <c r="Q1102" s="1" t="s">
        <v>4333</v>
      </c>
      <c r="R1102" s="239" t="s">
        <v>4334</v>
      </c>
      <c r="S1102" s="238" t="s">
        <v>4335</v>
      </c>
      <c r="T1102" s="238" t="s">
        <v>4336</v>
      </c>
      <c r="U1102" s="238" t="s">
        <v>4337</v>
      </c>
      <c r="AB1102" s="1" t="s">
        <v>4274</v>
      </c>
    </row>
    <row r="1103" spans="1:28" ht="11.25" customHeight="1">
      <c r="A1103" s="233">
        <v>41254</v>
      </c>
      <c r="B1103" s="228" t="s">
        <v>1474</v>
      </c>
      <c r="C1103" s="1" t="s">
        <v>4251</v>
      </c>
      <c r="D1103" s="5" t="s">
        <v>4351</v>
      </c>
      <c r="E1103" s="1" t="s">
        <v>4352</v>
      </c>
      <c r="F1103" s="1">
        <v>20</v>
      </c>
      <c r="G1103" s="1" t="s">
        <v>230</v>
      </c>
      <c r="H1103" s="234">
        <v>13.67</v>
      </c>
      <c r="I1103" s="235">
        <f t="shared" si="84"/>
        <v>273.39999999999998</v>
      </c>
      <c r="K1103" s="241">
        <f>10.94*F1103</f>
        <v>218.79999999999998</v>
      </c>
      <c r="L1103" s="237">
        <v>41254</v>
      </c>
      <c r="M1103" s="237" t="s">
        <v>4315</v>
      </c>
      <c r="N1103" s="235">
        <f t="shared" si="85"/>
        <v>273.39999999999998</v>
      </c>
      <c r="O1103" s="235">
        <f t="shared" si="83"/>
        <v>0</v>
      </c>
      <c r="P1103" s="238" t="s">
        <v>4247</v>
      </c>
      <c r="Q1103" s="1" t="s">
        <v>4333</v>
      </c>
      <c r="R1103" s="239" t="s">
        <v>4334</v>
      </c>
      <c r="S1103" s="238" t="s">
        <v>4335</v>
      </c>
      <c r="T1103" s="238" t="s">
        <v>4336</v>
      </c>
      <c r="U1103" s="238" t="s">
        <v>4337</v>
      </c>
      <c r="AB1103" s="1" t="s">
        <v>4274</v>
      </c>
    </row>
    <row r="1104" spans="1:28" ht="11.25" customHeight="1">
      <c r="A1104" s="233">
        <v>41254</v>
      </c>
      <c r="B1104" s="228" t="s">
        <v>1474</v>
      </c>
      <c r="C1104" s="1" t="s">
        <v>4251</v>
      </c>
      <c r="D1104" s="5" t="s">
        <v>4353</v>
      </c>
      <c r="E1104" s="1" t="s">
        <v>1476</v>
      </c>
      <c r="F1104" s="1">
        <v>100</v>
      </c>
      <c r="G1104" s="1" t="s">
        <v>232</v>
      </c>
      <c r="H1104" s="234">
        <v>1.55</v>
      </c>
      <c r="I1104" s="235">
        <f t="shared" si="84"/>
        <v>155</v>
      </c>
      <c r="K1104" s="241">
        <f>1.17*F1104</f>
        <v>117</v>
      </c>
      <c r="L1104" s="237">
        <v>41254</v>
      </c>
      <c r="M1104" s="237" t="s">
        <v>4315</v>
      </c>
      <c r="N1104" s="235">
        <f t="shared" si="85"/>
        <v>155</v>
      </c>
      <c r="O1104" s="235">
        <f t="shared" si="83"/>
        <v>0</v>
      </c>
      <c r="P1104" s="238" t="s">
        <v>4247</v>
      </c>
      <c r="Q1104" s="1" t="s">
        <v>4333</v>
      </c>
      <c r="R1104" s="239" t="s">
        <v>4334</v>
      </c>
      <c r="S1104" s="238" t="s">
        <v>4335</v>
      </c>
      <c r="T1104" s="238" t="s">
        <v>4336</v>
      </c>
      <c r="U1104" s="238" t="s">
        <v>4337</v>
      </c>
      <c r="AB1104" s="1" t="s">
        <v>4274</v>
      </c>
    </row>
    <row r="1105" spans="1:28" ht="11.25" customHeight="1">
      <c r="A1105" s="233">
        <v>41254</v>
      </c>
      <c r="B1105" s="228" t="s">
        <v>1474</v>
      </c>
      <c r="C1105" s="1" t="s">
        <v>4251</v>
      </c>
      <c r="D1105" s="5" t="s">
        <v>4351</v>
      </c>
      <c r="E1105" s="1" t="s">
        <v>243</v>
      </c>
      <c r="F1105" s="1">
        <v>10</v>
      </c>
      <c r="G1105" s="1" t="s">
        <v>230</v>
      </c>
      <c r="H1105" s="234">
        <v>20.45</v>
      </c>
      <c r="I1105" s="235">
        <f t="shared" si="84"/>
        <v>204.5</v>
      </c>
      <c r="K1105" s="241">
        <f>16.5*F1105</f>
        <v>165</v>
      </c>
      <c r="L1105" s="237">
        <v>41254</v>
      </c>
      <c r="M1105" s="237" t="s">
        <v>4315</v>
      </c>
      <c r="N1105" s="235">
        <f t="shared" si="85"/>
        <v>204.5</v>
      </c>
      <c r="O1105" s="235">
        <f t="shared" si="83"/>
        <v>0</v>
      </c>
      <c r="P1105" s="238" t="s">
        <v>4247</v>
      </c>
      <c r="Q1105" s="1" t="s">
        <v>4333</v>
      </c>
      <c r="R1105" s="239" t="s">
        <v>4334</v>
      </c>
      <c r="S1105" s="238" t="s">
        <v>4335</v>
      </c>
      <c r="T1105" s="238" t="s">
        <v>4336</v>
      </c>
      <c r="U1105" s="238" t="s">
        <v>4337</v>
      </c>
      <c r="AB1105" s="1" t="s">
        <v>4274</v>
      </c>
    </row>
    <row r="1106" spans="1:28" ht="11.25" customHeight="1">
      <c r="A1106" s="233">
        <v>41254</v>
      </c>
      <c r="B1106" s="228" t="s">
        <v>1474</v>
      </c>
      <c r="C1106" s="1" t="s">
        <v>4251</v>
      </c>
      <c r="D1106" s="5" t="s">
        <v>4350</v>
      </c>
      <c r="E1106" s="1" t="s">
        <v>4354</v>
      </c>
      <c r="F1106" s="1">
        <v>100</v>
      </c>
      <c r="G1106" s="1" t="s">
        <v>232</v>
      </c>
      <c r="H1106" s="234">
        <v>6.26</v>
      </c>
      <c r="I1106" s="235">
        <f t="shared" si="84"/>
        <v>626</v>
      </c>
      <c r="K1106" s="241">
        <f>4.78*F1106</f>
        <v>478</v>
      </c>
      <c r="L1106" s="237">
        <v>41254</v>
      </c>
      <c r="M1106" s="237" t="s">
        <v>4315</v>
      </c>
      <c r="N1106" s="235">
        <f t="shared" si="85"/>
        <v>626</v>
      </c>
      <c r="O1106" s="235">
        <f t="shared" si="83"/>
        <v>0</v>
      </c>
      <c r="P1106" s="238" t="s">
        <v>4247</v>
      </c>
      <c r="Q1106" s="1" t="s">
        <v>4333</v>
      </c>
      <c r="R1106" s="239" t="s">
        <v>4334</v>
      </c>
      <c r="S1106" s="238" t="s">
        <v>4335</v>
      </c>
      <c r="T1106" s="238" t="s">
        <v>4336</v>
      </c>
      <c r="U1106" s="238" t="s">
        <v>4337</v>
      </c>
      <c r="AB1106" s="1" t="s">
        <v>4274</v>
      </c>
    </row>
    <row r="1107" spans="1:28" ht="11.25" customHeight="1">
      <c r="A1107" s="233">
        <v>41254</v>
      </c>
      <c r="B1107" s="228" t="s">
        <v>1496</v>
      </c>
      <c r="C1107" s="1" t="s">
        <v>4251</v>
      </c>
      <c r="D1107" s="5" t="s">
        <v>4355</v>
      </c>
      <c r="E1107" s="225">
        <v>6894</v>
      </c>
      <c r="F1107" s="1">
        <v>4</v>
      </c>
      <c r="G1107" s="1" t="s">
        <v>230</v>
      </c>
      <c r="H1107" s="234">
        <v>88.75</v>
      </c>
      <c r="I1107" s="235">
        <f t="shared" si="84"/>
        <v>355</v>
      </c>
      <c r="K1107" s="241">
        <f>85.67*4</f>
        <v>342.68</v>
      </c>
      <c r="L1107" s="237">
        <v>41248</v>
      </c>
      <c r="M1107" s="237" t="s">
        <v>4282</v>
      </c>
      <c r="N1107" s="235">
        <f t="shared" si="85"/>
        <v>355</v>
      </c>
      <c r="O1107" s="235">
        <f t="shared" si="83"/>
        <v>0</v>
      </c>
      <c r="P1107" s="238" t="s">
        <v>4356</v>
      </c>
      <c r="Q1107" s="1" t="s">
        <v>4243</v>
      </c>
      <c r="R1107" s="239" t="s">
        <v>4357</v>
      </c>
      <c r="S1107" s="238" t="s">
        <v>4358</v>
      </c>
      <c r="T1107" s="238" t="s">
        <v>1477</v>
      </c>
      <c r="U1107" s="238" t="s">
        <v>4247</v>
      </c>
      <c r="V1107" s="238" t="s">
        <v>4359</v>
      </c>
      <c r="W1107" s="236">
        <v>4217.3999999999996</v>
      </c>
      <c r="X1107" s="233">
        <v>41288</v>
      </c>
      <c r="Y1107" s="238" t="s">
        <v>5284</v>
      </c>
      <c r="AB1107" s="1" t="s">
        <v>4274</v>
      </c>
    </row>
    <row r="1108" spans="1:28" ht="11.25" customHeight="1">
      <c r="A1108" s="233">
        <v>41254</v>
      </c>
      <c r="B1108" s="228" t="s">
        <v>1496</v>
      </c>
      <c r="C1108" s="1" t="s">
        <v>4251</v>
      </c>
      <c r="D1108" s="5" t="s">
        <v>1433</v>
      </c>
      <c r="E1108" s="225">
        <v>6895</v>
      </c>
      <c r="F1108" s="1">
        <v>40</v>
      </c>
      <c r="G1108" s="1" t="s">
        <v>232</v>
      </c>
      <c r="H1108" s="234">
        <v>6.86</v>
      </c>
      <c r="I1108" s="235">
        <f t="shared" si="84"/>
        <v>274.40000000000003</v>
      </c>
      <c r="K1108" s="241">
        <f>6.18*20+6.178*20</f>
        <v>247.16</v>
      </c>
      <c r="L1108" s="237">
        <v>41248</v>
      </c>
      <c r="M1108" s="237" t="s">
        <v>4282</v>
      </c>
      <c r="N1108" s="235">
        <f t="shared" si="85"/>
        <v>274.40000000000003</v>
      </c>
      <c r="O1108" s="235">
        <f t="shared" si="83"/>
        <v>0</v>
      </c>
      <c r="P1108" s="238" t="s">
        <v>4356</v>
      </c>
      <c r="Q1108" s="1" t="s">
        <v>4243</v>
      </c>
      <c r="R1108" s="239" t="s">
        <v>4357</v>
      </c>
      <c r="S1108" s="238" t="s">
        <v>4358</v>
      </c>
      <c r="T1108" s="238" t="s">
        <v>1478</v>
      </c>
      <c r="U1108" s="238" t="s">
        <v>4247</v>
      </c>
      <c r="V1108" s="238" t="s">
        <v>4359</v>
      </c>
      <c r="W1108" s="236">
        <v>4217.3999999999996</v>
      </c>
      <c r="X1108" s="233">
        <v>41288</v>
      </c>
      <c r="Y1108" s="238" t="s">
        <v>5284</v>
      </c>
      <c r="AB1108" s="1" t="s">
        <v>4274</v>
      </c>
    </row>
    <row r="1109" spans="1:28" ht="11.25" customHeight="1">
      <c r="A1109" s="233">
        <v>41254</v>
      </c>
      <c r="B1109" s="228" t="s">
        <v>1496</v>
      </c>
      <c r="C1109" s="1" t="s">
        <v>4251</v>
      </c>
      <c r="D1109" s="5" t="s">
        <v>4360</v>
      </c>
      <c r="E1109" s="225">
        <v>6893</v>
      </c>
      <c r="F1109" s="1">
        <v>200</v>
      </c>
      <c r="G1109" s="1" t="s">
        <v>230</v>
      </c>
      <c r="H1109" s="234">
        <v>2.54</v>
      </c>
      <c r="I1109" s="235">
        <f t="shared" si="84"/>
        <v>508</v>
      </c>
      <c r="K1109" s="241">
        <f>2.28*F1109</f>
        <v>455.99999999999994</v>
      </c>
      <c r="L1109" s="237">
        <v>41248</v>
      </c>
      <c r="M1109" s="237" t="s">
        <v>4282</v>
      </c>
      <c r="N1109" s="235">
        <f t="shared" si="85"/>
        <v>508</v>
      </c>
      <c r="O1109" s="235">
        <f t="shared" si="83"/>
        <v>0</v>
      </c>
      <c r="P1109" s="238" t="s">
        <v>4356</v>
      </c>
      <c r="Q1109" s="1" t="s">
        <v>4243</v>
      </c>
      <c r="R1109" s="239" t="s">
        <v>4357</v>
      </c>
      <c r="S1109" s="238" t="s">
        <v>4358</v>
      </c>
      <c r="T1109" s="238" t="s">
        <v>1479</v>
      </c>
      <c r="U1109" s="238" t="s">
        <v>4247</v>
      </c>
      <c r="V1109" s="238" t="s">
        <v>4359</v>
      </c>
      <c r="W1109" s="236">
        <v>4217.3999999999996</v>
      </c>
      <c r="X1109" s="233">
        <v>41288</v>
      </c>
      <c r="Y1109" s="238" t="s">
        <v>5284</v>
      </c>
      <c r="AB1109" s="1" t="s">
        <v>4274</v>
      </c>
    </row>
    <row r="1110" spans="1:28" ht="11.25" customHeight="1">
      <c r="A1110" s="233">
        <v>41255</v>
      </c>
      <c r="B1110" s="1" t="s">
        <v>4250</v>
      </c>
      <c r="C1110" s="5" t="s">
        <v>4251</v>
      </c>
      <c r="D1110" s="5" t="s">
        <v>857</v>
      </c>
      <c r="E1110" s="1">
        <v>9032</v>
      </c>
      <c r="F1110" s="1">
        <v>500</v>
      </c>
      <c r="G1110" s="1" t="s">
        <v>4302</v>
      </c>
      <c r="H1110" s="234">
        <v>2.7</v>
      </c>
      <c r="I1110" s="235">
        <f t="shared" ref="I1110:I1142" si="86">F1110*H1110</f>
        <v>1350</v>
      </c>
      <c r="K1110" s="241">
        <f>1.4929*F1110</f>
        <v>746.44999999999993</v>
      </c>
      <c r="N1110" s="235">
        <v>0</v>
      </c>
      <c r="O1110" s="235">
        <f>I1110-N1110</f>
        <v>1350</v>
      </c>
      <c r="P1110" s="238" t="s">
        <v>4361</v>
      </c>
      <c r="Q1110" s="1" t="s">
        <v>4243</v>
      </c>
      <c r="R1110" s="239" t="s">
        <v>4244</v>
      </c>
      <c r="S1110" s="238" t="s">
        <v>4245</v>
      </c>
      <c r="T1110" s="238" t="s">
        <v>4246</v>
      </c>
      <c r="U1110" s="238" t="s">
        <v>4247</v>
      </c>
      <c r="V1110" s="238" t="s">
        <v>4248</v>
      </c>
      <c r="W1110" s="236">
        <v>68170</v>
      </c>
      <c r="X1110" s="233">
        <v>41257</v>
      </c>
      <c r="Y1110" s="238" t="s">
        <v>1564</v>
      </c>
      <c r="AB1110" s="1" t="s">
        <v>4249</v>
      </c>
    </row>
    <row r="1111" spans="1:28" ht="11.25" customHeight="1">
      <c r="A1111" s="233">
        <v>41255</v>
      </c>
      <c r="B1111" s="228" t="s">
        <v>4362</v>
      </c>
      <c r="C1111" s="5" t="s">
        <v>4363</v>
      </c>
      <c r="D1111" s="5" t="s">
        <v>4364</v>
      </c>
      <c r="E1111" s="1" t="s">
        <v>4365</v>
      </c>
      <c r="F1111" s="1">
        <v>1</v>
      </c>
      <c r="G1111" s="1" t="s">
        <v>4302</v>
      </c>
      <c r="H1111" s="234">
        <v>4100</v>
      </c>
      <c r="I1111" s="235">
        <f t="shared" si="86"/>
        <v>4100</v>
      </c>
      <c r="K1111" s="241">
        <f>3862*1</f>
        <v>3862</v>
      </c>
      <c r="L1111" s="237">
        <v>41255</v>
      </c>
      <c r="M1111" s="1" t="s">
        <v>4282</v>
      </c>
      <c r="N1111" s="235">
        <f t="shared" si="85"/>
        <v>4100</v>
      </c>
      <c r="O1111" s="235">
        <f t="shared" ref="O1111:O1174" si="87">I1111-N1111</f>
        <v>0</v>
      </c>
      <c r="P1111" s="238" t="s">
        <v>4247</v>
      </c>
      <c r="Q1111" s="1" t="s">
        <v>4366</v>
      </c>
      <c r="R1111" s="239" t="s">
        <v>4367</v>
      </c>
      <c r="S1111" s="238" t="s">
        <v>4368</v>
      </c>
      <c r="T1111" s="265" t="s">
        <v>1487</v>
      </c>
      <c r="U1111" s="238" t="s">
        <v>4247</v>
      </c>
      <c r="V1111" s="238" t="s">
        <v>4263</v>
      </c>
      <c r="AA1111" s="240" t="s">
        <v>4263</v>
      </c>
      <c r="AB1111" s="1" t="s">
        <v>4274</v>
      </c>
    </row>
    <row r="1112" spans="1:28" ht="11.25" customHeight="1">
      <c r="A1112" s="233">
        <v>41256</v>
      </c>
      <c r="B1112" s="1" t="s">
        <v>4369</v>
      </c>
      <c r="C1112" s="5" t="s">
        <v>4251</v>
      </c>
      <c r="D1112" s="5" t="s">
        <v>666</v>
      </c>
      <c r="E1112" s="1">
        <v>8246</v>
      </c>
      <c r="F1112" s="1">
        <v>300</v>
      </c>
      <c r="G1112" s="5" t="s">
        <v>5641</v>
      </c>
      <c r="H1112" s="234">
        <v>13.44</v>
      </c>
      <c r="I1112" s="235">
        <f t="shared" si="86"/>
        <v>4032</v>
      </c>
      <c r="K1112" s="241">
        <f>11.7*F1112</f>
        <v>3510</v>
      </c>
      <c r="L1112" s="237">
        <v>41264</v>
      </c>
      <c r="M1112" s="1" t="s">
        <v>4315</v>
      </c>
      <c r="N1112" s="235">
        <f t="shared" si="85"/>
        <v>4032</v>
      </c>
      <c r="O1112" s="235">
        <f t="shared" si="87"/>
        <v>0</v>
      </c>
      <c r="P1112" s="238" t="s">
        <v>4370</v>
      </c>
      <c r="Q1112" s="1" t="s">
        <v>4371</v>
      </c>
      <c r="R1112" s="239" t="s">
        <v>4372</v>
      </c>
      <c r="S1112" s="238" t="s">
        <v>4373</v>
      </c>
      <c r="T1112" s="238" t="s">
        <v>4374</v>
      </c>
      <c r="U1112" s="238" t="s">
        <v>4375</v>
      </c>
      <c r="V1112" s="238" t="s">
        <v>4376</v>
      </c>
      <c r="W1112" s="236">
        <v>6612</v>
      </c>
      <c r="X1112" s="233">
        <v>41256</v>
      </c>
      <c r="Y1112" s="238" t="s">
        <v>4375</v>
      </c>
      <c r="AB1112" s="1" t="s">
        <v>4274</v>
      </c>
    </row>
    <row r="1113" spans="1:28" ht="11.25" customHeight="1">
      <c r="A1113" s="233">
        <v>41256</v>
      </c>
      <c r="B1113" s="1" t="s">
        <v>4369</v>
      </c>
      <c r="C1113" s="5" t="s">
        <v>4251</v>
      </c>
      <c r="D1113" s="1" t="s">
        <v>1225</v>
      </c>
      <c r="E1113" s="1" t="s">
        <v>381</v>
      </c>
      <c r="F1113" s="1">
        <v>600</v>
      </c>
      <c r="G1113" s="5" t="s">
        <v>4302</v>
      </c>
      <c r="H1113" s="234">
        <v>4.3</v>
      </c>
      <c r="I1113" s="235">
        <f t="shared" si="86"/>
        <v>2580</v>
      </c>
      <c r="K1113" s="241">
        <f>3.6*F1113</f>
        <v>2160</v>
      </c>
      <c r="L1113" s="237">
        <v>41264</v>
      </c>
      <c r="M1113" s="1" t="s">
        <v>4315</v>
      </c>
      <c r="N1113" s="235">
        <f t="shared" si="85"/>
        <v>2580</v>
      </c>
      <c r="O1113" s="235">
        <f t="shared" si="87"/>
        <v>0</v>
      </c>
      <c r="P1113" s="238" t="s">
        <v>4370</v>
      </c>
      <c r="Q1113" s="1" t="s">
        <v>4371</v>
      </c>
      <c r="R1113" s="239" t="s">
        <v>4372</v>
      </c>
      <c r="S1113" s="238" t="s">
        <v>4373</v>
      </c>
      <c r="T1113" s="238" t="s">
        <v>4374</v>
      </c>
      <c r="U1113" s="238" t="s">
        <v>4375</v>
      </c>
      <c r="V1113" s="238" t="s">
        <v>4376</v>
      </c>
      <c r="W1113" s="236">
        <v>6612</v>
      </c>
      <c r="X1113" s="233">
        <v>41256</v>
      </c>
      <c r="Y1113" s="238" t="s">
        <v>4375</v>
      </c>
      <c r="AB1113" s="1" t="s">
        <v>4274</v>
      </c>
    </row>
    <row r="1114" spans="1:28" ht="11.25" customHeight="1">
      <c r="A1114" s="233">
        <v>41256</v>
      </c>
      <c r="B1114" s="1" t="s">
        <v>4377</v>
      </c>
      <c r="C1114" s="5" t="s">
        <v>4251</v>
      </c>
      <c r="D1114" s="1" t="s">
        <v>1774</v>
      </c>
      <c r="E1114" s="1">
        <v>9132</v>
      </c>
      <c r="F1114" s="1">
        <v>4800</v>
      </c>
      <c r="G1114" s="5" t="s">
        <v>4253</v>
      </c>
      <c r="H1114" s="234">
        <v>3.5</v>
      </c>
      <c r="I1114" s="235">
        <f t="shared" si="86"/>
        <v>16800</v>
      </c>
      <c r="K1114" s="241">
        <f>2100*2.64+600*2.92+2100*2.64</f>
        <v>12840</v>
      </c>
      <c r="L1114" s="237" t="s">
        <v>4378</v>
      </c>
      <c r="M1114" s="1" t="s">
        <v>4315</v>
      </c>
      <c r="N1114" s="235">
        <f t="shared" si="85"/>
        <v>16800</v>
      </c>
      <c r="O1114" s="235">
        <f t="shared" si="87"/>
        <v>0</v>
      </c>
      <c r="P1114" s="238" t="s">
        <v>4379</v>
      </c>
      <c r="Q1114" s="1" t="s">
        <v>4380</v>
      </c>
      <c r="R1114" s="239" t="s">
        <v>4381</v>
      </c>
      <c r="S1114" s="238" t="s">
        <v>4382</v>
      </c>
      <c r="T1114" s="238" t="s">
        <v>4383</v>
      </c>
      <c r="U1114" s="238" t="s">
        <v>4384</v>
      </c>
      <c r="V1114" s="238" t="s">
        <v>4273</v>
      </c>
      <c r="AB1114" s="1" t="s">
        <v>4274</v>
      </c>
    </row>
    <row r="1115" spans="1:28" ht="11.25" customHeight="1">
      <c r="A1115" s="233">
        <v>41256</v>
      </c>
      <c r="B1115" s="1" t="s">
        <v>4385</v>
      </c>
      <c r="C1115" s="1" t="s">
        <v>4251</v>
      </c>
      <c r="D1115" s="5" t="s">
        <v>4344</v>
      </c>
      <c r="E1115" s="5">
        <v>9032</v>
      </c>
      <c r="F1115" s="1">
        <v>500</v>
      </c>
      <c r="G1115" s="1" t="s">
        <v>4302</v>
      </c>
      <c r="H1115" s="234">
        <v>1.66</v>
      </c>
      <c r="I1115" s="235">
        <f t="shared" si="86"/>
        <v>830</v>
      </c>
      <c r="K1115" s="241">
        <f>1.4929*500</f>
        <v>746.44999999999993</v>
      </c>
      <c r="L1115" s="237">
        <v>41262</v>
      </c>
      <c r="M1115" s="1" t="s">
        <v>4282</v>
      </c>
      <c r="N1115" s="235">
        <f t="shared" si="85"/>
        <v>830</v>
      </c>
      <c r="O1115" s="235">
        <f t="shared" si="87"/>
        <v>0</v>
      </c>
      <c r="P1115" s="238" t="s">
        <v>4386</v>
      </c>
      <c r="Q1115" s="1" t="s">
        <v>4387</v>
      </c>
      <c r="R1115" s="10" t="s">
        <v>4388</v>
      </c>
      <c r="S1115" s="238">
        <v>13896055976</v>
      </c>
      <c r="T1115" s="238" t="s">
        <v>4389</v>
      </c>
      <c r="U1115" s="238" t="s">
        <v>4390</v>
      </c>
      <c r="V1115" s="238" t="s">
        <v>4391</v>
      </c>
      <c r="W1115" s="236">
        <v>3496.5</v>
      </c>
      <c r="X1115" s="233">
        <v>41261</v>
      </c>
      <c r="Y1115" s="238" t="s">
        <v>4392</v>
      </c>
      <c r="AA1115" s="140"/>
      <c r="AB1115" s="1" t="s">
        <v>4274</v>
      </c>
    </row>
    <row r="1116" spans="1:28" ht="11.25" customHeight="1">
      <c r="A1116" s="233">
        <v>41256</v>
      </c>
      <c r="B1116" s="1" t="s">
        <v>4385</v>
      </c>
      <c r="C1116" s="1" t="s">
        <v>4251</v>
      </c>
      <c r="D1116" s="5" t="s">
        <v>857</v>
      </c>
      <c r="E1116" s="5">
        <v>9031</v>
      </c>
      <c r="F1116" s="1">
        <v>500</v>
      </c>
      <c r="G1116" s="232" t="s">
        <v>4343</v>
      </c>
      <c r="H1116" s="234">
        <v>1.66</v>
      </c>
      <c r="I1116" s="235">
        <f t="shared" si="86"/>
        <v>830</v>
      </c>
      <c r="K1116" s="241">
        <f>1.4929*500</f>
        <v>746.44999999999993</v>
      </c>
      <c r="L1116" s="237">
        <v>41262</v>
      </c>
      <c r="M1116" s="1" t="s">
        <v>4282</v>
      </c>
      <c r="N1116" s="235">
        <f t="shared" si="85"/>
        <v>830</v>
      </c>
      <c r="O1116" s="235">
        <f t="shared" si="87"/>
        <v>0</v>
      </c>
      <c r="P1116" s="238" t="s">
        <v>4386</v>
      </c>
      <c r="Q1116" s="1" t="s">
        <v>4387</v>
      </c>
      <c r="R1116" s="10" t="s">
        <v>4388</v>
      </c>
      <c r="S1116" s="238">
        <v>13896055976</v>
      </c>
      <c r="T1116" s="238" t="s">
        <v>4389</v>
      </c>
      <c r="U1116" s="238" t="s">
        <v>4390</v>
      </c>
      <c r="V1116" s="238" t="s">
        <v>4391</v>
      </c>
      <c r="W1116" s="236">
        <v>3496.5</v>
      </c>
      <c r="X1116" s="233">
        <v>41261</v>
      </c>
      <c r="Y1116" s="238" t="s">
        <v>4392</v>
      </c>
      <c r="AA1116" s="140"/>
      <c r="AB1116" s="1" t="s">
        <v>4274</v>
      </c>
    </row>
    <row r="1117" spans="1:28" ht="11.25" customHeight="1">
      <c r="A1117" s="233">
        <v>41256</v>
      </c>
      <c r="B1117" s="1" t="s">
        <v>4385</v>
      </c>
      <c r="C1117" s="1" t="s">
        <v>4251</v>
      </c>
      <c r="D1117" s="5" t="s">
        <v>4332</v>
      </c>
      <c r="E1117" s="5" t="s">
        <v>4393</v>
      </c>
      <c r="F1117" s="1">
        <v>50</v>
      </c>
      <c r="G1117" s="1" t="s">
        <v>237</v>
      </c>
      <c r="H1117" s="234">
        <v>36.729999999999997</v>
      </c>
      <c r="I1117" s="235">
        <f t="shared" si="86"/>
        <v>1836.4999999999998</v>
      </c>
      <c r="K1117" s="241">
        <f>33.111*50</f>
        <v>1655.55</v>
      </c>
      <c r="L1117" s="237">
        <v>41262</v>
      </c>
      <c r="M1117" s="1" t="s">
        <v>4282</v>
      </c>
      <c r="N1117" s="235">
        <f t="shared" si="85"/>
        <v>1836.4999999999998</v>
      </c>
      <c r="O1117" s="235">
        <f t="shared" si="87"/>
        <v>0</v>
      </c>
      <c r="P1117" s="238" t="s">
        <v>4386</v>
      </c>
      <c r="Q1117" s="1" t="s">
        <v>4387</v>
      </c>
      <c r="R1117" s="10" t="s">
        <v>4388</v>
      </c>
      <c r="S1117" s="238">
        <v>13896055976</v>
      </c>
      <c r="T1117" s="238" t="s">
        <v>4389</v>
      </c>
      <c r="U1117" s="238" t="s">
        <v>4390</v>
      </c>
      <c r="V1117" s="238" t="s">
        <v>4391</v>
      </c>
      <c r="W1117" s="236">
        <v>3496.5</v>
      </c>
      <c r="X1117" s="233">
        <v>41261</v>
      </c>
      <c r="Y1117" s="238" t="s">
        <v>4392</v>
      </c>
      <c r="AA1117" s="140"/>
      <c r="AB1117" s="1" t="s">
        <v>4274</v>
      </c>
    </row>
    <row r="1118" spans="1:28" ht="11.25" customHeight="1">
      <c r="A1118" s="233">
        <v>41257</v>
      </c>
      <c r="B1118" s="1" t="s">
        <v>4394</v>
      </c>
      <c r="C1118" s="1" t="s">
        <v>4251</v>
      </c>
      <c r="D1118" s="5" t="s">
        <v>333</v>
      </c>
      <c r="E1118" s="5" t="s">
        <v>4395</v>
      </c>
      <c r="F1118" s="1">
        <v>10</v>
      </c>
      <c r="G1118" s="1" t="s">
        <v>4253</v>
      </c>
      <c r="H1118" s="234">
        <v>3.4</v>
      </c>
      <c r="I1118" s="235">
        <f t="shared" si="86"/>
        <v>34</v>
      </c>
      <c r="K1118" s="241">
        <f>2.25*F1118</f>
        <v>22.5</v>
      </c>
      <c r="L1118" s="237">
        <v>41257</v>
      </c>
      <c r="M1118" s="1" t="s">
        <v>4258</v>
      </c>
      <c r="N1118" s="235">
        <f t="shared" si="85"/>
        <v>34</v>
      </c>
      <c r="O1118" s="235">
        <f t="shared" si="87"/>
        <v>0</v>
      </c>
      <c r="P1118" s="238" t="s">
        <v>4396</v>
      </c>
      <c r="Q1118" s="1" t="s">
        <v>4243</v>
      </c>
      <c r="R1118" s="10" t="s">
        <v>4397</v>
      </c>
      <c r="S1118" s="238">
        <v>18996330888</v>
      </c>
      <c r="T1118" s="238" t="s">
        <v>4398</v>
      </c>
      <c r="U1118" s="238" t="s">
        <v>4247</v>
      </c>
      <c r="V1118" s="238" t="s">
        <v>4273</v>
      </c>
      <c r="AB1118" s="1" t="s">
        <v>4249</v>
      </c>
    </row>
    <row r="1119" spans="1:28" ht="11.25" customHeight="1">
      <c r="A1119" s="233">
        <v>41260</v>
      </c>
      <c r="B1119" s="1" t="s">
        <v>4399</v>
      </c>
      <c r="C1119" s="1" t="s">
        <v>4251</v>
      </c>
      <c r="D1119" s="5" t="s">
        <v>4332</v>
      </c>
      <c r="E1119" s="5" t="s">
        <v>4393</v>
      </c>
      <c r="F1119" s="1">
        <v>10</v>
      </c>
      <c r="G1119" s="1" t="s">
        <v>4400</v>
      </c>
      <c r="H1119" s="234">
        <v>35</v>
      </c>
      <c r="I1119" s="235">
        <f t="shared" si="86"/>
        <v>350</v>
      </c>
      <c r="K1119" s="241">
        <f>33.111*F1119</f>
        <v>331.10999999999996</v>
      </c>
      <c r="L1119" s="237">
        <v>41323</v>
      </c>
      <c r="M1119" s="1" t="s">
        <v>5085</v>
      </c>
      <c r="N1119" s="235">
        <f t="shared" si="85"/>
        <v>350</v>
      </c>
      <c r="O1119" s="235">
        <f t="shared" si="87"/>
        <v>0</v>
      </c>
      <c r="P1119" s="238" t="s">
        <v>4401</v>
      </c>
      <c r="Q1119" s="1" t="s">
        <v>4402</v>
      </c>
      <c r="R1119" s="10" t="s">
        <v>4403</v>
      </c>
      <c r="S1119" s="238">
        <v>18781834169</v>
      </c>
      <c r="T1119" s="238" t="s">
        <v>4404</v>
      </c>
      <c r="U1119" s="238" t="s">
        <v>4405</v>
      </c>
      <c r="AB1119" s="1" t="s">
        <v>4274</v>
      </c>
    </row>
    <row r="1120" spans="1:28" ht="11.25" customHeight="1">
      <c r="A1120" s="233">
        <v>41260</v>
      </c>
      <c r="B1120" s="1" t="s">
        <v>4264</v>
      </c>
      <c r="C1120" s="1" t="s">
        <v>4251</v>
      </c>
      <c r="D1120" s="1" t="s">
        <v>1720</v>
      </c>
      <c r="E1120" s="5">
        <v>8210</v>
      </c>
      <c r="F1120" s="1">
        <v>300</v>
      </c>
      <c r="G1120" s="1" t="s">
        <v>4302</v>
      </c>
      <c r="H1120" s="234">
        <v>4.18</v>
      </c>
      <c r="I1120" s="235">
        <f t="shared" si="86"/>
        <v>1254</v>
      </c>
      <c r="K1120" s="241">
        <f>3.63*F1120</f>
        <v>1089</v>
      </c>
      <c r="L1120" s="237">
        <v>41338</v>
      </c>
      <c r="M1120" s="1" t="s">
        <v>166</v>
      </c>
      <c r="N1120" s="235">
        <f t="shared" si="85"/>
        <v>1254</v>
      </c>
      <c r="O1120" s="235">
        <f t="shared" si="87"/>
        <v>0</v>
      </c>
      <c r="P1120" s="238" t="s">
        <v>4406</v>
      </c>
      <c r="Q1120" s="1" t="s">
        <v>4407</v>
      </c>
      <c r="R1120" s="239" t="s">
        <v>4269</v>
      </c>
      <c r="S1120" s="238" t="s">
        <v>4270</v>
      </c>
      <c r="T1120" s="238" t="s">
        <v>4271</v>
      </c>
      <c r="U1120" s="238" t="s">
        <v>4408</v>
      </c>
      <c r="V1120" s="238" t="s">
        <v>4273</v>
      </c>
      <c r="AB1120" s="1" t="s">
        <v>4274</v>
      </c>
    </row>
    <row r="1121" spans="1:28" ht="11.25" customHeight="1">
      <c r="A1121" s="233">
        <v>41260</v>
      </c>
      <c r="B1121" s="1" t="s">
        <v>4264</v>
      </c>
      <c r="C1121" s="1" t="s">
        <v>4251</v>
      </c>
      <c r="D1121" s="5" t="s">
        <v>4292</v>
      </c>
      <c r="E1121" s="5" t="s">
        <v>4326</v>
      </c>
      <c r="F1121" s="1">
        <v>1500</v>
      </c>
      <c r="G1121" s="1" t="s">
        <v>5002</v>
      </c>
      <c r="H1121" s="234">
        <v>1.59</v>
      </c>
      <c r="I1121" s="235">
        <f t="shared" si="86"/>
        <v>2385</v>
      </c>
      <c r="K1121" s="241">
        <f>1.4*F1121</f>
        <v>2100</v>
      </c>
      <c r="L1121" s="237">
        <v>41338</v>
      </c>
      <c r="M1121" s="1" t="s">
        <v>166</v>
      </c>
      <c r="N1121" s="235">
        <f t="shared" si="85"/>
        <v>2385</v>
      </c>
      <c r="O1121" s="235">
        <f t="shared" si="87"/>
        <v>0</v>
      </c>
      <c r="P1121" s="238" t="s">
        <v>4406</v>
      </c>
      <c r="Q1121" s="1" t="s">
        <v>4407</v>
      </c>
      <c r="R1121" s="239" t="s">
        <v>4269</v>
      </c>
      <c r="S1121" s="238" t="s">
        <v>4270</v>
      </c>
      <c r="T1121" s="238" t="s">
        <v>4271</v>
      </c>
      <c r="U1121" s="238" t="s">
        <v>4408</v>
      </c>
      <c r="V1121" s="238" t="s">
        <v>4273</v>
      </c>
      <c r="AB1121" s="1" t="s">
        <v>4274</v>
      </c>
    </row>
    <row r="1122" spans="1:28" ht="11.25" customHeight="1">
      <c r="A1122" s="233">
        <v>41260</v>
      </c>
      <c r="B1122" s="1" t="s">
        <v>4264</v>
      </c>
      <c r="C1122" s="1" t="s">
        <v>4251</v>
      </c>
      <c r="D1122" s="5" t="s">
        <v>233</v>
      </c>
      <c r="E1122" s="5" t="s">
        <v>4409</v>
      </c>
      <c r="F1122" s="1">
        <v>100</v>
      </c>
      <c r="G1122" s="1" t="s">
        <v>4253</v>
      </c>
      <c r="H1122" s="234">
        <v>1.85</v>
      </c>
      <c r="I1122" s="235">
        <f t="shared" si="86"/>
        <v>185</v>
      </c>
      <c r="K1122" s="241">
        <f>1.7*F1122</f>
        <v>170</v>
      </c>
      <c r="L1122" s="237">
        <v>41338</v>
      </c>
      <c r="M1122" s="1" t="s">
        <v>166</v>
      </c>
      <c r="N1122" s="235">
        <f t="shared" si="85"/>
        <v>185</v>
      </c>
      <c r="O1122" s="235">
        <f t="shared" si="87"/>
        <v>0</v>
      </c>
      <c r="P1122" s="238" t="s">
        <v>4406</v>
      </c>
      <c r="Q1122" s="1" t="s">
        <v>4407</v>
      </c>
      <c r="R1122" s="239" t="s">
        <v>4269</v>
      </c>
      <c r="S1122" s="238" t="s">
        <v>4270</v>
      </c>
      <c r="T1122" s="238" t="s">
        <v>4271</v>
      </c>
      <c r="U1122" s="238" t="s">
        <v>4408</v>
      </c>
      <c r="V1122" s="238" t="s">
        <v>4273</v>
      </c>
      <c r="AB1122" s="1" t="s">
        <v>4274</v>
      </c>
    </row>
    <row r="1123" spans="1:28" ht="11.25" customHeight="1">
      <c r="A1123" s="233">
        <v>41260</v>
      </c>
      <c r="B1123" s="1" t="s">
        <v>4410</v>
      </c>
      <c r="C1123" s="1" t="s">
        <v>4251</v>
      </c>
      <c r="D1123" s="5" t="s">
        <v>4411</v>
      </c>
      <c r="E1123" s="5">
        <v>1110</v>
      </c>
      <c r="F1123" s="1">
        <v>100</v>
      </c>
      <c r="G1123" s="1" t="s">
        <v>4266</v>
      </c>
      <c r="H1123" s="234">
        <v>0.86</v>
      </c>
      <c r="I1123" s="235">
        <f t="shared" si="86"/>
        <v>86</v>
      </c>
      <c r="K1123" s="241">
        <f>0.77*F1123</f>
        <v>77</v>
      </c>
      <c r="L1123" s="237">
        <v>41281</v>
      </c>
      <c r="M1123" s="1" t="s">
        <v>4282</v>
      </c>
      <c r="N1123" s="235">
        <f t="shared" si="85"/>
        <v>86</v>
      </c>
      <c r="O1123" s="235">
        <f t="shared" si="87"/>
        <v>0</v>
      </c>
      <c r="P1123" s="238" t="s">
        <v>4412</v>
      </c>
      <c r="Q1123" s="1" t="s">
        <v>4413</v>
      </c>
      <c r="R1123" s="239" t="s">
        <v>4414</v>
      </c>
      <c r="S1123" s="238">
        <v>13368068212</v>
      </c>
      <c r="T1123" s="238" t="s">
        <v>4247</v>
      </c>
      <c r="U1123" s="238" t="s">
        <v>4247</v>
      </c>
      <c r="V1123" s="238" t="s">
        <v>4415</v>
      </c>
      <c r="W1123" s="236">
        <v>11117.3</v>
      </c>
      <c r="X1123" s="233">
        <v>41268</v>
      </c>
      <c r="Y1123" s="238" t="s">
        <v>4416</v>
      </c>
      <c r="AB1123" s="1" t="s">
        <v>4274</v>
      </c>
    </row>
    <row r="1124" spans="1:28" ht="11.25" customHeight="1">
      <c r="A1124" s="233">
        <v>41260</v>
      </c>
      <c r="B1124" s="1" t="s">
        <v>4417</v>
      </c>
      <c r="C1124" s="1" t="s">
        <v>4251</v>
      </c>
      <c r="D1124" s="1" t="s">
        <v>1216</v>
      </c>
      <c r="E1124" s="1">
        <v>3200</v>
      </c>
      <c r="F1124" s="1">
        <v>200</v>
      </c>
      <c r="G1124" s="1" t="s">
        <v>4302</v>
      </c>
      <c r="H1124" s="234">
        <v>23.5</v>
      </c>
      <c r="I1124" s="235">
        <f t="shared" si="86"/>
        <v>4700</v>
      </c>
      <c r="K1124" s="241">
        <f>20.89*F1124</f>
        <v>4178</v>
      </c>
      <c r="L1124" s="237">
        <v>41295</v>
      </c>
      <c r="M1124" s="1" t="s">
        <v>167</v>
      </c>
      <c r="N1124" s="235">
        <f t="shared" si="85"/>
        <v>4700</v>
      </c>
      <c r="O1124" s="235">
        <f t="shared" si="87"/>
        <v>0</v>
      </c>
      <c r="P1124" s="238" t="s">
        <v>4418</v>
      </c>
      <c r="Q1124" s="1" t="s">
        <v>4328</v>
      </c>
      <c r="R1124" s="239" t="s">
        <v>4419</v>
      </c>
      <c r="S1124" s="238" t="s">
        <v>4420</v>
      </c>
      <c r="T1124" s="238" t="s">
        <v>4421</v>
      </c>
      <c r="U1124" s="238" t="s">
        <v>4247</v>
      </c>
      <c r="V1124" s="238" t="s">
        <v>4422</v>
      </c>
      <c r="W1124" s="236">
        <v>5700</v>
      </c>
      <c r="X1124" s="233">
        <v>41260</v>
      </c>
      <c r="Y1124" s="238" t="s">
        <v>4247</v>
      </c>
      <c r="AB1124" s="1" t="s">
        <v>4274</v>
      </c>
    </row>
    <row r="1125" spans="1:28" ht="14.25" customHeight="1">
      <c r="A1125" s="233">
        <v>41260</v>
      </c>
      <c r="B1125" s="1" t="s">
        <v>4417</v>
      </c>
      <c r="C1125" s="1" t="s">
        <v>4251</v>
      </c>
      <c r="D1125" s="5" t="s">
        <v>4423</v>
      </c>
      <c r="E1125" s="1">
        <v>3700</v>
      </c>
      <c r="F1125" s="1">
        <v>200</v>
      </c>
      <c r="G1125" s="1" t="s">
        <v>230</v>
      </c>
      <c r="H1125" s="234">
        <v>5</v>
      </c>
      <c r="I1125" s="235">
        <f t="shared" si="86"/>
        <v>1000</v>
      </c>
      <c r="K1125" s="241">
        <f>2.865*F1125</f>
        <v>573</v>
      </c>
      <c r="L1125" s="237">
        <v>41295</v>
      </c>
      <c r="M1125" s="1" t="s">
        <v>167</v>
      </c>
      <c r="N1125" s="235">
        <f t="shared" si="85"/>
        <v>1000</v>
      </c>
      <c r="O1125" s="235">
        <f t="shared" si="87"/>
        <v>0</v>
      </c>
      <c r="P1125" s="238" t="s">
        <v>4418</v>
      </c>
      <c r="Q1125" s="1" t="s">
        <v>4328</v>
      </c>
      <c r="R1125" s="239" t="s">
        <v>4419</v>
      </c>
      <c r="S1125" s="238" t="s">
        <v>4420</v>
      </c>
      <c r="T1125" s="238" t="s">
        <v>4421</v>
      </c>
      <c r="U1125" s="238" t="s">
        <v>4247</v>
      </c>
      <c r="V1125" s="238" t="s">
        <v>4422</v>
      </c>
      <c r="W1125" s="236">
        <v>5700</v>
      </c>
      <c r="X1125" s="233">
        <v>41260</v>
      </c>
      <c r="Y1125" s="238" t="s">
        <v>4247</v>
      </c>
      <c r="AB1125" s="1" t="s">
        <v>4274</v>
      </c>
    </row>
    <row r="1126" spans="1:28" ht="11.25" customHeight="1">
      <c r="A1126" s="233">
        <v>41261</v>
      </c>
      <c r="B1126" s="1" t="s">
        <v>482</v>
      </c>
      <c r="C1126" s="1" t="s">
        <v>4251</v>
      </c>
      <c r="D1126" s="5" t="s">
        <v>4344</v>
      </c>
      <c r="E1126" s="1">
        <v>9032</v>
      </c>
      <c r="F1126" s="1">
        <v>200</v>
      </c>
      <c r="G1126" s="1" t="s">
        <v>4302</v>
      </c>
      <c r="H1126" s="234">
        <v>2.2999999999999998</v>
      </c>
      <c r="I1126" s="236">
        <f>H1126*F1126</f>
        <v>459.99999999999994</v>
      </c>
      <c r="K1126" s="241">
        <f>1.4929*F1126</f>
        <v>298.58</v>
      </c>
      <c r="L1126" s="237">
        <v>41261</v>
      </c>
      <c r="M1126" s="1" t="s">
        <v>4258</v>
      </c>
      <c r="N1126" s="235">
        <f t="shared" si="85"/>
        <v>459.99999999999994</v>
      </c>
      <c r="O1126" s="235">
        <f t="shared" si="87"/>
        <v>0</v>
      </c>
      <c r="P1126" s="238" t="s">
        <v>4424</v>
      </c>
      <c r="Q1126" s="1" t="s">
        <v>393</v>
      </c>
      <c r="R1126" s="239" t="s">
        <v>4425</v>
      </c>
      <c r="S1126" s="238" t="s">
        <v>4426</v>
      </c>
      <c r="V1126" s="238" t="s">
        <v>255</v>
      </c>
      <c r="AB1126" s="1" t="s">
        <v>384</v>
      </c>
    </row>
    <row r="1127" spans="1:28" ht="11.25" customHeight="1">
      <c r="A1127" s="233">
        <v>41261</v>
      </c>
      <c r="B1127" s="1" t="s">
        <v>2139</v>
      </c>
      <c r="C1127" s="1" t="s">
        <v>2086</v>
      </c>
      <c r="D1127" s="5" t="s">
        <v>2120</v>
      </c>
      <c r="E1127" s="1">
        <v>6200</v>
      </c>
      <c r="F1127" s="1">
        <v>6</v>
      </c>
      <c r="G1127" s="1" t="s">
        <v>2115</v>
      </c>
      <c r="H1127" s="234">
        <v>59</v>
      </c>
      <c r="I1127" s="235">
        <f>H1127*F1127</f>
        <v>354</v>
      </c>
      <c r="K1127" s="241">
        <f>42.7*F1127</f>
        <v>256.20000000000005</v>
      </c>
      <c r="L1127" s="237">
        <v>41261</v>
      </c>
      <c r="M1127" s="1" t="s">
        <v>2379</v>
      </c>
      <c r="N1127" s="235">
        <f t="shared" si="85"/>
        <v>354</v>
      </c>
      <c r="O1127" s="235">
        <f t="shared" si="87"/>
        <v>0</v>
      </c>
      <c r="P1127" s="238" t="s">
        <v>4427</v>
      </c>
      <c r="Q1127" s="1" t="s">
        <v>393</v>
      </c>
      <c r="R1127" s="239" t="s">
        <v>2138</v>
      </c>
      <c r="S1127" s="238" t="s">
        <v>4428</v>
      </c>
      <c r="T1127" s="238" t="s">
        <v>4429</v>
      </c>
      <c r="V1127" s="238" t="s">
        <v>2176</v>
      </c>
      <c r="AB1127" s="1" t="s">
        <v>2212</v>
      </c>
    </row>
    <row r="1128" spans="1:28" ht="11.25" customHeight="1">
      <c r="A1128" s="233">
        <v>41261</v>
      </c>
      <c r="B1128" s="1" t="s">
        <v>2139</v>
      </c>
      <c r="C1128" s="1" t="s">
        <v>2086</v>
      </c>
      <c r="D1128" s="5" t="s">
        <v>355</v>
      </c>
      <c r="E1128" s="1" t="s">
        <v>2087</v>
      </c>
      <c r="F1128" s="1">
        <v>12</v>
      </c>
      <c r="G1128" s="1" t="s">
        <v>2115</v>
      </c>
      <c r="H1128" s="234">
        <v>22</v>
      </c>
      <c r="I1128" s="235">
        <f>H1128*F1128</f>
        <v>264</v>
      </c>
      <c r="K1128" s="241">
        <f>16.5*12</f>
        <v>198</v>
      </c>
      <c r="L1128" s="237">
        <v>41261</v>
      </c>
      <c r="M1128" s="1" t="s">
        <v>2379</v>
      </c>
      <c r="N1128" s="235">
        <f t="shared" si="85"/>
        <v>264</v>
      </c>
      <c r="O1128" s="235">
        <f t="shared" si="87"/>
        <v>0</v>
      </c>
      <c r="P1128" s="238" t="s">
        <v>4427</v>
      </c>
      <c r="Q1128" s="1" t="s">
        <v>393</v>
      </c>
      <c r="R1128" s="239" t="s">
        <v>2138</v>
      </c>
      <c r="S1128" s="238" t="s">
        <v>4428</v>
      </c>
      <c r="T1128" s="238" t="s">
        <v>4429</v>
      </c>
      <c r="V1128" s="238" t="s">
        <v>2176</v>
      </c>
      <c r="AB1128" s="1" t="s">
        <v>2212</v>
      </c>
    </row>
    <row r="1129" spans="1:28" ht="11.25" customHeight="1">
      <c r="A1129" s="233">
        <v>41261</v>
      </c>
      <c r="B1129" s="1" t="s">
        <v>2139</v>
      </c>
      <c r="C1129" s="1" t="s">
        <v>2086</v>
      </c>
      <c r="D1129" s="5" t="s">
        <v>2237</v>
      </c>
      <c r="E1129" s="1" t="s">
        <v>2091</v>
      </c>
      <c r="F1129" s="1">
        <v>12</v>
      </c>
      <c r="G1129" s="1" t="s">
        <v>232</v>
      </c>
      <c r="H1129" s="234">
        <v>7</v>
      </c>
      <c r="I1129" s="235">
        <f>H1129*F1129</f>
        <v>84</v>
      </c>
      <c r="K1129" s="241">
        <f>4.78*12</f>
        <v>57.36</v>
      </c>
      <c r="L1129" s="237">
        <v>41261</v>
      </c>
      <c r="M1129" s="1" t="s">
        <v>2379</v>
      </c>
      <c r="N1129" s="235">
        <f t="shared" si="85"/>
        <v>84</v>
      </c>
      <c r="O1129" s="235">
        <f t="shared" si="87"/>
        <v>0</v>
      </c>
      <c r="P1129" s="238" t="s">
        <v>4427</v>
      </c>
      <c r="Q1129" s="1" t="s">
        <v>393</v>
      </c>
      <c r="R1129" s="239" t="s">
        <v>2138</v>
      </c>
      <c r="S1129" s="238" t="s">
        <v>4428</v>
      </c>
      <c r="T1129" s="238" t="s">
        <v>4429</v>
      </c>
      <c r="V1129" s="238" t="s">
        <v>2176</v>
      </c>
      <c r="AB1129" s="1" t="s">
        <v>2212</v>
      </c>
    </row>
    <row r="1130" spans="1:28" ht="11.25" customHeight="1">
      <c r="A1130" s="233">
        <v>41261</v>
      </c>
      <c r="B1130" s="1" t="s">
        <v>2139</v>
      </c>
      <c r="C1130" s="1" t="s">
        <v>2086</v>
      </c>
      <c r="D1130" s="5" t="s">
        <v>264</v>
      </c>
      <c r="E1130" s="1">
        <v>501</v>
      </c>
      <c r="F1130" s="1">
        <v>12</v>
      </c>
      <c r="G1130" s="1" t="s">
        <v>2101</v>
      </c>
      <c r="H1130" s="234">
        <v>1.5</v>
      </c>
      <c r="I1130" s="235">
        <f>H1130*F1130</f>
        <v>18</v>
      </c>
      <c r="K1130" s="241">
        <f>1.39*12</f>
        <v>16.68</v>
      </c>
      <c r="L1130" s="237">
        <v>41261</v>
      </c>
      <c r="M1130" s="1" t="s">
        <v>2412</v>
      </c>
      <c r="N1130" s="235">
        <f t="shared" si="85"/>
        <v>18</v>
      </c>
      <c r="O1130" s="235">
        <f t="shared" si="87"/>
        <v>0</v>
      </c>
      <c r="P1130" s="238" t="s">
        <v>4430</v>
      </c>
      <c r="Q1130" s="1" t="s">
        <v>393</v>
      </c>
      <c r="R1130" s="239" t="s">
        <v>2137</v>
      </c>
      <c r="S1130" s="238" t="s">
        <v>2680</v>
      </c>
      <c r="T1130" s="238" t="s">
        <v>2681</v>
      </c>
      <c r="V1130" s="238" t="s">
        <v>2512</v>
      </c>
      <c r="AB1130" s="1" t="s">
        <v>2551</v>
      </c>
    </row>
    <row r="1131" spans="1:28" ht="11.25" customHeight="1">
      <c r="A1131" s="233">
        <v>41261</v>
      </c>
      <c r="B1131" s="1" t="s">
        <v>4140</v>
      </c>
      <c r="C1131" s="1" t="s">
        <v>2095</v>
      </c>
      <c r="D1131" s="1" t="s">
        <v>1216</v>
      </c>
      <c r="E1131" s="1">
        <v>3200</v>
      </c>
      <c r="F1131" s="1">
        <v>50</v>
      </c>
      <c r="G1131" s="1" t="s">
        <v>2101</v>
      </c>
      <c r="H1131" s="234">
        <v>28.2</v>
      </c>
      <c r="I1131" s="235">
        <f>F1131*H1131</f>
        <v>1410</v>
      </c>
      <c r="K1131" s="241">
        <f>23.94*50</f>
        <v>1197</v>
      </c>
      <c r="L1131" s="237">
        <v>41261</v>
      </c>
      <c r="M1131" s="1" t="s">
        <v>2412</v>
      </c>
      <c r="N1131" s="235">
        <f t="shared" si="85"/>
        <v>1410</v>
      </c>
      <c r="O1131" s="235">
        <f t="shared" si="87"/>
        <v>0</v>
      </c>
      <c r="P1131" s="238" t="s">
        <v>4431</v>
      </c>
      <c r="Q1131" s="1" t="s">
        <v>2529</v>
      </c>
      <c r="R1131" s="239" t="s">
        <v>4142</v>
      </c>
      <c r="S1131" s="238" t="s">
        <v>4143</v>
      </c>
      <c r="T1131" s="238" t="s">
        <v>4144</v>
      </c>
      <c r="V1131" s="238" t="s">
        <v>4432</v>
      </c>
      <c r="W1131" s="236">
        <v>1772</v>
      </c>
      <c r="X1131" s="233">
        <v>41261</v>
      </c>
      <c r="Y1131" s="238" t="s">
        <v>3980</v>
      </c>
      <c r="AB1131" s="1" t="s">
        <v>2551</v>
      </c>
    </row>
    <row r="1132" spans="1:28" ht="11.25" customHeight="1">
      <c r="A1132" s="233">
        <v>41261</v>
      </c>
      <c r="B1132" s="1" t="s">
        <v>4140</v>
      </c>
      <c r="C1132" s="1" t="s">
        <v>2095</v>
      </c>
      <c r="D1132" s="5" t="s">
        <v>348</v>
      </c>
      <c r="E1132" s="1">
        <v>3700</v>
      </c>
      <c r="F1132" s="1">
        <v>50</v>
      </c>
      <c r="G1132" s="1" t="s">
        <v>230</v>
      </c>
      <c r="H1132" s="234">
        <v>3.56</v>
      </c>
      <c r="I1132" s="235">
        <f>F1132*H1132</f>
        <v>178</v>
      </c>
      <c r="K1132" s="241">
        <f>3.09*50</f>
        <v>154.5</v>
      </c>
      <c r="L1132" s="237">
        <v>41261</v>
      </c>
      <c r="M1132" s="1" t="s">
        <v>2412</v>
      </c>
      <c r="N1132" s="235">
        <f t="shared" si="85"/>
        <v>178</v>
      </c>
      <c r="O1132" s="235">
        <f t="shared" si="87"/>
        <v>0</v>
      </c>
      <c r="P1132" s="238" t="s">
        <v>4431</v>
      </c>
      <c r="Q1132" s="1" t="s">
        <v>2529</v>
      </c>
      <c r="R1132" s="239" t="s">
        <v>4142</v>
      </c>
      <c r="S1132" s="238" t="s">
        <v>4143</v>
      </c>
      <c r="T1132" s="238" t="s">
        <v>4144</v>
      </c>
      <c r="V1132" s="238" t="s">
        <v>4432</v>
      </c>
      <c r="W1132" s="236">
        <v>1772</v>
      </c>
      <c r="X1132" s="233">
        <v>41261</v>
      </c>
      <c r="Y1132" s="238" t="s">
        <v>3980</v>
      </c>
      <c r="AB1132" s="1" t="s">
        <v>2551</v>
      </c>
    </row>
    <row r="1133" spans="1:28" ht="11.25" customHeight="1">
      <c r="A1133" s="233">
        <v>41261</v>
      </c>
      <c r="B1133" s="1" t="s">
        <v>4140</v>
      </c>
      <c r="C1133" s="1" t="s">
        <v>2095</v>
      </c>
      <c r="D1133" s="5" t="s">
        <v>1887</v>
      </c>
      <c r="E1133" s="1" t="s">
        <v>2639</v>
      </c>
      <c r="F1133" s="1">
        <v>100</v>
      </c>
      <c r="G1133" s="1" t="s">
        <v>2514</v>
      </c>
      <c r="H1133" s="234">
        <v>1.84</v>
      </c>
      <c r="I1133" s="235">
        <f>F1133*H1133</f>
        <v>184</v>
      </c>
      <c r="K1133" s="241">
        <f>1.54*100</f>
        <v>154</v>
      </c>
      <c r="L1133" s="237">
        <v>41261</v>
      </c>
      <c r="M1133" s="1" t="s">
        <v>2412</v>
      </c>
      <c r="N1133" s="235">
        <f t="shared" si="85"/>
        <v>184</v>
      </c>
      <c r="O1133" s="235">
        <f t="shared" si="87"/>
        <v>0</v>
      </c>
      <c r="P1133" s="238" t="s">
        <v>4431</v>
      </c>
      <c r="Q1133" s="1" t="s">
        <v>2529</v>
      </c>
      <c r="R1133" s="239" t="s">
        <v>4142</v>
      </c>
      <c r="S1133" s="238" t="s">
        <v>4143</v>
      </c>
      <c r="T1133" s="238" t="s">
        <v>4144</v>
      </c>
      <c r="V1133" s="238" t="s">
        <v>4432</v>
      </c>
      <c r="W1133" s="236">
        <v>1772</v>
      </c>
      <c r="X1133" s="233">
        <v>41261</v>
      </c>
      <c r="Y1133" s="238" t="s">
        <v>3980</v>
      </c>
      <c r="AB1133" s="1" t="s">
        <v>2551</v>
      </c>
    </row>
    <row r="1134" spans="1:28" ht="11.25" customHeight="1">
      <c r="A1134" s="233">
        <v>41261</v>
      </c>
      <c r="B1134" s="1" t="s">
        <v>4140</v>
      </c>
      <c r="C1134" s="1" t="s">
        <v>2095</v>
      </c>
      <c r="D1134" s="5" t="s">
        <v>1906</v>
      </c>
      <c r="E1134" s="1">
        <v>9031</v>
      </c>
      <c r="F1134" s="1">
        <v>200</v>
      </c>
      <c r="G1134" s="232" t="s">
        <v>3134</v>
      </c>
      <c r="H1134" s="234">
        <v>1.65</v>
      </c>
      <c r="I1134" s="235">
        <f>F1134*H1134</f>
        <v>330</v>
      </c>
      <c r="K1134" s="241">
        <f>1.4929*F1134</f>
        <v>298.58</v>
      </c>
      <c r="L1134" s="237">
        <v>41262</v>
      </c>
      <c r="M1134" s="1" t="s">
        <v>2412</v>
      </c>
      <c r="N1134" s="235">
        <f t="shared" si="85"/>
        <v>330</v>
      </c>
      <c r="O1134" s="235">
        <f t="shared" si="87"/>
        <v>0</v>
      </c>
      <c r="P1134" s="238" t="s">
        <v>4433</v>
      </c>
      <c r="Q1134" s="1" t="s">
        <v>2529</v>
      </c>
      <c r="R1134" s="239" t="s">
        <v>4142</v>
      </c>
      <c r="S1134" s="238" t="s">
        <v>4143</v>
      </c>
      <c r="T1134" s="238" t="s">
        <v>4144</v>
      </c>
      <c r="V1134" s="238" t="s">
        <v>2512</v>
      </c>
      <c r="AB1134" s="1" t="s">
        <v>2551</v>
      </c>
    </row>
    <row r="1135" spans="1:28" ht="11.25" customHeight="1">
      <c r="A1135" s="233">
        <v>41262</v>
      </c>
      <c r="B1135" s="1" t="s">
        <v>3799</v>
      </c>
      <c r="C1135" s="1" t="s">
        <v>2095</v>
      </c>
      <c r="D1135" s="5" t="s">
        <v>2029</v>
      </c>
      <c r="E1135" s="1">
        <v>7502</v>
      </c>
      <c r="F1135" s="1">
        <v>10</v>
      </c>
      <c r="G1135" s="1" t="s">
        <v>2101</v>
      </c>
      <c r="H1135" s="234">
        <v>135</v>
      </c>
      <c r="I1135" s="235">
        <f t="shared" si="86"/>
        <v>1350</v>
      </c>
      <c r="K1135" s="241">
        <f>112*10</f>
        <v>1120</v>
      </c>
      <c r="L1135" s="237">
        <v>41260</v>
      </c>
      <c r="M1135" s="1" t="s">
        <v>2092</v>
      </c>
      <c r="N1135" s="235">
        <f t="shared" si="85"/>
        <v>1350</v>
      </c>
      <c r="O1135" s="235">
        <f t="shared" si="87"/>
        <v>0</v>
      </c>
      <c r="P1135" s="238" t="s">
        <v>4434</v>
      </c>
      <c r="Q1135" s="1" t="s">
        <v>2230</v>
      </c>
      <c r="R1135" s="1" t="s">
        <v>3801</v>
      </c>
      <c r="S1135" s="238" t="s">
        <v>3802</v>
      </c>
      <c r="T1135" s="238" t="s">
        <v>4435</v>
      </c>
      <c r="U1135" s="238" t="s">
        <v>2097</v>
      </c>
      <c r="V1135" s="238" t="s">
        <v>4109</v>
      </c>
      <c r="W1135" s="236">
        <v>5069.0200000000004</v>
      </c>
      <c r="X1135" s="233">
        <v>41263</v>
      </c>
      <c r="Y1135" s="238" t="s">
        <v>4110</v>
      </c>
      <c r="AB1135" s="1" t="s">
        <v>2551</v>
      </c>
    </row>
    <row r="1136" spans="1:28" ht="11.25" customHeight="1">
      <c r="A1136" s="233">
        <v>41262</v>
      </c>
      <c r="B1136" s="1" t="s">
        <v>3799</v>
      </c>
      <c r="C1136" s="1" t="s">
        <v>2095</v>
      </c>
      <c r="D1136" s="5" t="s">
        <v>2030</v>
      </c>
      <c r="E1136" s="1">
        <v>7501</v>
      </c>
      <c r="F1136" s="1">
        <v>10</v>
      </c>
      <c r="G1136" s="1" t="s">
        <v>2101</v>
      </c>
      <c r="H1136" s="234">
        <v>120</v>
      </c>
      <c r="I1136" s="235">
        <f t="shared" si="86"/>
        <v>1200</v>
      </c>
      <c r="K1136" s="241">
        <f>105*10</f>
        <v>1050</v>
      </c>
      <c r="L1136" s="237">
        <v>41260</v>
      </c>
      <c r="M1136" s="1" t="s">
        <v>2092</v>
      </c>
      <c r="N1136" s="235">
        <f t="shared" si="85"/>
        <v>1200</v>
      </c>
      <c r="O1136" s="235">
        <f t="shared" si="87"/>
        <v>0</v>
      </c>
      <c r="P1136" s="238" t="s">
        <v>4434</v>
      </c>
      <c r="Q1136" s="1" t="s">
        <v>2230</v>
      </c>
      <c r="R1136" s="1" t="s">
        <v>3801</v>
      </c>
      <c r="S1136" s="238" t="s">
        <v>3802</v>
      </c>
      <c r="T1136" s="238" t="s">
        <v>4435</v>
      </c>
      <c r="U1136" s="238" t="s">
        <v>2097</v>
      </c>
      <c r="V1136" s="238" t="s">
        <v>4109</v>
      </c>
      <c r="W1136" s="236">
        <v>5069.0200000000004</v>
      </c>
      <c r="X1136" s="233">
        <v>41263</v>
      </c>
      <c r="Y1136" s="238" t="s">
        <v>4110</v>
      </c>
      <c r="AB1136" s="1" t="s">
        <v>2551</v>
      </c>
    </row>
    <row r="1137" spans="1:28" ht="11.25" customHeight="1">
      <c r="A1137" s="233">
        <v>41262</v>
      </c>
      <c r="B1137" s="1" t="s">
        <v>3799</v>
      </c>
      <c r="C1137" s="1" t="s">
        <v>2095</v>
      </c>
      <c r="D1137" s="5" t="s">
        <v>1880</v>
      </c>
      <c r="E1137" s="1">
        <v>6006</v>
      </c>
      <c r="F1137" s="1">
        <v>20</v>
      </c>
      <c r="G1137" s="1" t="s">
        <v>2101</v>
      </c>
      <c r="H1137" s="234">
        <v>51.5</v>
      </c>
      <c r="I1137" s="235">
        <f t="shared" si="86"/>
        <v>1030</v>
      </c>
      <c r="K1137" s="241">
        <f>49.5*20</f>
        <v>990</v>
      </c>
      <c r="L1137" s="237">
        <v>41260</v>
      </c>
      <c r="M1137" s="1" t="s">
        <v>2092</v>
      </c>
      <c r="N1137" s="235">
        <f t="shared" si="85"/>
        <v>1030</v>
      </c>
      <c r="O1137" s="235">
        <f t="shared" si="87"/>
        <v>0</v>
      </c>
      <c r="P1137" s="238" t="s">
        <v>4434</v>
      </c>
      <c r="Q1137" s="1" t="s">
        <v>2230</v>
      </c>
      <c r="R1137" s="1" t="s">
        <v>3801</v>
      </c>
      <c r="S1137" s="238" t="s">
        <v>3802</v>
      </c>
      <c r="T1137" s="238" t="s">
        <v>4435</v>
      </c>
      <c r="U1137" s="238" t="s">
        <v>2097</v>
      </c>
      <c r="V1137" s="238" t="s">
        <v>4109</v>
      </c>
      <c r="W1137" s="236">
        <v>5069.0200000000004</v>
      </c>
      <c r="X1137" s="233">
        <v>41263</v>
      </c>
      <c r="Y1137" s="238" t="s">
        <v>4110</v>
      </c>
      <c r="AB1137" s="1" t="s">
        <v>2551</v>
      </c>
    </row>
    <row r="1138" spans="1:28" ht="11.25" customHeight="1">
      <c r="A1138" s="233">
        <v>41262</v>
      </c>
      <c r="B1138" s="1" t="s">
        <v>3799</v>
      </c>
      <c r="C1138" s="1" t="s">
        <v>2095</v>
      </c>
      <c r="D1138" s="5" t="s">
        <v>355</v>
      </c>
      <c r="E1138" s="1" t="s">
        <v>2516</v>
      </c>
      <c r="F1138" s="1">
        <v>20</v>
      </c>
      <c r="G1138" s="1" t="s">
        <v>2101</v>
      </c>
      <c r="H1138" s="234">
        <v>18.5</v>
      </c>
      <c r="I1138" s="235">
        <f t="shared" si="86"/>
        <v>370</v>
      </c>
      <c r="K1138" s="241">
        <f>16.5*20</f>
        <v>330</v>
      </c>
      <c r="L1138" s="237">
        <v>41260</v>
      </c>
      <c r="M1138" s="1" t="s">
        <v>2092</v>
      </c>
      <c r="N1138" s="235">
        <f t="shared" si="85"/>
        <v>370</v>
      </c>
      <c r="O1138" s="235">
        <f t="shared" si="87"/>
        <v>0</v>
      </c>
      <c r="P1138" s="238" t="s">
        <v>4434</v>
      </c>
      <c r="Q1138" s="1" t="s">
        <v>2230</v>
      </c>
      <c r="R1138" s="1" t="s">
        <v>3801</v>
      </c>
      <c r="S1138" s="238" t="s">
        <v>3802</v>
      </c>
      <c r="T1138" s="238" t="s">
        <v>4435</v>
      </c>
      <c r="U1138" s="238" t="s">
        <v>2097</v>
      </c>
      <c r="V1138" s="238" t="s">
        <v>4109</v>
      </c>
      <c r="W1138" s="236">
        <v>5069.0200000000004</v>
      </c>
      <c r="X1138" s="233">
        <v>41263</v>
      </c>
      <c r="Y1138" s="238" t="s">
        <v>4110</v>
      </c>
      <c r="AB1138" s="1" t="s">
        <v>2551</v>
      </c>
    </row>
    <row r="1139" spans="1:28" ht="11.25" customHeight="1">
      <c r="A1139" s="233">
        <v>41262</v>
      </c>
      <c r="B1139" s="1" t="s">
        <v>3799</v>
      </c>
      <c r="C1139" s="1" t="s">
        <v>2095</v>
      </c>
      <c r="D1139" s="5" t="s">
        <v>1887</v>
      </c>
      <c r="E1139" s="1" t="s">
        <v>2123</v>
      </c>
      <c r="F1139" s="1">
        <v>20</v>
      </c>
      <c r="G1139" s="1" t="s">
        <v>232</v>
      </c>
      <c r="H1139" s="234">
        <v>5.2</v>
      </c>
      <c r="I1139" s="235">
        <f t="shared" si="86"/>
        <v>104</v>
      </c>
      <c r="K1139" s="241">
        <f>4.78*20</f>
        <v>95.600000000000009</v>
      </c>
      <c r="L1139" s="237">
        <v>41260</v>
      </c>
      <c r="M1139" s="1" t="s">
        <v>2092</v>
      </c>
      <c r="N1139" s="235">
        <f t="shared" si="85"/>
        <v>104</v>
      </c>
      <c r="O1139" s="235">
        <f t="shared" si="87"/>
        <v>0</v>
      </c>
      <c r="P1139" s="238" t="s">
        <v>4434</v>
      </c>
      <c r="Q1139" s="1" t="s">
        <v>2230</v>
      </c>
      <c r="R1139" s="1" t="s">
        <v>3801</v>
      </c>
      <c r="S1139" s="238" t="s">
        <v>3802</v>
      </c>
      <c r="T1139" s="238" t="s">
        <v>4435</v>
      </c>
      <c r="U1139" s="238" t="s">
        <v>2097</v>
      </c>
      <c r="V1139" s="238" t="s">
        <v>4109</v>
      </c>
      <c r="W1139" s="236">
        <v>5069.0200000000004</v>
      </c>
      <c r="X1139" s="233">
        <v>41263</v>
      </c>
      <c r="Y1139" s="238" t="s">
        <v>4110</v>
      </c>
      <c r="AB1139" s="1" t="s">
        <v>2551</v>
      </c>
    </row>
    <row r="1140" spans="1:28" ht="11.25" customHeight="1">
      <c r="A1140" s="233">
        <v>41262</v>
      </c>
      <c r="B1140" s="1" t="s">
        <v>3799</v>
      </c>
      <c r="C1140" s="1" t="s">
        <v>2095</v>
      </c>
      <c r="D1140" s="5" t="s">
        <v>1882</v>
      </c>
      <c r="E1140" s="1">
        <v>501</v>
      </c>
      <c r="F1140" s="1">
        <v>20</v>
      </c>
      <c r="G1140" s="1" t="s">
        <v>2101</v>
      </c>
      <c r="H1140" s="234">
        <v>1.5</v>
      </c>
      <c r="I1140" s="235">
        <f t="shared" si="86"/>
        <v>30</v>
      </c>
      <c r="K1140" s="241">
        <f>1.4*20</f>
        <v>28</v>
      </c>
      <c r="L1140" s="237">
        <v>41260</v>
      </c>
      <c r="M1140" s="1" t="s">
        <v>2092</v>
      </c>
      <c r="N1140" s="235">
        <f t="shared" si="85"/>
        <v>30</v>
      </c>
      <c r="O1140" s="235">
        <f t="shared" si="87"/>
        <v>0</v>
      </c>
      <c r="P1140" s="238" t="s">
        <v>4434</v>
      </c>
      <c r="Q1140" s="1" t="s">
        <v>2230</v>
      </c>
      <c r="R1140" s="1" t="s">
        <v>3801</v>
      </c>
      <c r="S1140" s="238" t="s">
        <v>3802</v>
      </c>
      <c r="T1140" s="238" t="s">
        <v>4435</v>
      </c>
      <c r="U1140" s="238" t="s">
        <v>2097</v>
      </c>
      <c r="V1140" s="238" t="s">
        <v>4109</v>
      </c>
      <c r="W1140" s="236">
        <v>5069.0200000000004</v>
      </c>
      <c r="X1140" s="233">
        <v>41263</v>
      </c>
      <c r="Y1140" s="238" t="s">
        <v>4110</v>
      </c>
      <c r="AB1140" s="1" t="s">
        <v>2551</v>
      </c>
    </row>
    <row r="1141" spans="1:28" ht="11.25" customHeight="1">
      <c r="A1141" s="233">
        <v>41262</v>
      </c>
      <c r="B1141" s="1" t="s">
        <v>3799</v>
      </c>
      <c r="C1141" s="1" t="s">
        <v>2095</v>
      </c>
      <c r="D1141" s="5" t="s">
        <v>1915</v>
      </c>
      <c r="E1141" s="1">
        <v>1270</v>
      </c>
      <c r="F1141" s="1">
        <v>100</v>
      </c>
      <c r="G1141" s="1" t="s">
        <v>2420</v>
      </c>
      <c r="H1141" s="234">
        <v>4.55</v>
      </c>
      <c r="I1141" s="235">
        <f t="shared" si="86"/>
        <v>455</v>
      </c>
      <c r="K1141" s="241">
        <f>4.31*100</f>
        <v>430.99999999999994</v>
      </c>
      <c r="L1141" s="237">
        <v>41260</v>
      </c>
      <c r="M1141" s="1" t="s">
        <v>2092</v>
      </c>
      <c r="N1141" s="235">
        <f t="shared" si="85"/>
        <v>455</v>
      </c>
      <c r="O1141" s="235">
        <f t="shared" si="87"/>
        <v>0</v>
      </c>
      <c r="P1141" s="238" t="s">
        <v>4434</v>
      </c>
      <c r="Q1141" s="1" t="s">
        <v>2230</v>
      </c>
      <c r="R1141" s="1" t="s">
        <v>3801</v>
      </c>
      <c r="S1141" s="238" t="s">
        <v>3802</v>
      </c>
      <c r="T1141" s="238" t="s">
        <v>4435</v>
      </c>
      <c r="U1141" s="238" t="s">
        <v>2097</v>
      </c>
      <c r="V1141" s="238" t="s">
        <v>4109</v>
      </c>
      <c r="W1141" s="236">
        <v>5069.0200000000004</v>
      </c>
      <c r="X1141" s="233">
        <v>41263</v>
      </c>
      <c r="Y1141" s="238" t="s">
        <v>4110</v>
      </c>
      <c r="AB1141" s="1" t="s">
        <v>2551</v>
      </c>
    </row>
    <row r="1142" spans="1:28" ht="11.25" customHeight="1">
      <c r="A1142" s="233">
        <v>41262</v>
      </c>
      <c r="B1142" s="1" t="s">
        <v>3799</v>
      </c>
      <c r="C1142" s="1" t="s">
        <v>2095</v>
      </c>
      <c r="D1142" s="5" t="s">
        <v>1961</v>
      </c>
      <c r="E1142" s="1" t="s">
        <v>4436</v>
      </c>
      <c r="F1142" s="1">
        <v>30</v>
      </c>
      <c r="G1142" s="1" t="s">
        <v>2847</v>
      </c>
      <c r="H1142" s="234">
        <v>6</v>
      </c>
      <c r="I1142" s="235">
        <f t="shared" si="86"/>
        <v>180</v>
      </c>
      <c r="K1142" s="241">
        <f>5.69*25</f>
        <v>142.25</v>
      </c>
      <c r="L1142" s="237">
        <v>41260</v>
      </c>
      <c r="M1142" s="1" t="s">
        <v>2092</v>
      </c>
      <c r="N1142" s="235">
        <f t="shared" si="85"/>
        <v>180</v>
      </c>
      <c r="O1142" s="235">
        <f t="shared" si="87"/>
        <v>0</v>
      </c>
      <c r="P1142" s="238" t="s">
        <v>4434</v>
      </c>
      <c r="Q1142" s="1" t="s">
        <v>2230</v>
      </c>
      <c r="R1142" s="1" t="s">
        <v>3801</v>
      </c>
      <c r="S1142" s="238" t="s">
        <v>3802</v>
      </c>
      <c r="T1142" s="238" t="s">
        <v>4435</v>
      </c>
      <c r="U1142" s="238" t="s">
        <v>2097</v>
      </c>
      <c r="V1142" s="238" t="s">
        <v>4109</v>
      </c>
      <c r="W1142" s="236">
        <v>5069.0200000000004</v>
      </c>
      <c r="X1142" s="233">
        <v>41263</v>
      </c>
      <c r="Y1142" s="238" t="s">
        <v>4110</v>
      </c>
      <c r="AB1142" s="1" t="s">
        <v>2551</v>
      </c>
    </row>
    <row r="1143" spans="1:28" ht="11.25" customHeight="1">
      <c r="A1143" s="233">
        <v>41262</v>
      </c>
      <c r="B1143" s="1" t="s">
        <v>3682</v>
      </c>
      <c r="C1143" s="1" t="s">
        <v>2095</v>
      </c>
      <c r="D1143" s="5" t="s">
        <v>1947</v>
      </c>
      <c r="E1143" s="5">
        <v>1110</v>
      </c>
      <c r="F1143" s="1">
        <v>50</v>
      </c>
      <c r="G1143" s="1" t="s">
        <v>2420</v>
      </c>
      <c r="H1143" s="234">
        <v>0.86</v>
      </c>
      <c r="I1143" s="235">
        <f t="shared" ref="I1143:I1152" si="88">F1143*H1143</f>
        <v>43</v>
      </c>
      <c r="K1143" s="241">
        <f>0.77*F1143</f>
        <v>38.5</v>
      </c>
      <c r="L1143" s="237">
        <v>41262</v>
      </c>
      <c r="M1143" s="1" t="s">
        <v>2412</v>
      </c>
      <c r="N1143" s="235">
        <f t="shared" si="85"/>
        <v>43</v>
      </c>
      <c r="O1143" s="235">
        <f t="shared" si="87"/>
        <v>0</v>
      </c>
      <c r="P1143" s="238" t="s">
        <v>4437</v>
      </c>
      <c r="Q1143" s="1" t="s">
        <v>2230</v>
      </c>
      <c r="R1143" s="239" t="s">
        <v>4124</v>
      </c>
      <c r="S1143" s="238" t="s">
        <v>4125</v>
      </c>
      <c r="T1143" s="239" t="s">
        <v>2097</v>
      </c>
      <c r="U1143" s="239" t="s">
        <v>2097</v>
      </c>
      <c r="AB1143" s="1" t="s">
        <v>2551</v>
      </c>
    </row>
    <row r="1144" spans="1:28" ht="11.25" customHeight="1">
      <c r="A1144" s="233">
        <v>41262</v>
      </c>
      <c r="B1144" s="1" t="s">
        <v>3682</v>
      </c>
      <c r="C1144" s="1" t="s">
        <v>2095</v>
      </c>
      <c r="D1144" s="5" t="s">
        <v>2026</v>
      </c>
      <c r="E1144" s="5" t="s">
        <v>2513</v>
      </c>
      <c r="F1144" s="1">
        <v>50</v>
      </c>
      <c r="G1144" s="1" t="s">
        <v>5002</v>
      </c>
      <c r="H1144" s="234">
        <v>1.75</v>
      </c>
      <c r="I1144" s="235">
        <f t="shared" si="88"/>
        <v>87.5</v>
      </c>
      <c r="K1144" s="241">
        <f>1.4*F1144</f>
        <v>70</v>
      </c>
      <c r="L1144" s="237">
        <v>41262</v>
      </c>
      <c r="M1144" s="1" t="s">
        <v>2412</v>
      </c>
      <c r="N1144" s="235">
        <f t="shared" si="85"/>
        <v>87.5</v>
      </c>
      <c r="O1144" s="235">
        <f t="shared" si="87"/>
        <v>0</v>
      </c>
      <c r="P1144" s="238" t="s">
        <v>4437</v>
      </c>
      <c r="Q1144" s="1" t="s">
        <v>2230</v>
      </c>
      <c r="R1144" s="239" t="s">
        <v>4124</v>
      </c>
      <c r="S1144" s="238" t="s">
        <v>4125</v>
      </c>
      <c r="T1144" s="239" t="s">
        <v>2097</v>
      </c>
      <c r="U1144" s="239" t="s">
        <v>2097</v>
      </c>
      <c r="AB1144" s="1" t="s">
        <v>2551</v>
      </c>
    </row>
    <row r="1145" spans="1:28" ht="10.5" customHeight="1">
      <c r="A1145" s="233">
        <v>41262</v>
      </c>
      <c r="B1145" s="1" t="s">
        <v>3682</v>
      </c>
      <c r="C1145" s="1" t="s">
        <v>2095</v>
      </c>
      <c r="D1145" s="5" t="s">
        <v>2026</v>
      </c>
      <c r="E1145" s="5" t="s">
        <v>2513</v>
      </c>
      <c r="F1145" s="1">
        <v>200</v>
      </c>
      <c r="G1145" s="1" t="s">
        <v>5002</v>
      </c>
      <c r="H1145" s="234">
        <v>1.7</v>
      </c>
      <c r="I1145" s="235">
        <f t="shared" si="88"/>
        <v>340</v>
      </c>
      <c r="K1145" s="241">
        <f>1.4*F1145</f>
        <v>280</v>
      </c>
      <c r="L1145" s="237">
        <v>41262</v>
      </c>
      <c r="M1145" s="1" t="s">
        <v>2412</v>
      </c>
      <c r="N1145" s="235">
        <f t="shared" si="85"/>
        <v>340</v>
      </c>
      <c r="O1145" s="235">
        <f t="shared" si="87"/>
        <v>0</v>
      </c>
      <c r="P1145" s="238" t="s">
        <v>4438</v>
      </c>
      <c r="Q1145" s="1" t="s">
        <v>2230</v>
      </c>
      <c r="R1145" s="239" t="s">
        <v>4124</v>
      </c>
      <c r="S1145" s="238" t="s">
        <v>4125</v>
      </c>
      <c r="T1145" s="239" t="s">
        <v>2097</v>
      </c>
      <c r="U1145" s="239" t="s">
        <v>2097</v>
      </c>
      <c r="V1145" s="238" t="s">
        <v>2512</v>
      </c>
      <c r="AB1145" s="1" t="s">
        <v>2551</v>
      </c>
    </row>
    <row r="1146" spans="1:28" ht="10.5" customHeight="1">
      <c r="A1146" s="233">
        <v>41262</v>
      </c>
      <c r="B1146" s="1" t="s">
        <v>4439</v>
      </c>
      <c r="C1146" s="1" t="s">
        <v>2095</v>
      </c>
      <c r="D1146" s="5" t="s">
        <v>1906</v>
      </c>
      <c r="E1146" s="5">
        <v>9032</v>
      </c>
      <c r="F1146" s="1">
        <v>500</v>
      </c>
      <c r="G1146" s="1" t="s">
        <v>2101</v>
      </c>
      <c r="H1146" s="234">
        <v>2.2999999999999998</v>
      </c>
      <c r="I1146" s="235">
        <f t="shared" si="88"/>
        <v>1150</v>
      </c>
      <c r="K1146" s="241">
        <f>1.4929*F1146</f>
        <v>746.44999999999993</v>
      </c>
      <c r="L1146" s="237">
        <v>41262</v>
      </c>
      <c r="M1146" s="1" t="s">
        <v>2412</v>
      </c>
      <c r="N1146" s="235">
        <f t="shared" si="85"/>
        <v>1150</v>
      </c>
      <c r="O1146" s="235">
        <f t="shared" si="87"/>
        <v>0</v>
      </c>
      <c r="P1146" s="238" t="s">
        <v>4440</v>
      </c>
      <c r="Q1146" s="1" t="s">
        <v>2230</v>
      </c>
      <c r="R1146" s="239" t="s">
        <v>4441</v>
      </c>
      <c r="S1146" s="238" t="s">
        <v>4442</v>
      </c>
      <c r="T1146" s="239" t="s">
        <v>2097</v>
      </c>
      <c r="U1146" s="239" t="s">
        <v>2097</v>
      </c>
      <c r="V1146" s="238" t="s">
        <v>2512</v>
      </c>
      <c r="AB1146" s="1" t="s">
        <v>2094</v>
      </c>
    </row>
    <row r="1147" spans="1:28" ht="10.5" customHeight="1">
      <c r="A1147" s="233">
        <v>41262</v>
      </c>
      <c r="B1147" s="1" t="s">
        <v>4439</v>
      </c>
      <c r="C1147" s="1" t="s">
        <v>2095</v>
      </c>
      <c r="D1147" s="5" t="s">
        <v>2028</v>
      </c>
      <c r="E1147" s="5" t="s">
        <v>2822</v>
      </c>
      <c r="F1147" s="1">
        <v>10</v>
      </c>
      <c r="G1147" s="1" t="s">
        <v>2420</v>
      </c>
      <c r="H1147" s="234">
        <v>20</v>
      </c>
      <c r="I1147" s="235">
        <f t="shared" si="88"/>
        <v>200</v>
      </c>
      <c r="K1147" s="261">
        <f>13.91*10</f>
        <v>139.1</v>
      </c>
      <c r="L1147" s="237">
        <v>41262</v>
      </c>
      <c r="M1147" s="1" t="s">
        <v>2412</v>
      </c>
      <c r="N1147" s="235">
        <f t="shared" si="85"/>
        <v>200</v>
      </c>
      <c r="O1147" s="235">
        <f t="shared" si="87"/>
        <v>0</v>
      </c>
      <c r="P1147" s="238" t="s">
        <v>4440</v>
      </c>
      <c r="Q1147" s="1" t="s">
        <v>2230</v>
      </c>
      <c r="R1147" s="239" t="s">
        <v>4441</v>
      </c>
      <c r="S1147" s="238" t="s">
        <v>4442</v>
      </c>
      <c r="T1147" s="239" t="s">
        <v>2097</v>
      </c>
      <c r="U1147" s="239" t="s">
        <v>2097</v>
      </c>
      <c r="V1147" s="238" t="s">
        <v>2512</v>
      </c>
      <c r="Z1147" s="255" t="s">
        <v>2573</v>
      </c>
      <c r="AB1147" s="1" t="s">
        <v>2094</v>
      </c>
    </row>
    <row r="1148" spans="1:28" ht="10.5" customHeight="1">
      <c r="A1148" s="233">
        <v>41262</v>
      </c>
      <c r="B1148" s="1" t="s">
        <v>2668</v>
      </c>
      <c r="C1148" s="1" t="s">
        <v>2095</v>
      </c>
      <c r="D1148" s="5" t="s">
        <v>1953</v>
      </c>
      <c r="E1148" s="1" t="s">
        <v>4443</v>
      </c>
      <c r="F1148" s="1">
        <v>240</v>
      </c>
      <c r="G1148" s="1" t="s">
        <v>3155</v>
      </c>
      <c r="H1148" s="234">
        <v>61.1</v>
      </c>
      <c r="I1148" s="235">
        <f t="shared" si="88"/>
        <v>14664</v>
      </c>
      <c r="K1148" s="241">
        <f>20.89*F1148</f>
        <v>5013.6000000000004</v>
      </c>
      <c r="L1148" s="237">
        <v>41295</v>
      </c>
      <c r="M1148" s="1" t="s">
        <v>167</v>
      </c>
      <c r="N1148" s="235">
        <f t="shared" si="85"/>
        <v>14664</v>
      </c>
      <c r="O1148" s="235">
        <f t="shared" si="87"/>
        <v>0</v>
      </c>
      <c r="P1148" s="238" t="s">
        <v>4444</v>
      </c>
      <c r="Q1148" s="1" t="s">
        <v>2230</v>
      </c>
      <c r="R1148" s="239" t="s">
        <v>4445</v>
      </c>
      <c r="S1148" s="238" t="s">
        <v>4446</v>
      </c>
      <c r="T1148" s="238" t="s">
        <v>4447</v>
      </c>
      <c r="U1148" s="238" t="s">
        <v>2097</v>
      </c>
      <c r="V1148" s="238" t="s">
        <v>4448</v>
      </c>
      <c r="W1148" s="236">
        <v>26074</v>
      </c>
      <c r="X1148" s="233">
        <v>41283</v>
      </c>
      <c r="Y1148" s="238" t="s">
        <v>2097</v>
      </c>
      <c r="AB1148" s="1" t="s">
        <v>2551</v>
      </c>
    </row>
    <row r="1149" spans="1:28" ht="11.25" customHeight="1">
      <c r="A1149" s="233">
        <v>41262</v>
      </c>
      <c r="B1149" s="1" t="s">
        <v>2668</v>
      </c>
      <c r="C1149" s="1" t="s">
        <v>2095</v>
      </c>
      <c r="D1149" s="5" t="s">
        <v>1887</v>
      </c>
      <c r="E1149" s="1" t="s">
        <v>4149</v>
      </c>
      <c r="F1149" s="1">
        <v>7000</v>
      </c>
      <c r="G1149" s="1" t="s">
        <v>2514</v>
      </c>
      <c r="H1149" s="234">
        <v>1.63</v>
      </c>
      <c r="I1149" s="235">
        <f t="shared" si="88"/>
        <v>11410</v>
      </c>
      <c r="K1149" s="241">
        <f>1.24*7000</f>
        <v>8680</v>
      </c>
      <c r="L1149" s="237">
        <v>41295</v>
      </c>
      <c r="M1149" s="1" t="s">
        <v>167</v>
      </c>
      <c r="N1149" s="235">
        <f t="shared" si="85"/>
        <v>11410</v>
      </c>
      <c r="O1149" s="235">
        <f t="shared" si="87"/>
        <v>0</v>
      </c>
      <c r="P1149" s="238" t="s">
        <v>4444</v>
      </c>
      <c r="Q1149" s="1" t="s">
        <v>2230</v>
      </c>
      <c r="R1149" s="239" t="s">
        <v>4445</v>
      </c>
      <c r="S1149" s="238" t="s">
        <v>4446</v>
      </c>
      <c r="T1149" s="238" t="s">
        <v>4447</v>
      </c>
      <c r="U1149" s="238" t="s">
        <v>2097</v>
      </c>
      <c r="V1149" s="238" t="s">
        <v>4448</v>
      </c>
      <c r="W1149" s="236">
        <v>26074</v>
      </c>
      <c r="X1149" s="233">
        <v>41283</v>
      </c>
      <c r="Y1149" s="238" t="s">
        <v>2097</v>
      </c>
      <c r="AB1149" s="1" t="s">
        <v>2551</v>
      </c>
    </row>
    <row r="1150" spans="1:28" ht="11.25" customHeight="1">
      <c r="A1150" s="233">
        <v>41263</v>
      </c>
      <c r="B1150" s="1" t="s">
        <v>3977</v>
      </c>
      <c r="C1150" s="1" t="s">
        <v>2095</v>
      </c>
      <c r="D1150" s="5" t="s">
        <v>1759</v>
      </c>
      <c r="E1150" s="1">
        <v>1621</v>
      </c>
      <c r="F1150" s="1">
        <v>23</v>
      </c>
      <c r="G1150" s="1" t="s">
        <v>2420</v>
      </c>
      <c r="H1150" s="234">
        <v>10.199999999999999</v>
      </c>
      <c r="I1150" s="235">
        <f t="shared" si="88"/>
        <v>234.6</v>
      </c>
      <c r="K1150" s="241">
        <f>8.84*F1150</f>
        <v>203.32</v>
      </c>
      <c r="L1150" s="237">
        <v>41281</v>
      </c>
      <c r="M1150" s="1" t="s">
        <v>2092</v>
      </c>
      <c r="N1150" s="235">
        <f t="shared" si="85"/>
        <v>234.6</v>
      </c>
      <c r="O1150" s="235">
        <f t="shared" si="87"/>
        <v>0</v>
      </c>
      <c r="P1150" s="238" t="s">
        <v>4449</v>
      </c>
      <c r="Q1150" s="1" t="s">
        <v>4450</v>
      </c>
      <c r="R1150" s="239" t="s">
        <v>4033</v>
      </c>
      <c r="S1150" s="238">
        <v>13368068212</v>
      </c>
      <c r="T1150" s="238" t="s">
        <v>2097</v>
      </c>
      <c r="U1150" s="238" t="s">
        <v>2097</v>
      </c>
      <c r="V1150" s="238" t="s">
        <v>4034</v>
      </c>
      <c r="W1150" s="236">
        <v>11117.3</v>
      </c>
      <c r="X1150" s="233">
        <v>41268</v>
      </c>
      <c r="Y1150" s="238" t="s">
        <v>3980</v>
      </c>
      <c r="AB1150" s="1" t="s">
        <v>2551</v>
      </c>
    </row>
    <row r="1151" spans="1:28" ht="11.25" customHeight="1">
      <c r="A1151" s="233">
        <v>41263</v>
      </c>
      <c r="B1151" s="1" t="s">
        <v>3977</v>
      </c>
      <c r="C1151" s="1" t="s">
        <v>2095</v>
      </c>
      <c r="D1151" s="1" t="s">
        <v>1219</v>
      </c>
      <c r="E1151" s="1" t="s">
        <v>2533</v>
      </c>
      <c r="F1151" s="1">
        <v>16</v>
      </c>
      <c r="G1151" s="1" t="s">
        <v>2420</v>
      </c>
      <c r="H1151" s="234">
        <v>13.4</v>
      </c>
      <c r="I1151" s="235">
        <f t="shared" si="88"/>
        <v>214.4</v>
      </c>
      <c r="J1151" s="352">
        <v>12.6</v>
      </c>
      <c r="K1151" s="250">
        <f>12.5*F1151</f>
        <v>200</v>
      </c>
      <c r="L1151" s="237">
        <v>41281</v>
      </c>
      <c r="M1151" s="1" t="s">
        <v>2092</v>
      </c>
      <c r="N1151" s="235">
        <f t="shared" si="85"/>
        <v>214.4</v>
      </c>
      <c r="O1151" s="235">
        <f t="shared" si="87"/>
        <v>0</v>
      </c>
      <c r="P1151" s="238" t="s">
        <v>4451</v>
      </c>
      <c r="Q1151" s="1" t="s">
        <v>4450</v>
      </c>
      <c r="R1151" s="239" t="s">
        <v>4033</v>
      </c>
      <c r="S1151" s="238">
        <v>13368068212</v>
      </c>
      <c r="T1151" s="238" t="s">
        <v>2097</v>
      </c>
      <c r="U1151" s="238" t="s">
        <v>2097</v>
      </c>
      <c r="V1151" s="238" t="s">
        <v>4034</v>
      </c>
      <c r="W1151" s="236">
        <v>11117.3</v>
      </c>
      <c r="X1151" s="233">
        <v>41268</v>
      </c>
      <c r="Y1151" s="238" t="s">
        <v>3980</v>
      </c>
      <c r="AB1151" s="1" t="s">
        <v>2551</v>
      </c>
    </row>
    <row r="1152" spans="1:28" ht="11.25" customHeight="1">
      <c r="A1152" s="233">
        <v>41263</v>
      </c>
      <c r="B1152" s="1" t="s">
        <v>3977</v>
      </c>
      <c r="C1152" s="1" t="s">
        <v>2095</v>
      </c>
      <c r="D1152" s="5" t="s">
        <v>1759</v>
      </c>
      <c r="E1152" s="1">
        <v>1621</v>
      </c>
      <c r="F1152" s="1">
        <v>4</v>
      </c>
      <c r="G1152" s="1" t="s">
        <v>2420</v>
      </c>
      <c r="H1152" s="234">
        <v>10.199999999999999</v>
      </c>
      <c r="I1152" s="235">
        <f t="shared" si="88"/>
        <v>40.799999999999997</v>
      </c>
      <c r="K1152" s="241">
        <f>8.84*F1152</f>
        <v>35.36</v>
      </c>
      <c r="L1152" s="237">
        <v>41281</v>
      </c>
      <c r="M1152" s="1" t="s">
        <v>2092</v>
      </c>
      <c r="N1152" s="235">
        <f t="shared" si="85"/>
        <v>40.799999999999997</v>
      </c>
      <c r="O1152" s="235">
        <f t="shared" si="87"/>
        <v>0</v>
      </c>
      <c r="P1152" s="238" t="s">
        <v>4451</v>
      </c>
      <c r="Q1152" s="1" t="s">
        <v>4450</v>
      </c>
      <c r="R1152" s="239" t="s">
        <v>4033</v>
      </c>
      <c r="S1152" s="238">
        <v>13368068212</v>
      </c>
      <c r="T1152" s="238" t="s">
        <v>2097</v>
      </c>
      <c r="U1152" s="238" t="s">
        <v>2097</v>
      </c>
      <c r="V1152" s="238" t="s">
        <v>4034</v>
      </c>
      <c r="W1152" s="236">
        <v>11117.3</v>
      </c>
      <c r="X1152" s="233">
        <v>41268</v>
      </c>
      <c r="Y1152" s="238" t="s">
        <v>3980</v>
      </c>
      <c r="AB1152" s="1" t="s">
        <v>2551</v>
      </c>
    </row>
    <row r="1153" spans="1:28" ht="11.25" customHeight="1">
      <c r="A1153" s="233">
        <v>41263</v>
      </c>
      <c r="B1153" s="1" t="s">
        <v>2186</v>
      </c>
      <c r="C1153" s="1" t="s">
        <v>2095</v>
      </c>
      <c r="D1153" s="5" t="s">
        <v>1886</v>
      </c>
      <c r="E1153" s="225">
        <v>4941</v>
      </c>
      <c r="F1153" s="225" t="s">
        <v>4452</v>
      </c>
      <c r="G1153" s="225" t="s">
        <v>4453</v>
      </c>
      <c r="H1153" s="234">
        <v>400</v>
      </c>
      <c r="I1153" s="27">
        <f>H1153*5*0.8</f>
        <v>1600</v>
      </c>
      <c r="K1153" s="241">
        <f>359*0.8*5</f>
        <v>1436</v>
      </c>
      <c r="L1153" s="237">
        <v>41331</v>
      </c>
      <c r="M1153" s="1" t="s">
        <v>5274</v>
      </c>
      <c r="N1153" s="235">
        <f t="shared" si="85"/>
        <v>1600</v>
      </c>
      <c r="O1153" s="235">
        <f t="shared" si="87"/>
        <v>0</v>
      </c>
      <c r="P1153" s="238" t="s">
        <v>2097</v>
      </c>
      <c r="Q1153" s="1" t="s">
        <v>3564</v>
      </c>
      <c r="R1153" s="239" t="s">
        <v>1566</v>
      </c>
      <c r="S1153" s="238" t="s">
        <v>1567</v>
      </c>
      <c r="T1153" s="238" t="s">
        <v>1568</v>
      </c>
      <c r="U1153" s="238" t="s">
        <v>4454</v>
      </c>
      <c r="V1153" s="238" t="s">
        <v>4455</v>
      </c>
      <c r="W1153" s="236">
        <v>1600</v>
      </c>
      <c r="X1153" s="233">
        <v>41267</v>
      </c>
      <c r="Y1153" s="238" t="s">
        <v>4456</v>
      </c>
      <c r="AA1153" s="282"/>
      <c r="AB1153" s="1" t="s">
        <v>2850</v>
      </c>
    </row>
    <row r="1154" spans="1:28" ht="11.25" customHeight="1">
      <c r="A1154" s="233">
        <v>41264</v>
      </c>
      <c r="B1154" s="1" t="s">
        <v>4457</v>
      </c>
      <c r="C1154" s="1" t="s">
        <v>2851</v>
      </c>
      <c r="D1154" s="5" t="s">
        <v>4458</v>
      </c>
      <c r="E1154" s="225" t="s">
        <v>4459</v>
      </c>
      <c r="F1154" s="225">
        <v>100</v>
      </c>
      <c r="G1154" s="225" t="s">
        <v>4460</v>
      </c>
      <c r="H1154" s="234">
        <v>36.729999999999997</v>
      </c>
      <c r="I1154" s="27">
        <f>F1154*H1154</f>
        <v>3672.9999999999995</v>
      </c>
      <c r="K1154" s="241">
        <f>33.111*F1154</f>
        <v>3311.1</v>
      </c>
      <c r="L1154" s="237">
        <v>41285</v>
      </c>
      <c r="M1154" s="1" t="s">
        <v>4461</v>
      </c>
      <c r="N1154" s="235">
        <f t="shared" si="85"/>
        <v>3672.9999999999995</v>
      </c>
      <c r="O1154" s="235">
        <f t="shared" si="87"/>
        <v>0</v>
      </c>
      <c r="P1154" s="238" t="s">
        <v>4462</v>
      </c>
      <c r="Q1154" s="1" t="s">
        <v>4463</v>
      </c>
      <c r="R1154" s="10" t="s">
        <v>4464</v>
      </c>
      <c r="S1154" s="238">
        <v>13896055976</v>
      </c>
      <c r="T1154" s="238" t="s">
        <v>4465</v>
      </c>
      <c r="U1154" s="238" t="s">
        <v>4466</v>
      </c>
      <c r="V1154" s="238" t="s">
        <v>4467</v>
      </c>
      <c r="W1154" s="236">
        <v>5142.2</v>
      </c>
      <c r="X1154" s="233">
        <v>41267</v>
      </c>
      <c r="Y1154" s="238" t="s">
        <v>4468</v>
      </c>
      <c r="AA1154" s="140"/>
      <c r="AB1154" s="1" t="s">
        <v>2850</v>
      </c>
    </row>
    <row r="1155" spans="1:28" ht="11.25" customHeight="1">
      <c r="A1155" s="233">
        <v>41264</v>
      </c>
      <c r="B1155" s="1" t="s">
        <v>4457</v>
      </c>
      <c r="C1155" s="1" t="s">
        <v>2851</v>
      </c>
      <c r="D1155" s="5" t="s">
        <v>4469</v>
      </c>
      <c r="E1155" s="1" t="s">
        <v>4470</v>
      </c>
      <c r="F1155" s="225">
        <v>10</v>
      </c>
      <c r="G1155" s="225" t="s">
        <v>4460</v>
      </c>
      <c r="H1155" s="234">
        <v>47.6</v>
      </c>
      <c r="I1155" s="27">
        <f>F1155*H1155</f>
        <v>476</v>
      </c>
      <c r="K1155" s="241">
        <f>42.939*F1155</f>
        <v>429.39</v>
      </c>
      <c r="L1155" s="237">
        <v>41285</v>
      </c>
      <c r="M1155" s="1" t="s">
        <v>4461</v>
      </c>
      <c r="N1155" s="235">
        <f t="shared" ref="N1155:N1214" si="89">I1155</f>
        <v>476</v>
      </c>
      <c r="O1155" s="235">
        <f t="shared" si="87"/>
        <v>0</v>
      </c>
      <c r="P1155" s="238" t="s">
        <v>4462</v>
      </c>
      <c r="Q1155" s="1" t="s">
        <v>4463</v>
      </c>
      <c r="R1155" s="10" t="s">
        <v>4464</v>
      </c>
      <c r="S1155" s="238">
        <v>13896055976</v>
      </c>
      <c r="T1155" s="238" t="s">
        <v>4465</v>
      </c>
      <c r="U1155" s="238" t="s">
        <v>4466</v>
      </c>
      <c r="V1155" s="238" t="s">
        <v>4467</v>
      </c>
      <c r="W1155" s="236">
        <v>5142.2</v>
      </c>
      <c r="X1155" s="233">
        <v>41267</v>
      </c>
      <c r="Y1155" s="238" t="s">
        <v>4468</v>
      </c>
      <c r="AA1155" s="140"/>
      <c r="AB1155" s="1" t="s">
        <v>2850</v>
      </c>
    </row>
    <row r="1156" spans="1:28" ht="11.25" customHeight="1">
      <c r="A1156" s="233">
        <v>41264</v>
      </c>
      <c r="B1156" s="1" t="s">
        <v>4457</v>
      </c>
      <c r="C1156" s="1" t="s">
        <v>2851</v>
      </c>
      <c r="D1156" s="1" t="s">
        <v>4471</v>
      </c>
      <c r="E1156" s="1">
        <v>10434</v>
      </c>
      <c r="F1156" s="225">
        <v>20</v>
      </c>
      <c r="G1156" s="225" t="s">
        <v>4472</v>
      </c>
      <c r="H1156" s="234">
        <v>17.28</v>
      </c>
      <c r="I1156" s="27">
        <f t="shared" ref="I1156:I1165" si="90">F1156*H1156</f>
        <v>345.6</v>
      </c>
      <c r="K1156" s="241">
        <f>14.2*F1156</f>
        <v>284</v>
      </c>
      <c r="L1156" s="237">
        <v>41285</v>
      </c>
      <c r="M1156" s="1" t="s">
        <v>4461</v>
      </c>
      <c r="N1156" s="235">
        <f t="shared" si="89"/>
        <v>345.6</v>
      </c>
      <c r="O1156" s="235">
        <f t="shared" si="87"/>
        <v>0</v>
      </c>
      <c r="P1156" s="238" t="s">
        <v>4462</v>
      </c>
      <c r="Q1156" s="1" t="s">
        <v>4463</v>
      </c>
      <c r="R1156" s="10" t="s">
        <v>4464</v>
      </c>
      <c r="S1156" s="238">
        <v>13896055976</v>
      </c>
      <c r="T1156" s="238" t="s">
        <v>4465</v>
      </c>
      <c r="U1156" s="238" t="s">
        <v>4466</v>
      </c>
      <c r="V1156" s="238" t="s">
        <v>4467</v>
      </c>
      <c r="W1156" s="236">
        <v>5142.2</v>
      </c>
      <c r="X1156" s="233">
        <v>41267</v>
      </c>
      <c r="Y1156" s="238" t="s">
        <v>4468</v>
      </c>
      <c r="AA1156" s="140"/>
      <c r="AB1156" s="1" t="s">
        <v>2850</v>
      </c>
    </row>
    <row r="1157" spans="1:28" ht="11.25" customHeight="1">
      <c r="A1157" s="233">
        <v>41264</v>
      </c>
      <c r="B1157" s="1" t="s">
        <v>4457</v>
      </c>
      <c r="C1157" s="1" t="s">
        <v>2851</v>
      </c>
      <c r="D1157" s="5" t="s">
        <v>4473</v>
      </c>
      <c r="E1157" s="1">
        <v>12308</v>
      </c>
      <c r="F1157" s="225">
        <v>20</v>
      </c>
      <c r="G1157" s="225" t="s">
        <v>4472</v>
      </c>
      <c r="H1157" s="234">
        <v>20.88</v>
      </c>
      <c r="I1157" s="27">
        <f t="shared" si="90"/>
        <v>417.59999999999997</v>
      </c>
      <c r="K1157" s="241">
        <f>18*F1157</f>
        <v>360</v>
      </c>
      <c r="L1157" s="237">
        <v>41285</v>
      </c>
      <c r="M1157" s="1" t="s">
        <v>4461</v>
      </c>
      <c r="N1157" s="235">
        <f t="shared" si="89"/>
        <v>417.59999999999997</v>
      </c>
      <c r="O1157" s="235">
        <f t="shared" si="87"/>
        <v>0</v>
      </c>
      <c r="P1157" s="238" t="s">
        <v>4462</v>
      </c>
      <c r="Q1157" s="1" t="s">
        <v>4463</v>
      </c>
      <c r="R1157" s="10" t="s">
        <v>4464</v>
      </c>
      <c r="S1157" s="238">
        <v>13896055976</v>
      </c>
      <c r="T1157" s="238" t="s">
        <v>4465</v>
      </c>
      <c r="U1157" s="238" t="s">
        <v>4466</v>
      </c>
      <c r="V1157" s="238" t="s">
        <v>4467</v>
      </c>
      <c r="W1157" s="236">
        <v>5142.2</v>
      </c>
      <c r="X1157" s="233">
        <v>41267</v>
      </c>
      <c r="Y1157" s="238" t="s">
        <v>4468</v>
      </c>
      <c r="AA1157" s="140"/>
      <c r="AB1157" s="1" t="s">
        <v>2850</v>
      </c>
    </row>
    <row r="1158" spans="1:28" ht="11.25" customHeight="1">
      <c r="A1158" s="233">
        <v>41264</v>
      </c>
      <c r="B1158" s="1" t="s">
        <v>4457</v>
      </c>
      <c r="C1158" s="1" t="s">
        <v>2851</v>
      </c>
      <c r="D1158" s="5" t="s">
        <v>4474</v>
      </c>
      <c r="E1158" s="1">
        <v>4620</v>
      </c>
      <c r="F1158" s="225">
        <v>10</v>
      </c>
      <c r="G1158" s="225" t="s">
        <v>4475</v>
      </c>
      <c r="H1158" s="234">
        <v>23</v>
      </c>
      <c r="I1158" s="27">
        <f t="shared" si="90"/>
        <v>230</v>
      </c>
      <c r="K1158" s="241">
        <f>17.49*F1158</f>
        <v>174.89999999999998</v>
      </c>
      <c r="L1158" s="237">
        <v>41285</v>
      </c>
      <c r="M1158" s="1" t="s">
        <v>4461</v>
      </c>
      <c r="N1158" s="235">
        <f t="shared" si="89"/>
        <v>230</v>
      </c>
      <c r="O1158" s="235">
        <f t="shared" si="87"/>
        <v>0</v>
      </c>
      <c r="P1158" s="238" t="s">
        <v>4462</v>
      </c>
      <c r="Q1158" s="1" t="s">
        <v>4463</v>
      </c>
      <c r="R1158" s="10" t="s">
        <v>4464</v>
      </c>
      <c r="S1158" s="238">
        <v>13896055976</v>
      </c>
      <c r="T1158" s="238" t="s">
        <v>4465</v>
      </c>
      <c r="U1158" s="238" t="s">
        <v>4466</v>
      </c>
      <c r="V1158" s="238" t="s">
        <v>4467</v>
      </c>
      <c r="W1158" s="236">
        <v>5142.2</v>
      </c>
      <c r="X1158" s="233">
        <v>41267</v>
      </c>
      <c r="Y1158" s="238" t="s">
        <v>4468</v>
      </c>
      <c r="AA1158" s="140"/>
      <c r="AB1158" s="1" t="s">
        <v>2850</v>
      </c>
    </row>
    <row r="1159" spans="1:28" ht="11.25" customHeight="1">
      <c r="A1159" s="233">
        <v>41264</v>
      </c>
      <c r="B1159" s="1" t="s">
        <v>4476</v>
      </c>
      <c r="C1159" s="1" t="s">
        <v>2851</v>
      </c>
      <c r="D1159" s="1" t="s">
        <v>1216</v>
      </c>
      <c r="E1159" s="1">
        <v>3200</v>
      </c>
      <c r="F1159" s="225">
        <v>3</v>
      </c>
      <c r="G1159" s="225" t="s">
        <v>2862</v>
      </c>
      <c r="H1159" s="234">
        <v>26.5</v>
      </c>
      <c r="I1159" s="27">
        <f t="shared" si="90"/>
        <v>79.5</v>
      </c>
      <c r="K1159" s="241">
        <f>23.94*3</f>
        <v>71.820000000000007</v>
      </c>
      <c r="L1159" s="237">
        <v>41267</v>
      </c>
      <c r="M1159" s="1" t="s">
        <v>2853</v>
      </c>
      <c r="N1159" s="235">
        <f t="shared" si="89"/>
        <v>79.5</v>
      </c>
      <c r="O1159" s="235">
        <f t="shared" si="87"/>
        <v>0</v>
      </c>
      <c r="P1159" s="238" t="s">
        <v>4477</v>
      </c>
      <c r="Q1159" s="1" t="s">
        <v>4478</v>
      </c>
      <c r="R1159" s="239" t="s">
        <v>4479</v>
      </c>
      <c r="S1159" s="238" t="s">
        <v>4480</v>
      </c>
      <c r="T1159" s="239" t="s">
        <v>4481</v>
      </c>
      <c r="U1159" s="239" t="s">
        <v>4481</v>
      </c>
      <c r="V1159" s="238" t="s">
        <v>4482</v>
      </c>
      <c r="W1159" s="236">
        <v>6756</v>
      </c>
      <c r="X1159" s="233">
        <v>41295</v>
      </c>
      <c r="Y1159" s="238" t="s">
        <v>4478</v>
      </c>
      <c r="AA1159" s="140"/>
      <c r="AB1159" s="1" t="s">
        <v>2850</v>
      </c>
    </row>
    <row r="1160" spans="1:28" ht="11.25" customHeight="1">
      <c r="A1160" s="233">
        <v>41264</v>
      </c>
      <c r="B1160" s="1" t="s">
        <v>4476</v>
      </c>
      <c r="C1160" s="1" t="s">
        <v>2851</v>
      </c>
      <c r="D1160" s="5" t="s">
        <v>348</v>
      </c>
      <c r="E1160" s="1">
        <v>3700</v>
      </c>
      <c r="F1160" s="225">
        <v>3</v>
      </c>
      <c r="G1160" s="225" t="s">
        <v>2862</v>
      </c>
      <c r="H1160" s="234">
        <v>3.41</v>
      </c>
      <c r="I1160" s="27">
        <f t="shared" si="90"/>
        <v>10.23</v>
      </c>
      <c r="K1160" s="241">
        <f>3.3*F1160</f>
        <v>9.8999999999999986</v>
      </c>
      <c r="L1160" s="237">
        <v>41267</v>
      </c>
      <c r="M1160" s="1" t="s">
        <v>2853</v>
      </c>
      <c r="N1160" s="235">
        <f t="shared" si="89"/>
        <v>10.23</v>
      </c>
      <c r="O1160" s="235">
        <f t="shared" si="87"/>
        <v>0</v>
      </c>
      <c r="P1160" s="238" t="s">
        <v>4477</v>
      </c>
      <c r="Q1160" s="1" t="s">
        <v>4478</v>
      </c>
      <c r="R1160" s="239" t="s">
        <v>4479</v>
      </c>
      <c r="S1160" s="238" t="s">
        <v>4480</v>
      </c>
      <c r="T1160" s="239" t="s">
        <v>4481</v>
      </c>
      <c r="U1160" s="239" t="s">
        <v>4481</v>
      </c>
      <c r="V1160" s="238" t="s">
        <v>4482</v>
      </c>
      <c r="W1160" s="236">
        <v>6756</v>
      </c>
      <c r="X1160" s="233">
        <v>41295</v>
      </c>
      <c r="Y1160" s="238" t="s">
        <v>4478</v>
      </c>
      <c r="AA1160" s="140"/>
      <c r="AB1160" s="1" t="s">
        <v>2850</v>
      </c>
    </row>
    <row r="1161" spans="1:28" ht="11.25" customHeight="1">
      <c r="A1161" s="233">
        <v>41264</v>
      </c>
      <c r="B1161" s="1" t="s">
        <v>4476</v>
      </c>
      <c r="C1161" s="1" t="s">
        <v>2851</v>
      </c>
      <c r="D1161" s="5" t="s">
        <v>4483</v>
      </c>
      <c r="E1161" s="1" t="s">
        <v>4484</v>
      </c>
      <c r="F1161" s="225">
        <v>3</v>
      </c>
      <c r="G1161" s="225" t="s">
        <v>2852</v>
      </c>
      <c r="H1161" s="234">
        <v>1.65</v>
      </c>
      <c r="I1161" s="27">
        <f t="shared" si="90"/>
        <v>4.9499999999999993</v>
      </c>
      <c r="K1161" s="241">
        <f>1.24*F1161</f>
        <v>3.7199999999999998</v>
      </c>
      <c r="L1161" s="237">
        <v>41267</v>
      </c>
      <c r="M1161" s="1" t="s">
        <v>2853</v>
      </c>
      <c r="N1161" s="235">
        <f t="shared" si="89"/>
        <v>4.9499999999999993</v>
      </c>
      <c r="O1161" s="235">
        <f t="shared" si="87"/>
        <v>0</v>
      </c>
      <c r="P1161" s="238" t="s">
        <v>4477</v>
      </c>
      <c r="Q1161" s="1" t="s">
        <v>4478</v>
      </c>
      <c r="R1161" s="239" t="s">
        <v>4479</v>
      </c>
      <c r="S1161" s="238" t="s">
        <v>4480</v>
      </c>
      <c r="T1161" s="239" t="s">
        <v>4481</v>
      </c>
      <c r="U1161" s="239" t="s">
        <v>4481</v>
      </c>
      <c r="V1161" s="238" t="s">
        <v>4482</v>
      </c>
      <c r="W1161" s="236">
        <v>6756</v>
      </c>
      <c r="X1161" s="233">
        <v>41295</v>
      </c>
      <c r="Y1161" s="238" t="s">
        <v>4478</v>
      </c>
      <c r="AA1161" s="140"/>
      <c r="AB1161" s="1" t="s">
        <v>2850</v>
      </c>
    </row>
    <row r="1162" spans="1:28" ht="11.25" customHeight="1">
      <c r="A1162" s="233">
        <v>41264</v>
      </c>
      <c r="B1162" s="1" t="s">
        <v>4476</v>
      </c>
      <c r="C1162" s="1" t="s">
        <v>2851</v>
      </c>
      <c r="D1162" s="5" t="s">
        <v>986</v>
      </c>
      <c r="E1162" s="1">
        <v>6800</v>
      </c>
      <c r="F1162" s="225">
        <v>1</v>
      </c>
      <c r="G1162" s="225" t="s">
        <v>2862</v>
      </c>
      <c r="H1162" s="234">
        <v>435.21</v>
      </c>
      <c r="I1162" s="27">
        <f t="shared" si="90"/>
        <v>435.21</v>
      </c>
      <c r="K1162" s="241">
        <f>418*1</f>
        <v>418</v>
      </c>
      <c r="L1162" s="237">
        <v>41267</v>
      </c>
      <c r="M1162" s="1" t="s">
        <v>2853</v>
      </c>
      <c r="N1162" s="235">
        <f t="shared" si="89"/>
        <v>435.21</v>
      </c>
      <c r="O1162" s="235">
        <f t="shared" si="87"/>
        <v>0</v>
      </c>
      <c r="P1162" s="238" t="s">
        <v>4477</v>
      </c>
      <c r="Q1162" s="1" t="s">
        <v>4478</v>
      </c>
      <c r="R1162" s="239" t="s">
        <v>4479</v>
      </c>
      <c r="S1162" s="238" t="s">
        <v>4480</v>
      </c>
      <c r="T1162" s="239" t="s">
        <v>4481</v>
      </c>
      <c r="U1162" s="239" t="s">
        <v>4481</v>
      </c>
      <c r="V1162" s="238" t="s">
        <v>4482</v>
      </c>
      <c r="W1162" s="236">
        <v>6756</v>
      </c>
      <c r="X1162" s="233">
        <v>41295</v>
      </c>
      <c r="Y1162" s="238" t="s">
        <v>4478</v>
      </c>
      <c r="AA1162" s="140"/>
      <c r="AB1162" s="1" t="s">
        <v>2850</v>
      </c>
    </row>
    <row r="1163" spans="1:28" ht="11.25" customHeight="1">
      <c r="A1163" s="233">
        <v>41264</v>
      </c>
      <c r="B1163" s="1" t="s">
        <v>4476</v>
      </c>
      <c r="C1163" s="1" t="s">
        <v>2851</v>
      </c>
      <c r="D1163" s="5" t="s">
        <v>1719</v>
      </c>
      <c r="E1163" s="1">
        <v>2071</v>
      </c>
      <c r="F1163" s="225">
        <v>2</v>
      </c>
      <c r="G1163" s="225" t="s">
        <v>2852</v>
      </c>
      <c r="H1163" s="234">
        <v>7.83</v>
      </c>
      <c r="I1163" s="27">
        <f t="shared" si="90"/>
        <v>15.66</v>
      </c>
      <c r="K1163" s="241">
        <f>7.344*F1163</f>
        <v>14.688000000000001</v>
      </c>
      <c r="L1163" s="237">
        <v>41267</v>
      </c>
      <c r="M1163" s="1" t="s">
        <v>2853</v>
      </c>
      <c r="N1163" s="235">
        <f t="shared" si="89"/>
        <v>15.66</v>
      </c>
      <c r="O1163" s="235">
        <f t="shared" si="87"/>
        <v>0</v>
      </c>
      <c r="P1163" s="238" t="s">
        <v>4477</v>
      </c>
      <c r="Q1163" s="1" t="s">
        <v>4478</v>
      </c>
      <c r="R1163" s="239" t="s">
        <v>4479</v>
      </c>
      <c r="S1163" s="238" t="s">
        <v>4480</v>
      </c>
      <c r="T1163" s="239" t="s">
        <v>4481</v>
      </c>
      <c r="U1163" s="239" t="s">
        <v>4481</v>
      </c>
      <c r="V1163" s="238" t="s">
        <v>4482</v>
      </c>
      <c r="W1163" s="236">
        <v>6756</v>
      </c>
      <c r="X1163" s="233">
        <v>41295</v>
      </c>
      <c r="Y1163" s="238" t="s">
        <v>4478</v>
      </c>
      <c r="AA1163" s="140"/>
      <c r="AB1163" s="1" t="s">
        <v>2850</v>
      </c>
    </row>
    <row r="1164" spans="1:28" ht="11.25" customHeight="1">
      <c r="A1164" s="233">
        <v>41264</v>
      </c>
      <c r="B1164" s="1" t="s">
        <v>4485</v>
      </c>
      <c r="C1164" s="1" t="s">
        <v>2851</v>
      </c>
      <c r="D1164" s="5" t="s">
        <v>1719</v>
      </c>
      <c r="E1164" s="1">
        <v>2071</v>
      </c>
      <c r="F1164" s="225">
        <v>10</v>
      </c>
      <c r="G1164" s="225" t="s">
        <v>2852</v>
      </c>
      <c r="H1164" s="234">
        <v>10</v>
      </c>
      <c r="I1164" s="27">
        <f t="shared" si="90"/>
        <v>100</v>
      </c>
      <c r="K1164" s="241">
        <f>7.344*F1164</f>
        <v>73.44</v>
      </c>
      <c r="L1164" s="237">
        <v>41271</v>
      </c>
      <c r="M1164" s="1" t="s">
        <v>4486</v>
      </c>
      <c r="N1164" s="235">
        <f t="shared" si="89"/>
        <v>100</v>
      </c>
      <c r="O1164" s="235">
        <f t="shared" si="87"/>
        <v>0</v>
      </c>
      <c r="P1164" s="238" t="s">
        <v>4487</v>
      </c>
      <c r="Q1164" s="1" t="s">
        <v>4488</v>
      </c>
      <c r="R1164" s="239" t="s">
        <v>4489</v>
      </c>
      <c r="S1164" s="238" t="s">
        <v>4490</v>
      </c>
      <c r="T1164" s="238" t="s">
        <v>4491</v>
      </c>
      <c r="AA1164" s="140"/>
      <c r="AB1164" s="1" t="s">
        <v>2850</v>
      </c>
    </row>
    <row r="1165" spans="1:28" ht="11.25" customHeight="1">
      <c r="A1165" s="233">
        <v>41264</v>
      </c>
      <c r="B1165" s="1" t="s">
        <v>4485</v>
      </c>
      <c r="C1165" s="1" t="s">
        <v>2851</v>
      </c>
      <c r="D1165" s="5" t="s">
        <v>4493</v>
      </c>
      <c r="E1165" s="1">
        <v>6200</v>
      </c>
      <c r="F1165" s="225">
        <v>5</v>
      </c>
      <c r="G1165" s="225" t="s">
        <v>2862</v>
      </c>
      <c r="H1165" s="234">
        <v>48.5</v>
      </c>
      <c r="I1165" s="27">
        <f t="shared" si="90"/>
        <v>242.5</v>
      </c>
      <c r="K1165" s="241">
        <f>42.7*5</f>
        <v>213.5</v>
      </c>
      <c r="L1165" s="237">
        <v>41271</v>
      </c>
      <c r="M1165" s="1" t="s">
        <v>4486</v>
      </c>
      <c r="N1165" s="235">
        <f t="shared" si="89"/>
        <v>242.5</v>
      </c>
      <c r="O1165" s="235">
        <f t="shared" si="87"/>
        <v>0</v>
      </c>
      <c r="P1165" s="238" t="s">
        <v>4487</v>
      </c>
      <c r="Q1165" s="1" t="s">
        <v>4488</v>
      </c>
      <c r="R1165" s="239" t="s">
        <v>4489</v>
      </c>
      <c r="S1165" s="238" t="s">
        <v>4490</v>
      </c>
      <c r="T1165" s="238" t="s">
        <v>4491</v>
      </c>
      <c r="AA1165" s="140"/>
      <c r="AB1165" s="1" t="s">
        <v>2850</v>
      </c>
    </row>
    <row r="1166" spans="1:28" ht="11.25" customHeight="1">
      <c r="A1166" s="233">
        <v>41267</v>
      </c>
      <c r="B1166" s="1" t="s">
        <v>4494</v>
      </c>
      <c r="C1166" s="1" t="s">
        <v>2851</v>
      </c>
      <c r="D1166" s="5" t="s">
        <v>4495</v>
      </c>
      <c r="E1166" s="1">
        <v>70070798122</v>
      </c>
      <c r="F1166" s="1">
        <v>2</v>
      </c>
      <c r="G1166" s="1" t="s">
        <v>2862</v>
      </c>
      <c r="H1166" s="234">
        <v>814.5</v>
      </c>
      <c r="I1166" s="235">
        <f t="shared" ref="I1166:I1174" si="91">F1166*H1166</f>
        <v>1629</v>
      </c>
      <c r="K1166" s="241">
        <f>781*2</f>
        <v>1562</v>
      </c>
      <c r="L1166" s="237">
        <v>41281</v>
      </c>
      <c r="M1166" s="1" t="s">
        <v>2853</v>
      </c>
      <c r="N1166" s="235">
        <f t="shared" si="89"/>
        <v>1629</v>
      </c>
      <c r="O1166" s="235">
        <f t="shared" si="87"/>
        <v>0</v>
      </c>
      <c r="P1166" s="238" t="s">
        <v>4481</v>
      </c>
      <c r="Q1166" s="1" t="s">
        <v>4496</v>
      </c>
      <c r="R1166" s="239" t="s">
        <v>4497</v>
      </c>
      <c r="S1166" s="238">
        <v>13368068212</v>
      </c>
      <c r="T1166" s="238" t="s">
        <v>4481</v>
      </c>
      <c r="U1166" s="238" t="s">
        <v>4481</v>
      </c>
      <c r="V1166" s="238" t="s">
        <v>4498</v>
      </c>
      <c r="W1166" s="236">
        <v>11117.3</v>
      </c>
      <c r="X1166" s="233">
        <v>41268</v>
      </c>
      <c r="Y1166" s="238" t="s">
        <v>4468</v>
      </c>
      <c r="AB1166" s="1" t="s">
        <v>2850</v>
      </c>
    </row>
    <row r="1167" spans="1:28" ht="11.25" customHeight="1">
      <c r="A1167" s="233">
        <v>41267</v>
      </c>
      <c r="B1167" s="1" t="s">
        <v>4494</v>
      </c>
      <c r="C1167" s="1" t="s">
        <v>2851</v>
      </c>
      <c r="D1167" s="5" t="s">
        <v>4499</v>
      </c>
      <c r="E1167" s="1">
        <v>70071533023</v>
      </c>
      <c r="F1167" s="1">
        <v>2</v>
      </c>
      <c r="G1167" s="1" t="s">
        <v>4500</v>
      </c>
      <c r="H1167" s="234">
        <v>333.75</v>
      </c>
      <c r="I1167" s="235">
        <f t="shared" si="91"/>
        <v>667.5</v>
      </c>
      <c r="K1167" s="241">
        <f>378*2</f>
        <v>756</v>
      </c>
      <c r="L1167" s="237">
        <v>41281</v>
      </c>
      <c r="M1167" s="1" t="s">
        <v>2853</v>
      </c>
      <c r="N1167" s="235">
        <f t="shared" si="89"/>
        <v>667.5</v>
      </c>
      <c r="O1167" s="235">
        <f t="shared" si="87"/>
        <v>0</v>
      </c>
      <c r="P1167" s="238" t="s">
        <v>4481</v>
      </c>
      <c r="Q1167" s="1" t="s">
        <v>4496</v>
      </c>
      <c r="R1167" s="239" t="s">
        <v>4497</v>
      </c>
      <c r="S1167" s="238">
        <v>13368068212</v>
      </c>
      <c r="T1167" s="238" t="s">
        <v>4481</v>
      </c>
      <c r="U1167" s="238" t="s">
        <v>4481</v>
      </c>
      <c r="V1167" s="238" t="s">
        <v>4498</v>
      </c>
      <c r="W1167" s="236">
        <v>11117.3</v>
      </c>
      <c r="X1167" s="233">
        <v>41268</v>
      </c>
      <c r="Y1167" s="238" t="s">
        <v>4468</v>
      </c>
      <c r="AB1167" s="1" t="s">
        <v>2850</v>
      </c>
    </row>
    <row r="1168" spans="1:28" ht="11.25" customHeight="1">
      <c r="A1168" s="233">
        <v>41267</v>
      </c>
      <c r="B1168" s="1" t="s">
        <v>4494</v>
      </c>
      <c r="C1168" s="1" t="s">
        <v>2851</v>
      </c>
      <c r="D1168" s="5" t="s">
        <v>4501</v>
      </c>
      <c r="E1168" s="1">
        <v>70070799161</v>
      </c>
      <c r="F1168" s="1">
        <v>2</v>
      </c>
      <c r="G1168" s="1" t="s">
        <v>2862</v>
      </c>
      <c r="H1168" s="234">
        <v>1404</v>
      </c>
      <c r="I1168" s="235">
        <f t="shared" si="91"/>
        <v>2808</v>
      </c>
      <c r="K1168" s="241">
        <f>1347*2</f>
        <v>2694</v>
      </c>
      <c r="L1168" s="237">
        <v>41281</v>
      </c>
      <c r="M1168" s="1" t="s">
        <v>2853</v>
      </c>
      <c r="N1168" s="235">
        <f t="shared" si="89"/>
        <v>2808</v>
      </c>
      <c r="O1168" s="235">
        <f t="shared" si="87"/>
        <v>0</v>
      </c>
      <c r="P1168" s="238" t="s">
        <v>4481</v>
      </c>
      <c r="Q1168" s="1" t="s">
        <v>4496</v>
      </c>
      <c r="R1168" s="239" t="s">
        <v>4497</v>
      </c>
      <c r="S1168" s="238">
        <v>13368068212</v>
      </c>
      <c r="T1168" s="238" t="s">
        <v>4481</v>
      </c>
      <c r="U1168" s="238" t="s">
        <v>4481</v>
      </c>
      <c r="V1168" s="238" t="s">
        <v>4498</v>
      </c>
      <c r="W1168" s="236">
        <v>11117.3</v>
      </c>
      <c r="X1168" s="233">
        <v>41268</v>
      </c>
      <c r="Y1168" s="238" t="s">
        <v>4468</v>
      </c>
      <c r="AB1168" s="1" t="s">
        <v>2850</v>
      </c>
    </row>
    <row r="1169" spans="1:28" ht="12" customHeight="1">
      <c r="A1169" s="233">
        <v>41267</v>
      </c>
      <c r="B1169" s="1" t="s">
        <v>4494</v>
      </c>
      <c r="C1169" s="1" t="s">
        <v>2851</v>
      </c>
      <c r="D1169" s="5" t="s">
        <v>4502</v>
      </c>
      <c r="E1169" s="1" t="s">
        <v>4503</v>
      </c>
      <c r="F1169" s="1">
        <v>200</v>
      </c>
      <c r="G1169" s="1" t="s">
        <v>4472</v>
      </c>
      <c r="H1169" s="234">
        <v>10.5</v>
      </c>
      <c r="I1169" s="235">
        <f t="shared" si="91"/>
        <v>2100</v>
      </c>
      <c r="K1169" s="241">
        <f>10*200</f>
        <v>2000</v>
      </c>
      <c r="L1169" s="237">
        <v>41281</v>
      </c>
      <c r="M1169" s="1" t="s">
        <v>2853</v>
      </c>
      <c r="N1169" s="235">
        <f t="shared" si="89"/>
        <v>2100</v>
      </c>
      <c r="O1169" s="235">
        <f t="shared" si="87"/>
        <v>0</v>
      </c>
      <c r="P1169" s="238" t="s">
        <v>4481</v>
      </c>
      <c r="Q1169" s="1" t="s">
        <v>4496</v>
      </c>
      <c r="R1169" s="239" t="s">
        <v>4497</v>
      </c>
      <c r="S1169" s="238">
        <v>13368068212</v>
      </c>
      <c r="T1169" s="238" t="s">
        <v>4481</v>
      </c>
      <c r="U1169" s="238" t="s">
        <v>4481</v>
      </c>
      <c r="V1169" s="238" t="s">
        <v>4498</v>
      </c>
      <c r="W1169" s="236">
        <v>11117.3</v>
      </c>
      <c r="X1169" s="233">
        <v>41268</v>
      </c>
      <c r="Y1169" s="238" t="s">
        <v>4468</v>
      </c>
      <c r="AB1169" s="1" t="s">
        <v>2850</v>
      </c>
    </row>
    <row r="1170" spans="1:28" ht="12" customHeight="1">
      <c r="A1170" s="233">
        <v>41267</v>
      </c>
      <c r="B1170" s="1" t="s">
        <v>4494</v>
      </c>
      <c r="C1170" s="1" t="s">
        <v>2851</v>
      </c>
      <c r="D1170" s="5" t="s">
        <v>1725</v>
      </c>
      <c r="E1170" s="1">
        <v>8576</v>
      </c>
      <c r="F1170" s="1">
        <v>80</v>
      </c>
      <c r="G1170" s="1" t="s">
        <v>2862</v>
      </c>
      <c r="H1170" s="234">
        <v>29.5</v>
      </c>
      <c r="I1170" s="235">
        <f t="shared" si="91"/>
        <v>2360</v>
      </c>
      <c r="K1170" s="241">
        <f>28.5*F1170</f>
        <v>2280</v>
      </c>
      <c r="L1170" s="237">
        <v>41281</v>
      </c>
      <c r="M1170" s="1" t="s">
        <v>2853</v>
      </c>
      <c r="N1170" s="235">
        <f t="shared" si="89"/>
        <v>2360</v>
      </c>
      <c r="O1170" s="235">
        <f t="shared" si="87"/>
        <v>0</v>
      </c>
      <c r="P1170" s="238" t="s">
        <v>4481</v>
      </c>
      <c r="Q1170" s="1" t="s">
        <v>4496</v>
      </c>
      <c r="R1170" s="239" t="s">
        <v>4497</v>
      </c>
      <c r="S1170" s="238">
        <v>13368068212</v>
      </c>
      <c r="T1170" s="238" t="s">
        <v>4481</v>
      </c>
      <c r="U1170" s="238" t="s">
        <v>4481</v>
      </c>
      <c r="V1170" s="238" t="s">
        <v>4498</v>
      </c>
      <c r="W1170" s="236">
        <v>11117.3</v>
      </c>
      <c r="X1170" s="233">
        <v>41268</v>
      </c>
      <c r="Y1170" s="238" t="s">
        <v>4468</v>
      </c>
      <c r="AB1170" s="1" t="s">
        <v>2850</v>
      </c>
    </row>
    <row r="1171" spans="1:28" ht="12" customHeight="1">
      <c r="A1171" s="233">
        <v>41267</v>
      </c>
      <c r="B1171" s="1" t="s">
        <v>4494</v>
      </c>
      <c r="C1171" s="1" t="s">
        <v>2851</v>
      </c>
      <c r="D1171" s="1" t="s">
        <v>1219</v>
      </c>
      <c r="E1171" s="1" t="s">
        <v>4504</v>
      </c>
      <c r="F1171" s="1">
        <v>40</v>
      </c>
      <c r="G1171" s="1" t="s">
        <v>4472</v>
      </c>
      <c r="H1171" s="234">
        <v>13.4</v>
      </c>
      <c r="I1171" s="235">
        <f t="shared" si="91"/>
        <v>536</v>
      </c>
      <c r="K1171" s="250">
        <f>12.5*40</f>
        <v>500</v>
      </c>
      <c r="L1171" s="237">
        <v>41281</v>
      </c>
      <c r="M1171" s="1" t="s">
        <v>2853</v>
      </c>
      <c r="N1171" s="235">
        <f t="shared" si="89"/>
        <v>536</v>
      </c>
      <c r="O1171" s="235">
        <f t="shared" si="87"/>
        <v>0</v>
      </c>
      <c r="P1171" s="238" t="s">
        <v>4481</v>
      </c>
      <c r="Q1171" s="1" t="s">
        <v>4496</v>
      </c>
      <c r="R1171" s="239" t="s">
        <v>4497</v>
      </c>
      <c r="S1171" s="238">
        <v>13368068212</v>
      </c>
      <c r="T1171" s="238" t="s">
        <v>4481</v>
      </c>
      <c r="U1171" s="238" t="s">
        <v>4481</v>
      </c>
      <c r="V1171" s="238" t="s">
        <v>4498</v>
      </c>
      <c r="W1171" s="236">
        <v>11117.3</v>
      </c>
      <c r="X1171" s="233">
        <v>41268</v>
      </c>
      <c r="Y1171" s="238" t="s">
        <v>4468</v>
      </c>
      <c r="AB1171" s="1" t="s">
        <v>2850</v>
      </c>
    </row>
    <row r="1172" spans="1:28" ht="11.25" customHeight="1">
      <c r="A1172" s="233">
        <v>41267</v>
      </c>
      <c r="B1172" s="1" t="s">
        <v>4505</v>
      </c>
      <c r="C1172" s="1" t="s">
        <v>2851</v>
      </c>
      <c r="D1172" s="5" t="s">
        <v>4483</v>
      </c>
      <c r="E1172" s="1" t="s">
        <v>4506</v>
      </c>
      <c r="F1172" s="1">
        <v>100</v>
      </c>
      <c r="G1172" s="1" t="s">
        <v>232</v>
      </c>
      <c r="H1172" s="234">
        <v>5.2</v>
      </c>
      <c r="I1172" s="235">
        <f t="shared" si="91"/>
        <v>520</v>
      </c>
      <c r="K1172" s="241">
        <f>4.78*100</f>
        <v>478</v>
      </c>
      <c r="L1172" s="237">
        <v>41338</v>
      </c>
      <c r="M1172" s="1" t="s">
        <v>166</v>
      </c>
      <c r="N1172" s="235">
        <f t="shared" si="89"/>
        <v>520</v>
      </c>
      <c r="O1172" s="235">
        <f t="shared" si="87"/>
        <v>0</v>
      </c>
      <c r="P1172" s="238" t="s">
        <v>4507</v>
      </c>
      <c r="Q1172" s="1" t="s">
        <v>4508</v>
      </c>
      <c r="R1172" s="239" t="s">
        <v>4509</v>
      </c>
      <c r="S1172" s="238" t="s">
        <v>4510</v>
      </c>
      <c r="T1172" s="238" t="s">
        <v>4511</v>
      </c>
      <c r="U1172" s="238" t="s">
        <v>4512</v>
      </c>
      <c r="V1172" s="238" t="s">
        <v>4492</v>
      </c>
      <c r="AB1172" s="1" t="s">
        <v>2850</v>
      </c>
    </row>
    <row r="1173" spans="1:28" ht="11.25" customHeight="1">
      <c r="A1173" s="233">
        <v>41267</v>
      </c>
      <c r="B1173" s="1" t="s">
        <v>4505</v>
      </c>
      <c r="C1173" s="1" t="s">
        <v>2851</v>
      </c>
      <c r="D1173" s="5" t="s">
        <v>4513</v>
      </c>
      <c r="E1173" s="1" t="s">
        <v>4514</v>
      </c>
      <c r="F1173" s="1">
        <v>200</v>
      </c>
      <c r="G1173" s="1" t="s">
        <v>2852</v>
      </c>
      <c r="H1173" s="234">
        <v>5.6</v>
      </c>
      <c r="I1173" s="235">
        <f t="shared" si="91"/>
        <v>1120</v>
      </c>
      <c r="K1173" s="241">
        <f>4.89*F1173</f>
        <v>977.99999999999989</v>
      </c>
      <c r="L1173" s="237">
        <v>41338</v>
      </c>
      <c r="M1173" s="1" t="s">
        <v>166</v>
      </c>
      <c r="N1173" s="235">
        <f t="shared" si="89"/>
        <v>1120</v>
      </c>
      <c r="O1173" s="235">
        <f t="shared" si="87"/>
        <v>0</v>
      </c>
      <c r="P1173" s="238" t="s">
        <v>4507</v>
      </c>
      <c r="Q1173" s="1" t="s">
        <v>4508</v>
      </c>
      <c r="R1173" s="239" t="s">
        <v>4509</v>
      </c>
      <c r="S1173" s="238" t="s">
        <v>4510</v>
      </c>
      <c r="T1173" s="238" t="s">
        <v>4511</v>
      </c>
      <c r="U1173" s="238" t="s">
        <v>4512</v>
      </c>
      <c r="V1173" s="238" t="s">
        <v>4492</v>
      </c>
      <c r="AB1173" s="1" t="s">
        <v>2850</v>
      </c>
    </row>
    <row r="1174" spans="1:28" ht="11.25" customHeight="1">
      <c r="A1174" s="233">
        <v>41267</v>
      </c>
      <c r="B1174" s="1" t="s">
        <v>4505</v>
      </c>
      <c r="C1174" s="1" t="s">
        <v>2851</v>
      </c>
      <c r="D1174" s="5" t="s">
        <v>4515</v>
      </c>
      <c r="E1174" s="1" t="s">
        <v>4516</v>
      </c>
      <c r="F1174" s="1">
        <v>500</v>
      </c>
      <c r="G1174" s="1" t="s">
        <v>5002</v>
      </c>
      <c r="H1174" s="234">
        <v>1.59</v>
      </c>
      <c r="I1174" s="235">
        <f t="shared" si="91"/>
        <v>795</v>
      </c>
      <c r="K1174" s="241">
        <f>1.4*F1174</f>
        <v>700</v>
      </c>
      <c r="L1174" s="237">
        <v>41338</v>
      </c>
      <c r="M1174" s="1" t="s">
        <v>166</v>
      </c>
      <c r="N1174" s="235">
        <f t="shared" si="89"/>
        <v>795</v>
      </c>
      <c r="O1174" s="235">
        <f t="shared" si="87"/>
        <v>0</v>
      </c>
      <c r="P1174" s="238" t="s">
        <v>4507</v>
      </c>
      <c r="Q1174" s="1" t="s">
        <v>4508</v>
      </c>
      <c r="R1174" s="239" t="s">
        <v>4509</v>
      </c>
      <c r="S1174" s="238" t="s">
        <v>4510</v>
      </c>
      <c r="T1174" s="238" t="s">
        <v>4511</v>
      </c>
      <c r="U1174" s="238" t="s">
        <v>4512</v>
      </c>
      <c r="V1174" s="238" t="s">
        <v>4492</v>
      </c>
      <c r="AB1174" s="1" t="s">
        <v>2850</v>
      </c>
    </row>
    <row r="1175" spans="1:28" ht="11.25" customHeight="1">
      <c r="A1175" s="233">
        <v>41268</v>
      </c>
      <c r="B1175" s="1" t="s">
        <v>958</v>
      </c>
      <c r="C1175" s="276" t="s">
        <v>680</v>
      </c>
      <c r="D1175" s="1" t="s">
        <v>1219</v>
      </c>
      <c r="E1175" s="5" t="s">
        <v>4517</v>
      </c>
      <c r="F1175" s="1">
        <v>50</v>
      </c>
      <c r="G1175" s="1" t="s">
        <v>4472</v>
      </c>
      <c r="H1175" s="234">
        <v>21</v>
      </c>
      <c r="I1175" s="235">
        <f t="shared" ref="I1175:I1184" si="92">F1175*H1175</f>
        <v>1050</v>
      </c>
      <c r="K1175" s="250">
        <f>12.5*F1175</f>
        <v>625</v>
      </c>
      <c r="L1175" s="237">
        <v>41268</v>
      </c>
      <c r="M1175" s="1" t="s">
        <v>2853</v>
      </c>
      <c r="N1175" s="235">
        <f t="shared" si="89"/>
        <v>1050</v>
      </c>
      <c r="O1175" s="235">
        <f t="shared" ref="O1175:O1180" si="93">I1175-N1175</f>
        <v>0</v>
      </c>
      <c r="P1175" s="238" t="s">
        <v>4481</v>
      </c>
      <c r="Q1175" s="1" t="s">
        <v>4518</v>
      </c>
      <c r="R1175" s="239" t="s">
        <v>4519</v>
      </c>
      <c r="S1175" s="238" t="s">
        <v>960</v>
      </c>
      <c r="T1175" s="238" t="s">
        <v>961</v>
      </c>
      <c r="U1175" s="238" t="s">
        <v>4520</v>
      </c>
      <c r="V1175" s="238" t="s">
        <v>4521</v>
      </c>
      <c r="W1175" s="236">
        <v>1050</v>
      </c>
      <c r="X1175" s="233">
        <v>41268</v>
      </c>
      <c r="Y1175" s="238" t="s">
        <v>4522</v>
      </c>
      <c r="AB1175" s="1" t="s">
        <v>2850</v>
      </c>
    </row>
    <row r="1176" spans="1:28" ht="11.25" customHeight="1">
      <c r="A1176" s="233">
        <v>41268</v>
      </c>
      <c r="B1176" s="1" t="s">
        <v>4476</v>
      </c>
      <c r="C1176" s="1" t="s">
        <v>2851</v>
      </c>
      <c r="D1176" s="1" t="s">
        <v>1219</v>
      </c>
      <c r="E1176" s="1" t="s">
        <v>4504</v>
      </c>
      <c r="F1176" s="1">
        <v>20</v>
      </c>
      <c r="G1176" s="1" t="s">
        <v>4472</v>
      </c>
      <c r="H1176" s="234">
        <v>13.4</v>
      </c>
      <c r="I1176" s="235">
        <f t="shared" si="92"/>
        <v>268</v>
      </c>
      <c r="K1176" s="250">
        <f>12.5*10+12.6*10</f>
        <v>251</v>
      </c>
      <c r="L1176" s="237">
        <v>41292</v>
      </c>
      <c r="M1176" s="1" t="s">
        <v>2853</v>
      </c>
      <c r="N1176" s="235">
        <f t="shared" si="89"/>
        <v>268</v>
      </c>
      <c r="O1176" s="235">
        <f t="shared" si="93"/>
        <v>0</v>
      </c>
      <c r="P1176" s="238" t="s">
        <v>4523</v>
      </c>
      <c r="Q1176" s="1" t="s">
        <v>4478</v>
      </c>
      <c r="R1176" s="239" t="s">
        <v>4479</v>
      </c>
      <c r="S1176" s="238" t="s">
        <v>4480</v>
      </c>
      <c r="T1176" s="239" t="s">
        <v>4481</v>
      </c>
      <c r="U1176" s="239" t="s">
        <v>4481</v>
      </c>
      <c r="V1176" s="238" t="s">
        <v>4482</v>
      </c>
      <c r="W1176" s="236">
        <v>6756</v>
      </c>
      <c r="X1176" s="233">
        <v>41295</v>
      </c>
      <c r="Y1176" s="238" t="s">
        <v>4478</v>
      </c>
      <c r="AB1176" s="1" t="s">
        <v>2850</v>
      </c>
    </row>
    <row r="1177" spans="1:28" ht="11.25" customHeight="1">
      <c r="A1177" s="233">
        <v>41268</v>
      </c>
      <c r="B1177" s="1" t="s">
        <v>4524</v>
      </c>
      <c r="C1177" s="1" t="s">
        <v>2851</v>
      </c>
      <c r="D1177" s="5" t="s">
        <v>4525</v>
      </c>
      <c r="E1177" s="1">
        <v>1110</v>
      </c>
      <c r="F1177" s="1">
        <v>2500</v>
      </c>
      <c r="G1177" s="1" t="s">
        <v>4472</v>
      </c>
      <c r="H1177" s="234">
        <v>0.82</v>
      </c>
      <c r="I1177" s="235">
        <f t="shared" si="92"/>
        <v>2050</v>
      </c>
      <c r="K1177" s="241">
        <f>0.73*F1177</f>
        <v>1825</v>
      </c>
      <c r="L1177" s="237">
        <v>41268</v>
      </c>
      <c r="M1177" s="1" t="s">
        <v>2863</v>
      </c>
      <c r="N1177" s="235">
        <f t="shared" si="89"/>
        <v>2050</v>
      </c>
      <c r="O1177" s="235">
        <f t="shared" si="93"/>
        <v>0</v>
      </c>
      <c r="P1177" s="238" t="s">
        <v>4526</v>
      </c>
      <c r="Q1177" s="1" t="s">
        <v>4527</v>
      </c>
      <c r="R1177" s="1" t="s">
        <v>4528</v>
      </c>
      <c r="S1177" s="238" t="s">
        <v>4529</v>
      </c>
      <c r="T1177" s="238" t="s">
        <v>4530</v>
      </c>
      <c r="U1177" s="238" t="s">
        <v>4531</v>
      </c>
      <c r="V1177" s="238" t="s">
        <v>4492</v>
      </c>
      <c r="AB1177" s="1" t="s">
        <v>2850</v>
      </c>
    </row>
    <row r="1178" spans="1:28" ht="11.25" customHeight="1">
      <c r="A1178" s="233">
        <v>41268</v>
      </c>
      <c r="B1178" s="1" t="s">
        <v>4532</v>
      </c>
      <c r="C1178" s="1" t="s">
        <v>2851</v>
      </c>
      <c r="D1178" s="5" t="s">
        <v>4533</v>
      </c>
      <c r="E1178" s="1">
        <v>9032</v>
      </c>
      <c r="F1178" s="1">
        <v>100</v>
      </c>
      <c r="G1178" s="1" t="s">
        <v>2862</v>
      </c>
      <c r="H1178" s="234">
        <v>2.7</v>
      </c>
      <c r="I1178" s="235">
        <f t="shared" si="92"/>
        <v>270</v>
      </c>
      <c r="K1178" s="241">
        <f>1.4929*F1178</f>
        <v>149.29</v>
      </c>
      <c r="N1178" s="235">
        <v>0</v>
      </c>
      <c r="O1178" s="235">
        <f t="shared" si="93"/>
        <v>270</v>
      </c>
      <c r="P1178" s="238" t="s">
        <v>4534</v>
      </c>
      <c r="Q1178" s="1" t="s">
        <v>4488</v>
      </c>
      <c r="R1178" s="239" t="s">
        <v>5516</v>
      </c>
      <c r="S1178" s="238" t="s">
        <v>5517</v>
      </c>
      <c r="T1178" s="238" t="s">
        <v>4535</v>
      </c>
      <c r="U1178" s="238" t="s">
        <v>4481</v>
      </c>
      <c r="V1178" s="238" t="s">
        <v>5545</v>
      </c>
      <c r="W1178" s="236">
        <v>4580</v>
      </c>
      <c r="X1178" s="233">
        <v>41346</v>
      </c>
      <c r="AB1178" s="1" t="s">
        <v>4536</v>
      </c>
    </row>
    <row r="1179" spans="1:28" ht="11.25" customHeight="1">
      <c r="A1179" s="233">
        <v>41268</v>
      </c>
      <c r="B1179" s="1" t="s">
        <v>4532</v>
      </c>
      <c r="C1179" s="1" t="s">
        <v>2851</v>
      </c>
      <c r="D1179" s="1" t="s">
        <v>4471</v>
      </c>
      <c r="E1179" s="1">
        <v>10434</v>
      </c>
      <c r="F1179" s="1">
        <v>15</v>
      </c>
      <c r="G1179" s="1" t="s">
        <v>4472</v>
      </c>
      <c r="H1179" s="234">
        <v>23</v>
      </c>
      <c r="I1179" s="235">
        <f t="shared" si="92"/>
        <v>345</v>
      </c>
      <c r="K1179" s="241">
        <f>13.8*F1179</f>
        <v>207</v>
      </c>
      <c r="N1179" s="235">
        <v>0</v>
      </c>
      <c r="O1179" s="235">
        <f t="shared" si="93"/>
        <v>345</v>
      </c>
      <c r="P1179" s="238" t="s">
        <v>4534</v>
      </c>
      <c r="Q1179" s="1" t="s">
        <v>4488</v>
      </c>
      <c r="R1179" s="239" t="s">
        <v>5516</v>
      </c>
      <c r="S1179" s="238" t="s">
        <v>5517</v>
      </c>
      <c r="T1179" s="238" t="s">
        <v>4535</v>
      </c>
      <c r="U1179" s="238" t="s">
        <v>4481</v>
      </c>
      <c r="V1179" s="238" t="s">
        <v>5545</v>
      </c>
      <c r="W1179" s="236">
        <v>4580</v>
      </c>
      <c r="X1179" s="233">
        <v>41346</v>
      </c>
      <c r="AB1179" s="1" t="s">
        <v>4536</v>
      </c>
    </row>
    <row r="1180" spans="1:28" ht="11.25" customHeight="1">
      <c r="A1180" s="233">
        <v>41268</v>
      </c>
      <c r="B1180" s="1" t="s">
        <v>4532</v>
      </c>
      <c r="C1180" s="1" t="s">
        <v>2851</v>
      </c>
      <c r="D1180" s="5" t="s">
        <v>4537</v>
      </c>
      <c r="E1180" s="1">
        <v>1270</v>
      </c>
      <c r="F1180" s="1">
        <v>20</v>
      </c>
      <c r="G1180" s="1" t="s">
        <v>4472</v>
      </c>
      <c r="H1180" s="234">
        <v>6.5</v>
      </c>
      <c r="I1180" s="235">
        <f t="shared" si="92"/>
        <v>130</v>
      </c>
      <c r="K1180" s="241">
        <f>4.31*F1180</f>
        <v>86.199999999999989</v>
      </c>
      <c r="N1180" s="235">
        <v>0</v>
      </c>
      <c r="O1180" s="235">
        <f t="shared" si="93"/>
        <v>130</v>
      </c>
      <c r="P1180" s="238" t="s">
        <v>4534</v>
      </c>
      <c r="Q1180" s="1" t="s">
        <v>4488</v>
      </c>
      <c r="R1180" s="239" t="s">
        <v>5516</v>
      </c>
      <c r="S1180" s="238" t="s">
        <v>5517</v>
      </c>
      <c r="T1180" s="238" t="s">
        <v>4535</v>
      </c>
      <c r="U1180" s="238" t="s">
        <v>4481</v>
      </c>
      <c r="V1180" s="238" t="s">
        <v>5545</v>
      </c>
      <c r="W1180" s="236">
        <v>4580</v>
      </c>
      <c r="X1180" s="233">
        <v>41346</v>
      </c>
      <c r="AB1180" s="1" t="s">
        <v>4536</v>
      </c>
    </row>
    <row r="1181" spans="1:28" ht="11.25" customHeight="1">
      <c r="A1181" s="233">
        <v>41270</v>
      </c>
      <c r="B1181" s="1" t="s">
        <v>4485</v>
      </c>
      <c r="C1181" s="1" t="s">
        <v>2851</v>
      </c>
      <c r="D1181" s="5" t="s">
        <v>4493</v>
      </c>
      <c r="E1181" s="1" t="s">
        <v>4538</v>
      </c>
      <c r="F1181" s="1">
        <v>2</v>
      </c>
      <c r="G1181" s="1" t="s">
        <v>2862</v>
      </c>
      <c r="H1181" s="234">
        <v>46</v>
      </c>
      <c r="I1181" s="235">
        <f t="shared" si="92"/>
        <v>92</v>
      </c>
      <c r="K1181" s="254">
        <f>41.85*F1181</f>
        <v>83.7</v>
      </c>
      <c r="L1181" s="237">
        <v>41271</v>
      </c>
      <c r="M1181" s="1" t="s">
        <v>4486</v>
      </c>
      <c r="N1181" s="235">
        <f t="shared" si="89"/>
        <v>92</v>
      </c>
      <c r="O1181" s="235">
        <f t="shared" ref="O1181:O1221" si="94">I1181-N1181</f>
        <v>0</v>
      </c>
      <c r="P1181" s="238" t="s">
        <v>4539</v>
      </c>
      <c r="Q1181" s="1" t="s">
        <v>4478</v>
      </c>
      <c r="R1181" s="239" t="s">
        <v>4489</v>
      </c>
      <c r="S1181" s="238" t="s">
        <v>4490</v>
      </c>
      <c r="T1181" s="238" t="s">
        <v>4491</v>
      </c>
      <c r="V1181" s="238" t="s">
        <v>4492</v>
      </c>
      <c r="Z1181" s="255" t="s">
        <v>4540</v>
      </c>
      <c r="AB1181" s="1" t="s">
        <v>2850</v>
      </c>
    </row>
    <row r="1182" spans="1:28" ht="11.25" customHeight="1">
      <c r="A1182" s="233">
        <v>41270</v>
      </c>
      <c r="B1182" s="1" t="s">
        <v>4485</v>
      </c>
      <c r="C1182" s="1" t="s">
        <v>2851</v>
      </c>
      <c r="D1182" s="5" t="s">
        <v>355</v>
      </c>
      <c r="E1182" s="1" t="s">
        <v>4541</v>
      </c>
      <c r="F1182" s="1">
        <v>4</v>
      </c>
      <c r="G1182" s="1" t="s">
        <v>2862</v>
      </c>
      <c r="H1182" s="234">
        <v>17.62</v>
      </c>
      <c r="I1182" s="235">
        <f t="shared" si="92"/>
        <v>70.48</v>
      </c>
      <c r="K1182" s="241">
        <f>16.5*F1182</f>
        <v>66</v>
      </c>
      <c r="L1182" s="237">
        <v>41271</v>
      </c>
      <c r="M1182" s="1" t="s">
        <v>4486</v>
      </c>
      <c r="N1182" s="235">
        <f t="shared" si="89"/>
        <v>70.48</v>
      </c>
      <c r="O1182" s="235">
        <f t="shared" si="94"/>
        <v>0</v>
      </c>
      <c r="P1182" s="238" t="s">
        <v>4539</v>
      </c>
      <c r="Q1182" s="1" t="s">
        <v>4478</v>
      </c>
      <c r="R1182" s="239" t="s">
        <v>4489</v>
      </c>
      <c r="S1182" s="238" t="s">
        <v>4490</v>
      </c>
      <c r="T1182" s="238" t="s">
        <v>4491</v>
      </c>
      <c r="V1182" s="238" t="s">
        <v>4492</v>
      </c>
      <c r="AB1182" s="1" t="s">
        <v>2850</v>
      </c>
    </row>
    <row r="1183" spans="1:28" ht="11.25" customHeight="1">
      <c r="A1183" s="233">
        <v>41270</v>
      </c>
      <c r="B1183" s="1" t="s">
        <v>4485</v>
      </c>
      <c r="C1183" s="1" t="s">
        <v>2851</v>
      </c>
      <c r="D1183" s="5" t="s">
        <v>4483</v>
      </c>
      <c r="E1183" s="1" t="s">
        <v>4506</v>
      </c>
      <c r="F1183" s="1">
        <v>4</v>
      </c>
      <c r="G1183" s="1" t="s">
        <v>232</v>
      </c>
      <c r="H1183" s="234">
        <v>1.43</v>
      </c>
      <c r="I1183" s="235">
        <f t="shared" si="92"/>
        <v>5.72</v>
      </c>
      <c r="K1183" s="241">
        <v>5.56</v>
      </c>
      <c r="L1183" s="237">
        <v>41271</v>
      </c>
      <c r="M1183" s="1" t="s">
        <v>4486</v>
      </c>
      <c r="N1183" s="235">
        <f t="shared" si="89"/>
        <v>5.72</v>
      </c>
      <c r="O1183" s="235">
        <f t="shared" si="94"/>
        <v>0</v>
      </c>
      <c r="P1183" s="238" t="s">
        <v>4539</v>
      </c>
      <c r="Q1183" s="1" t="s">
        <v>4478</v>
      </c>
      <c r="R1183" s="239" t="s">
        <v>4489</v>
      </c>
      <c r="S1183" s="238" t="s">
        <v>4490</v>
      </c>
      <c r="T1183" s="238" t="s">
        <v>4491</v>
      </c>
      <c r="V1183" s="238" t="s">
        <v>4492</v>
      </c>
      <c r="AB1183" s="1" t="s">
        <v>2850</v>
      </c>
    </row>
    <row r="1184" spans="1:28" ht="11.25" customHeight="1">
      <c r="A1184" s="233">
        <v>41270</v>
      </c>
      <c r="B1184" s="1" t="s">
        <v>4485</v>
      </c>
      <c r="C1184" s="1" t="s">
        <v>2851</v>
      </c>
      <c r="D1184" s="5" t="s">
        <v>4542</v>
      </c>
      <c r="E1184" s="1">
        <v>501</v>
      </c>
      <c r="F1184" s="1">
        <v>4</v>
      </c>
      <c r="G1184" s="1" t="s">
        <v>2862</v>
      </c>
      <c r="H1184" s="234">
        <v>5</v>
      </c>
      <c r="I1184" s="235">
        <f t="shared" si="92"/>
        <v>20</v>
      </c>
      <c r="K1184" s="241">
        <v>19.12</v>
      </c>
      <c r="L1184" s="237">
        <v>41271</v>
      </c>
      <c r="M1184" s="1" t="s">
        <v>4486</v>
      </c>
      <c r="N1184" s="235">
        <f t="shared" si="89"/>
        <v>20</v>
      </c>
      <c r="O1184" s="235">
        <f t="shared" si="94"/>
        <v>0</v>
      </c>
      <c r="P1184" s="238" t="s">
        <v>4539</v>
      </c>
      <c r="Q1184" s="1" t="s">
        <v>4478</v>
      </c>
      <c r="R1184" s="239" t="s">
        <v>4489</v>
      </c>
      <c r="S1184" s="238" t="s">
        <v>4490</v>
      </c>
      <c r="T1184" s="238" t="s">
        <v>4491</v>
      </c>
      <c r="V1184" s="238" t="s">
        <v>4492</v>
      </c>
      <c r="AB1184" s="1" t="s">
        <v>2850</v>
      </c>
    </row>
    <row r="1185" spans="1:28" ht="11.25" customHeight="1">
      <c r="A1185" s="233">
        <v>41270</v>
      </c>
      <c r="B1185" s="1" t="s">
        <v>4543</v>
      </c>
      <c r="C1185" s="5" t="s">
        <v>2851</v>
      </c>
      <c r="D1185" s="5" t="s">
        <v>4458</v>
      </c>
      <c r="E1185" s="1" t="s">
        <v>4459</v>
      </c>
      <c r="F1185" s="5">
        <v>2</v>
      </c>
      <c r="G1185" s="1" t="s">
        <v>4460</v>
      </c>
      <c r="H1185" s="234">
        <v>45</v>
      </c>
      <c r="I1185" s="236">
        <f>H1185*F1185</f>
        <v>90</v>
      </c>
      <c r="K1185" s="241">
        <f>33.111*2</f>
        <v>66.221999999999994</v>
      </c>
      <c r="L1185" s="237">
        <v>41270</v>
      </c>
      <c r="M1185" s="1" t="s">
        <v>4486</v>
      </c>
      <c r="N1185" s="235">
        <f t="shared" si="89"/>
        <v>90</v>
      </c>
      <c r="O1185" s="235">
        <f t="shared" si="94"/>
        <v>0</v>
      </c>
      <c r="P1185" s="238" t="s">
        <v>4544</v>
      </c>
      <c r="Q1185" s="225" t="s">
        <v>4545</v>
      </c>
      <c r="R1185" s="239" t="s">
        <v>4546</v>
      </c>
      <c r="S1185" s="238" t="s">
        <v>4547</v>
      </c>
      <c r="T1185" s="238" t="s">
        <v>4548</v>
      </c>
      <c r="U1185" s="238" t="s">
        <v>5502</v>
      </c>
      <c r="V1185" s="238" t="s">
        <v>4492</v>
      </c>
      <c r="AB1185" s="225" t="s">
        <v>4549</v>
      </c>
    </row>
    <row r="1186" spans="1:28" ht="11.25" customHeight="1">
      <c r="A1186" s="233">
        <v>41271</v>
      </c>
      <c r="B1186" s="1" t="s">
        <v>5192</v>
      </c>
      <c r="C1186" s="5" t="s">
        <v>2851</v>
      </c>
      <c r="D1186" s="1" t="s">
        <v>4550</v>
      </c>
      <c r="E1186" s="1">
        <v>8247</v>
      </c>
      <c r="F1186" s="5">
        <v>120</v>
      </c>
      <c r="G1186" s="1" t="s">
        <v>686</v>
      </c>
      <c r="H1186" s="234">
        <v>13.5</v>
      </c>
      <c r="I1186" s="236">
        <f>F1186*H1186</f>
        <v>1620</v>
      </c>
      <c r="K1186" s="241">
        <f>12.35*F1186</f>
        <v>1482</v>
      </c>
      <c r="L1186" s="237">
        <v>41271</v>
      </c>
      <c r="M1186" s="1" t="s">
        <v>2853</v>
      </c>
      <c r="N1186" s="235">
        <f t="shared" si="89"/>
        <v>1620</v>
      </c>
      <c r="O1186" s="235">
        <f t="shared" si="94"/>
        <v>0</v>
      </c>
      <c r="P1186" s="238" t="s">
        <v>4918</v>
      </c>
      <c r="Q1186" s="225" t="s">
        <v>4551</v>
      </c>
      <c r="R1186" s="239" t="s">
        <v>5413</v>
      </c>
      <c r="S1186" s="238" t="s">
        <v>4552</v>
      </c>
      <c r="T1186" s="238" t="s">
        <v>4553</v>
      </c>
      <c r="U1186" s="238" t="s">
        <v>4554</v>
      </c>
      <c r="V1186" s="238" t="s">
        <v>6070</v>
      </c>
      <c r="W1186" s="236">
        <v>6912</v>
      </c>
      <c r="X1186" s="233">
        <v>41371</v>
      </c>
      <c r="Y1186" s="238" t="s">
        <v>6071</v>
      </c>
      <c r="AB1186" s="225" t="s">
        <v>4555</v>
      </c>
    </row>
    <row r="1187" spans="1:28" ht="13.5" customHeight="1">
      <c r="A1187" s="233">
        <v>41271</v>
      </c>
      <c r="B1187" s="1" t="s">
        <v>4556</v>
      </c>
      <c r="C1187" s="1" t="s">
        <v>2851</v>
      </c>
      <c r="D1187" s="5" t="s">
        <v>4557</v>
      </c>
      <c r="E1187" s="1" t="s">
        <v>4558</v>
      </c>
      <c r="F1187" s="1">
        <v>6</v>
      </c>
      <c r="G1187" s="1" t="s">
        <v>2862</v>
      </c>
      <c r="H1187" s="234">
        <v>137</v>
      </c>
      <c r="I1187" s="235">
        <f>F1187*H1187</f>
        <v>822</v>
      </c>
      <c r="K1187" s="241">
        <f>127*6</f>
        <v>762</v>
      </c>
      <c r="L1187" s="237">
        <v>41305</v>
      </c>
      <c r="M1187" s="264" t="s">
        <v>167</v>
      </c>
      <c r="N1187" s="235">
        <f t="shared" si="89"/>
        <v>822</v>
      </c>
      <c r="O1187" s="235">
        <f t="shared" si="94"/>
        <v>0</v>
      </c>
      <c r="P1187" s="238" t="s">
        <v>4481</v>
      </c>
      <c r="Q1187" s="1" t="s">
        <v>4559</v>
      </c>
      <c r="R1187" s="239" t="s">
        <v>4560</v>
      </c>
      <c r="S1187" s="238" t="s">
        <v>4561</v>
      </c>
      <c r="T1187" s="238" t="s">
        <v>4562</v>
      </c>
      <c r="U1187" s="238" t="s">
        <v>4563</v>
      </c>
      <c r="V1187" s="238" t="s">
        <v>5575</v>
      </c>
      <c r="W1187" s="236">
        <v>2806.8</v>
      </c>
      <c r="X1187" s="233">
        <v>41347</v>
      </c>
      <c r="Y1187" s="238" t="s">
        <v>5576</v>
      </c>
      <c r="AB1187" s="225" t="s">
        <v>4555</v>
      </c>
    </row>
    <row r="1188" spans="1:28" ht="11.25" customHeight="1">
      <c r="A1188" s="233">
        <v>41274</v>
      </c>
      <c r="B1188" s="5" t="s">
        <v>2127</v>
      </c>
      <c r="C1188" s="1" t="s">
        <v>2851</v>
      </c>
      <c r="D1188" s="5" t="s">
        <v>4458</v>
      </c>
      <c r="E1188" s="1" t="s">
        <v>4459</v>
      </c>
      <c r="F1188" s="225">
        <v>100</v>
      </c>
      <c r="G1188" s="225" t="s">
        <v>4460</v>
      </c>
      <c r="H1188" s="234">
        <v>36.729999999999997</v>
      </c>
      <c r="I1188" s="27">
        <f t="shared" ref="I1188:I1227" si="95">F1188*H1188</f>
        <v>3672.9999999999995</v>
      </c>
      <c r="K1188" s="241">
        <f>27.144*100</f>
        <v>2714.3999999999996</v>
      </c>
      <c r="L1188" s="237">
        <v>41250</v>
      </c>
      <c r="M1188" s="1" t="s">
        <v>2863</v>
      </c>
      <c r="N1188" s="235">
        <f t="shared" si="89"/>
        <v>3672.9999999999995</v>
      </c>
      <c r="O1188" s="235">
        <f t="shared" si="94"/>
        <v>0</v>
      </c>
      <c r="P1188" s="238" t="s">
        <v>5867</v>
      </c>
      <c r="Q1188" s="1" t="s">
        <v>5884</v>
      </c>
      <c r="R1188" s="239" t="s">
        <v>416</v>
      </c>
      <c r="S1188" s="238" t="s">
        <v>417</v>
      </c>
      <c r="T1188" s="238" t="s">
        <v>3817</v>
      </c>
      <c r="U1188" s="238" t="s">
        <v>5885</v>
      </c>
      <c r="V1188" s="246" t="s">
        <v>176</v>
      </c>
      <c r="AA1188" s="140"/>
      <c r="AB1188" s="1" t="s">
        <v>2850</v>
      </c>
    </row>
    <row r="1189" spans="1:28" ht="11.25" customHeight="1">
      <c r="A1189" s="233">
        <v>41274</v>
      </c>
      <c r="B1189" s="5" t="s">
        <v>2127</v>
      </c>
      <c r="C1189" s="1" t="s">
        <v>2851</v>
      </c>
      <c r="D1189" s="5" t="s">
        <v>4469</v>
      </c>
      <c r="E1189" s="1" t="s">
        <v>4470</v>
      </c>
      <c r="F1189" s="225">
        <v>50</v>
      </c>
      <c r="G1189" s="225" t="s">
        <v>4460</v>
      </c>
      <c r="H1189" s="234">
        <v>47.6</v>
      </c>
      <c r="I1189" s="27">
        <f t="shared" si="95"/>
        <v>2380</v>
      </c>
      <c r="K1189" s="241">
        <f>34.866*50</f>
        <v>1743.3</v>
      </c>
      <c r="L1189" s="237">
        <v>41250</v>
      </c>
      <c r="M1189" s="1" t="s">
        <v>2863</v>
      </c>
      <c r="N1189" s="235">
        <f t="shared" si="89"/>
        <v>2380</v>
      </c>
      <c r="O1189" s="235">
        <f t="shared" si="94"/>
        <v>0</v>
      </c>
      <c r="P1189" s="238" t="s">
        <v>5867</v>
      </c>
      <c r="Q1189" s="1" t="s">
        <v>5884</v>
      </c>
      <c r="R1189" s="239" t="s">
        <v>416</v>
      </c>
      <c r="S1189" s="238" t="s">
        <v>417</v>
      </c>
      <c r="T1189" s="238" t="s">
        <v>3817</v>
      </c>
      <c r="U1189" s="238" t="s">
        <v>5885</v>
      </c>
      <c r="V1189" s="246" t="s">
        <v>176</v>
      </c>
      <c r="AA1189" s="140"/>
      <c r="AB1189" s="1" t="s">
        <v>2850</v>
      </c>
    </row>
    <row r="1190" spans="1:28" ht="11.25" customHeight="1">
      <c r="A1190" s="233">
        <v>41274</v>
      </c>
      <c r="B1190" s="5" t="s">
        <v>2127</v>
      </c>
      <c r="C1190" s="1" t="s">
        <v>2851</v>
      </c>
      <c r="D1190" s="225" t="s">
        <v>4564</v>
      </c>
      <c r="E1190" s="1" t="s">
        <v>4565</v>
      </c>
      <c r="F1190" s="225">
        <v>2</v>
      </c>
      <c r="G1190" s="225" t="s">
        <v>4460</v>
      </c>
      <c r="H1190" s="234">
        <v>218.18</v>
      </c>
      <c r="I1190" s="27">
        <f t="shared" si="95"/>
        <v>436.36</v>
      </c>
      <c r="K1190" s="241">
        <f>181.36*2</f>
        <v>362.72</v>
      </c>
      <c r="L1190" s="237">
        <v>41250</v>
      </c>
      <c r="M1190" s="1" t="s">
        <v>2863</v>
      </c>
      <c r="N1190" s="235">
        <f t="shared" si="89"/>
        <v>436.36</v>
      </c>
      <c r="O1190" s="235">
        <f t="shared" si="94"/>
        <v>0</v>
      </c>
      <c r="P1190" s="238" t="s">
        <v>5867</v>
      </c>
      <c r="Q1190" s="1" t="s">
        <v>5884</v>
      </c>
      <c r="R1190" s="239" t="s">
        <v>416</v>
      </c>
      <c r="S1190" s="238" t="s">
        <v>417</v>
      </c>
      <c r="T1190" s="238" t="s">
        <v>3817</v>
      </c>
      <c r="U1190" s="238" t="s">
        <v>5885</v>
      </c>
      <c r="V1190" s="246" t="s">
        <v>176</v>
      </c>
      <c r="AA1190" s="140"/>
      <c r="AB1190" s="1" t="s">
        <v>2850</v>
      </c>
    </row>
    <row r="1191" spans="1:28" ht="11.25" customHeight="1">
      <c r="A1191" s="233">
        <v>41274</v>
      </c>
      <c r="B1191" s="5" t="s">
        <v>2127</v>
      </c>
      <c r="C1191" s="1" t="s">
        <v>2851</v>
      </c>
      <c r="D1191" s="5" t="s">
        <v>4566</v>
      </c>
      <c r="E1191" s="1" t="s">
        <v>4567</v>
      </c>
      <c r="F1191" s="225">
        <v>10</v>
      </c>
      <c r="G1191" s="225" t="s">
        <v>4460</v>
      </c>
      <c r="H1191" s="234">
        <v>129.72999999999999</v>
      </c>
      <c r="I1191" s="27">
        <f t="shared" si="95"/>
        <v>1297.3</v>
      </c>
      <c r="K1191" s="241">
        <f>107.64*10</f>
        <v>1076.4000000000001</v>
      </c>
      <c r="L1191" s="237">
        <v>41250</v>
      </c>
      <c r="M1191" s="1" t="s">
        <v>2863</v>
      </c>
      <c r="N1191" s="235">
        <f t="shared" si="89"/>
        <v>1297.3</v>
      </c>
      <c r="O1191" s="235">
        <f t="shared" si="94"/>
        <v>0</v>
      </c>
      <c r="P1191" s="238" t="s">
        <v>5867</v>
      </c>
      <c r="Q1191" s="1" t="s">
        <v>5884</v>
      </c>
      <c r="R1191" s="239" t="s">
        <v>416</v>
      </c>
      <c r="S1191" s="238" t="s">
        <v>417</v>
      </c>
      <c r="T1191" s="238" t="s">
        <v>3817</v>
      </c>
      <c r="U1191" s="238" t="s">
        <v>5885</v>
      </c>
      <c r="V1191" s="246" t="s">
        <v>176</v>
      </c>
      <c r="AA1191" s="140"/>
      <c r="AB1191" s="1" t="s">
        <v>2850</v>
      </c>
    </row>
    <row r="1192" spans="1:28" ht="11.25" customHeight="1">
      <c r="A1192" s="233">
        <v>41274</v>
      </c>
      <c r="B1192" s="5" t="s">
        <v>2127</v>
      </c>
      <c r="C1192" s="1" t="s">
        <v>2851</v>
      </c>
      <c r="D1192" s="5" t="s">
        <v>4533</v>
      </c>
      <c r="E1192" s="1">
        <v>9031</v>
      </c>
      <c r="F1192" s="225">
        <v>500</v>
      </c>
      <c r="G1192" s="232" t="s">
        <v>4568</v>
      </c>
      <c r="H1192" s="234">
        <v>1.73</v>
      </c>
      <c r="I1192" s="27">
        <f t="shared" si="95"/>
        <v>865</v>
      </c>
      <c r="K1192" s="241">
        <f>1.4929*500</f>
        <v>746.44999999999993</v>
      </c>
      <c r="L1192" s="237">
        <v>41250</v>
      </c>
      <c r="M1192" s="1" t="s">
        <v>2863</v>
      </c>
      <c r="N1192" s="235">
        <f t="shared" si="89"/>
        <v>865</v>
      </c>
      <c r="O1192" s="235">
        <f t="shared" si="94"/>
        <v>0</v>
      </c>
      <c r="P1192" s="238" t="s">
        <v>5867</v>
      </c>
      <c r="Q1192" s="1" t="s">
        <v>5884</v>
      </c>
      <c r="R1192" s="239" t="s">
        <v>416</v>
      </c>
      <c r="S1192" s="238" t="s">
        <v>417</v>
      </c>
      <c r="T1192" s="238" t="s">
        <v>3817</v>
      </c>
      <c r="U1192" s="238" t="s">
        <v>5885</v>
      </c>
      <c r="V1192" s="246" t="s">
        <v>176</v>
      </c>
      <c r="AA1192" s="140"/>
      <c r="AB1192" s="1" t="s">
        <v>2850</v>
      </c>
    </row>
    <row r="1193" spans="1:28" ht="11.25" customHeight="1">
      <c r="A1193" s="233">
        <v>41274</v>
      </c>
      <c r="B1193" s="5" t="s">
        <v>2127</v>
      </c>
      <c r="C1193" s="1" t="s">
        <v>2851</v>
      </c>
      <c r="D1193" s="5" t="s">
        <v>4533</v>
      </c>
      <c r="E1193" s="1">
        <v>9032</v>
      </c>
      <c r="F1193" s="225">
        <v>500</v>
      </c>
      <c r="G1193" s="1" t="s">
        <v>2862</v>
      </c>
      <c r="H1193" s="234">
        <v>1.73</v>
      </c>
      <c r="I1193" s="27">
        <f t="shared" si="95"/>
        <v>865</v>
      </c>
      <c r="K1193" s="241">
        <f>1.4929*500</f>
        <v>746.44999999999993</v>
      </c>
      <c r="L1193" s="237">
        <v>41250</v>
      </c>
      <c r="M1193" s="1" t="s">
        <v>2863</v>
      </c>
      <c r="N1193" s="235">
        <f t="shared" si="89"/>
        <v>865</v>
      </c>
      <c r="O1193" s="235">
        <f t="shared" si="94"/>
        <v>0</v>
      </c>
      <c r="P1193" s="238" t="s">
        <v>5867</v>
      </c>
      <c r="Q1193" s="1" t="s">
        <v>5884</v>
      </c>
      <c r="R1193" s="239" t="s">
        <v>416</v>
      </c>
      <c r="S1193" s="238" t="s">
        <v>417</v>
      </c>
      <c r="T1193" s="238" t="s">
        <v>3817</v>
      </c>
      <c r="U1193" s="238" t="s">
        <v>5885</v>
      </c>
      <c r="V1193" s="246" t="s">
        <v>176</v>
      </c>
      <c r="AA1193" s="140"/>
      <c r="AB1193" s="1" t="s">
        <v>2850</v>
      </c>
    </row>
    <row r="1194" spans="1:28" ht="11.25" customHeight="1">
      <c r="A1194" s="233">
        <v>41274</v>
      </c>
      <c r="B1194" s="5" t="s">
        <v>2127</v>
      </c>
      <c r="C1194" s="1" t="s">
        <v>2851</v>
      </c>
      <c r="D1194" s="1" t="s">
        <v>4570</v>
      </c>
      <c r="E1194" s="1">
        <v>10435</v>
      </c>
      <c r="F1194" s="225">
        <v>20</v>
      </c>
      <c r="G1194" s="225" t="s">
        <v>4472</v>
      </c>
      <c r="H1194" s="234">
        <v>17.28</v>
      </c>
      <c r="I1194" s="27">
        <f t="shared" si="95"/>
        <v>345.6</v>
      </c>
      <c r="K1194" s="241">
        <f>14.8*20</f>
        <v>296</v>
      </c>
      <c r="L1194" s="237">
        <v>41250</v>
      </c>
      <c r="M1194" s="1" t="s">
        <v>2863</v>
      </c>
      <c r="N1194" s="235">
        <f t="shared" si="89"/>
        <v>345.6</v>
      </c>
      <c r="O1194" s="235">
        <f t="shared" si="94"/>
        <v>0</v>
      </c>
      <c r="P1194" s="238" t="s">
        <v>5867</v>
      </c>
      <c r="Q1194" s="1" t="s">
        <v>5884</v>
      </c>
      <c r="R1194" s="239" t="s">
        <v>416</v>
      </c>
      <c r="S1194" s="238" t="s">
        <v>417</v>
      </c>
      <c r="T1194" s="238" t="s">
        <v>3817</v>
      </c>
      <c r="U1194" s="238" t="s">
        <v>5885</v>
      </c>
      <c r="V1194" s="246" t="s">
        <v>176</v>
      </c>
      <c r="AA1194" s="140"/>
      <c r="AB1194" s="1" t="s">
        <v>2850</v>
      </c>
    </row>
    <row r="1195" spans="1:28" ht="11.25" customHeight="1">
      <c r="A1195" s="233">
        <v>41274</v>
      </c>
      <c r="B1195" s="5" t="s">
        <v>2127</v>
      </c>
      <c r="C1195" s="1" t="s">
        <v>2851</v>
      </c>
      <c r="D1195" s="5" t="s">
        <v>4571</v>
      </c>
      <c r="E1195" s="1" t="s">
        <v>4572</v>
      </c>
      <c r="F1195" s="225">
        <v>60</v>
      </c>
      <c r="G1195" s="225" t="s">
        <v>2862</v>
      </c>
      <c r="H1195" s="234">
        <v>13.67</v>
      </c>
      <c r="I1195" s="27">
        <f t="shared" si="95"/>
        <v>820.2</v>
      </c>
      <c r="K1195" s="241">
        <f>10.94*60</f>
        <v>656.4</v>
      </c>
      <c r="L1195" s="237">
        <v>41250</v>
      </c>
      <c r="M1195" s="1" t="s">
        <v>2863</v>
      </c>
      <c r="N1195" s="235">
        <f t="shared" si="89"/>
        <v>820.2</v>
      </c>
      <c r="O1195" s="235">
        <f t="shared" si="94"/>
        <v>0</v>
      </c>
      <c r="P1195" s="238" t="s">
        <v>5867</v>
      </c>
      <c r="Q1195" s="1" t="s">
        <v>5884</v>
      </c>
      <c r="R1195" s="239" t="s">
        <v>416</v>
      </c>
      <c r="S1195" s="238" t="s">
        <v>417</v>
      </c>
      <c r="T1195" s="238" t="s">
        <v>3817</v>
      </c>
      <c r="U1195" s="238" t="s">
        <v>5885</v>
      </c>
      <c r="V1195" s="246" t="s">
        <v>176</v>
      </c>
      <c r="AA1195" s="140"/>
      <c r="AB1195" s="1" t="s">
        <v>2850</v>
      </c>
    </row>
    <row r="1196" spans="1:28" ht="11.25" customHeight="1">
      <c r="A1196" s="233">
        <v>41274</v>
      </c>
      <c r="B1196" s="5" t="s">
        <v>2127</v>
      </c>
      <c r="C1196" s="1" t="s">
        <v>2851</v>
      </c>
      <c r="D1196" s="5" t="s">
        <v>4573</v>
      </c>
      <c r="E1196" s="1" t="s">
        <v>4574</v>
      </c>
      <c r="F1196" s="225">
        <v>100</v>
      </c>
      <c r="G1196" s="225" t="s">
        <v>2852</v>
      </c>
      <c r="H1196" s="234">
        <v>1.55</v>
      </c>
      <c r="I1196" s="27">
        <f t="shared" si="95"/>
        <v>155</v>
      </c>
      <c r="K1196" s="241">
        <f>1.17*100</f>
        <v>117</v>
      </c>
      <c r="L1196" s="237">
        <v>41250</v>
      </c>
      <c r="M1196" s="1" t="s">
        <v>2863</v>
      </c>
      <c r="N1196" s="235">
        <f t="shared" si="89"/>
        <v>155</v>
      </c>
      <c r="O1196" s="235">
        <f t="shared" si="94"/>
        <v>0</v>
      </c>
      <c r="P1196" s="238" t="s">
        <v>5867</v>
      </c>
      <c r="Q1196" s="1" t="s">
        <v>5884</v>
      </c>
      <c r="R1196" s="239" t="s">
        <v>416</v>
      </c>
      <c r="S1196" s="238" t="s">
        <v>417</v>
      </c>
      <c r="T1196" s="238" t="s">
        <v>3817</v>
      </c>
      <c r="U1196" s="238" t="s">
        <v>5885</v>
      </c>
      <c r="V1196" s="246" t="s">
        <v>176</v>
      </c>
      <c r="AA1196" s="140"/>
      <c r="AB1196" s="1" t="s">
        <v>2850</v>
      </c>
    </row>
    <row r="1197" spans="1:28" ht="11.25" customHeight="1">
      <c r="A1197" s="233">
        <v>41274</v>
      </c>
      <c r="B1197" s="5" t="s">
        <v>2127</v>
      </c>
      <c r="C1197" s="1" t="s">
        <v>2851</v>
      </c>
      <c r="D1197" s="5" t="s">
        <v>4483</v>
      </c>
      <c r="E1197" s="1" t="s">
        <v>4506</v>
      </c>
      <c r="F1197" s="225">
        <v>10</v>
      </c>
      <c r="G1197" s="1" t="s">
        <v>232</v>
      </c>
      <c r="H1197" s="234">
        <v>6.26</v>
      </c>
      <c r="I1197" s="27">
        <f t="shared" si="95"/>
        <v>62.599999999999994</v>
      </c>
      <c r="K1197" s="241">
        <f>4.75*10</f>
        <v>47.5</v>
      </c>
      <c r="L1197" s="237">
        <v>41250</v>
      </c>
      <c r="M1197" s="1" t="s">
        <v>2863</v>
      </c>
      <c r="N1197" s="235">
        <f t="shared" si="89"/>
        <v>62.599999999999994</v>
      </c>
      <c r="O1197" s="235">
        <f t="shared" si="94"/>
        <v>0</v>
      </c>
      <c r="P1197" s="238" t="s">
        <v>5867</v>
      </c>
      <c r="Q1197" s="1" t="s">
        <v>5884</v>
      </c>
      <c r="R1197" s="239" t="s">
        <v>416</v>
      </c>
      <c r="S1197" s="238" t="s">
        <v>417</v>
      </c>
      <c r="T1197" s="238" t="s">
        <v>3817</v>
      </c>
      <c r="U1197" s="238" t="s">
        <v>5885</v>
      </c>
      <c r="V1197" s="246" t="s">
        <v>176</v>
      </c>
      <c r="AA1197" s="140"/>
      <c r="AB1197" s="1" t="s">
        <v>2850</v>
      </c>
    </row>
    <row r="1198" spans="1:28" ht="11.25" customHeight="1">
      <c r="A1198" s="233">
        <v>41274</v>
      </c>
      <c r="B1198" s="1" t="s">
        <v>4575</v>
      </c>
      <c r="C1198" s="1" t="s">
        <v>2851</v>
      </c>
      <c r="D1198" s="5" t="s">
        <v>4458</v>
      </c>
      <c r="E1198" s="1" t="s">
        <v>4459</v>
      </c>
      <c r="F1198" s="1">
        <v>3000</v>
      </c>
      <c r="G1198" s="1" t="s">
        <v>4460</v>
      </c>
      <c r="H1198" s="234">
        <v>32</v>
      </c>
      <c r="I1198" s="235">
        <f t="shared" si="95"/>
        <v>96000</v>
      </c>
      <c r="K1198" s="241">
        <f>27.144*3000</f>
        <v>81432</v>
      </c>
      <c r="L1198" s="237">
        <v>41268</v>
      </c>
      <c r="M1198" s="1" t="s">
        <v>2853</v>
      </c>
      <c r="N1198" s="235">
        <f t="shared" si="89"/>
        <v>96000</v>
      </c>
      <c r="O1198" s="235">
        <f t="shared" si="94"/>
        <v>0</v>
      </c>
      <c r="P1198" s="238" t="s">
        <v>4576</v>
      </c>
      <c r="Q1198" s="1" t="s">
        <v>4551</v>
      </c>
      <c r="R1198" s="239" t="s">
        <v>4577</v>
      </c>
      <c r="S1198" s="238" t="s">
        <v>4578</v>
      </c>
      <c r="T1198" s="238" t="s">
        <v>4579</v>
      </c>
      <c r="U1198" s="238" t="s">
        <v>4580</v>
      </c>
      <c r="V1198" s="238" t="s">
        <v>4581</v>
      </c>
      <c r="W1198" s="236">
        <v>97640</v>
      </c>
      <c r="X1198" s="233">
        <v>41297</v>
      </c>
      <c r="Y1198" s="238" t="s">
        <v>4582</v>
      </c>
      <c r="AB1198" s="1" t="s">
        <v>2850</v>
      </c>
    </row>
    <row r="1199" spans="1:28" ht="11.25" customHeight="1">
      <c r="A1199" s="233">
        <v>41274</v>
      </c>
      <c r="B1199" s="1" t="s">
        <v>4583</v>
      </c>
      <c r="C1199" s="1" t="s">
        <v>2851</v>
      </c>
      <c r="D1199" s="5" t="s">
        <v>4584</v>
      </c>
      <c r="E1199" s="1">
        <v>82501</v>
      </c>
      <c r="F1199" s="1">
        <v>24</v>
      </c>
      <c r="G1199" s="1" t="s">
        <v>2862</v>
      </c>
      <c r="H1199" s="234">
        <v>118</v>
      </c>
      <c r="I1199" s="235">
        <f t="shared" si="95"/>
        <v>2832</v>
      </c>
      <c r="K1199" s="241">
        <f>113.9*24</f>
        <v>2733.6000000000004</v>
      </c>
      <c r="L1199" s="237">
        <v>41269</v>
      </c>
      <c r="M1199" s="1" t="s">
        <v>2853</v>
      </c>
      <c r="N1199" s="235">
        <f t="shared" si="89"/>
        <v>2832</v>
      </c>
      <c r="O1199" s="235">
        <f t="shared" si="94"/>
        <v>0</v>
      </c>
      <c r="P1199" s="238" t="s">
        <v>4585</v>
      </c>
      <c r="Q1199" s="1" t="s">
        <v>4551</v>
      </c>
      <c r="R1199" s="239" t="s">
        <v>4560</v>
      </c>
      <c r="S1199" s="238" t="s">
        <v>4561</v>
      </c>
      <c r="T1199" s="238" t="s">
        <v>4553</v>
      </c>
      <c r="U1199" s="238" t="s">
        <v>4586</v>
      </c>
      <c r="V1199" s="238" t="s">
        <v>4587</v>
      </c>
      <c r="W1199" s="236">
        <v>26733.98</v>
      </c>
      <c r="X1199" s="233">
        <v>41295</v>
      </c>
      <c r="Y1199" s="238" t="s">
        <v>4588</v>
      </c>
      <c r="AB1199" s="1" t="s">
        <v>2850</v>
      </c>
    </row>
    <row r="1200" spans="1:28" ht="11.25" customHeight="1">
      <c r="A1200" s="233">
        <v>41274</v>
      </c>
      <c r="B1200" s="1" t="s">
        <v>4583</v>
      </c>
      <c r="C1200" s="1" t="s">
        <v>2851</v>
      </c>
      <c r="D1200" s="5" t="s">
        <v>4557</v>
      </c>
      <c r="E1200" s="1">
        <v>82518</v>
      </c>
      <c r="F1200" s="1">
        <v>14</v>
      </c>
      <c r="G1200" s="1" t="s">
        <v>2862</v>
      </c>
      <c r="H1200" s="234">
        <v>140.30000000000001</v>
      </c>
      <c r="I1200" s="235">
        <f t="shared" si="95"/>
        <v>1964.2000000000003</v>
      </c>
      <c r="K1200" s="241">
        <f>127*F1200</f>
        <v>1778</v>
      </c>
      <c r="L1200" s="237">
        <v>41269</v>
      </c>
      <c r="M1200" s="1" t="s">
        <v>2853</v>
      </c>
      <c r="N1200" s="235">
        <f t="shared" si="89"/>
        <v>1964.2000000000003</v>
      </c>
      <c r="O1200" s="235">
        <f t="shared" si="94"/>
        <v>0</v>
      </c>
      <c r="P1200" s="238" t="s">
        <v>4585</v>
      </c>
      <c r="Q1200" s="1" t="s">
        <v>4551</v>
      </c>
      <c r="R1200" s="239" t="s">
        <v>4560</v>
      </c>
      <c r="S1200" s="238" t="s">
        <v>4561</v>
      </c>
      <c r="T1200" s="238" t="s">
        <v>4553</v>
      </c>
      <c r="U1200" s="238" t="s">
        <v>4586</v>
      </c>
      <c r="V1200" s="238" t="s">
        <v>4587</v>
      </c>
      <c r="W1200" s="236">
        <v>26733.98</v>
      </c>
      <c r="X1200" s="233">
        <v>41295</v>
      </c>
      <c r="Y1200" s="238" t="s">
        <v>4588</v>
      </c>
      <c r="AB1200" s="1" t="s">
        <v>2850</v>
      </c>
    </row>
    <row r="1201" spans="1:29" ht="11.25" customHeight="1">
      <c r="A1201" s="233">
        <v>41274</v>
      </c>
      <c r="B1201" s="1" t="s">
        <v>4583</v>
      </c>
      <c r="C1201" s="1" t="s">
        <v>2851</v>
      </c>
      <c r="D1201" s="5" t="s">
        <v>4569</v>
      </c>
      <c r="E1201" s="1">
        <v>1426</v>
      </c>
      <c r="F1201" s="1">
        <v>33</v>
      </c>
      <c r="G1201" s="1" t="s">
        <v>4472</v>
      </c>
      <c r="H1201" s="234">
        <v>20</v>
      </c>
      <c r="I1201" s="235">
        <f t="shared" si="95"/>
        <v>660</v>
      </c>
      <c r="K1201" s="241">
        <f>19.8*30+19.422*3</f>
        <v>652.26599999999996</v>
      </c>
      <c r="L1201" s="237">
        <v>41269</v>
      </c>
      <c r="M1201" s="1" t="s">
        <v>2853</v>
      </c>
      <c r="N1201" s="235">
        <f t="shared" si="89"/>
        <v>660</v>
      </c>
      <c r="O1201" s="235">
        <f t="shared" si="94"/>
        <v>0</v>
      </c>
      <c r="P1201" s="238" t="s">
        <v>4585</v>
      </c>
      <c r="Q1201" s="1" t="s">
        <v>4551</v>
      </c>
      <c r="R1201" s="239" t="s">
        <v>4560</v>
      </c>
      <c r="S1201" s="238" t="s">
        <v>4561</v>
      </c>
      <c r="T1201" s="238" t="s">
        <v>4553</v>
      </c>
      <c r="U1201" s="238" t="s">
        <v>4586</v>
      </c>
      <c r="V1201" s="238" t="s">
        <v>4587</v>
      </c>
      <c r="W1201" s="236">
        <v>26733.98</v>
      </c>
      <c r="X1201" s="233">
        <v>41295</v>
      </c>
      <c r="Y1201" s="238" t="s">
        <v>4588</v>
      </c>
      <c r="AB1201" s="1" t="s">
        <v>2850</v>
      </c>
    </row>
    <row r="1202" spans="1:29" ht="11.25" customHeight="1">
      <c r="A1202" s="233">
        <v>41274</v>
      </c>
      <c r="B1202" s="1" t="s">
        <v>4583</v>
      </c>
      <c r="C1202" s="1" t="s">
        <v>2851</v>
      </c>
      <c r="D1202" s="5" t="s">
        <v>4589</v>
      </c>
      <c r="E1202" s="1">
        <v>8577</v>
      </c>
      <c r="F1202" s="1">
        <v>170</v>
      </c>
      <c r="G1202" s="1" t="s">
        <v>2852</v>
      </c>
      <c r="H1202" s="234">
        <v>29</v>
      </c>
      <c r="I1202" s="235">
        <f t="shared" si="95"/>
        <v>4930</v>
      </c>
      <c r="K1202" s="241">
        <f>28.3*170</f>
        <v>4811</v>
      </c>
      <c r="L1202" s="237">
        <v>41269</v>
      </c>
      <c r="M1202" s="1" t="s">
        <v>2853</v>
      </c>
      <c r="N1202" s="235">
        <f t="shared" si="89"/>
        <v>4930</v>
      </c>
      <c r="O1202" s="235">
        <f t="shared" si="94"/>
        <v>0</v>
      </c>
      <c r="P1202" s="238" t="s">
        <v>4585</v>
      </c>
      <c r="Q1202" s="1" t="s">
        <v>4551</v>
      </c>
      <c r="R1202" s="239" t="s">
        <v>4560</v>
      </c>
      <c r="S1202" s="238" t="s">
        <v>4561</v>
      </c>
      <c r="T1202" s="238" t="s">
        <v>4553</v>
      </c>
      <c r="U1202" s="238" t="s">
        <v>4586</v>
      </c>
      <c r="V1202" s="238" t="s">
        <v>4587</v>
      </c>
      <c r="W1202" s="236">
        <v>26733.98</v>
      </c>
      <c r="X1202" s="233">
        <v>41295</v>
      </c>
      <c r="Y1202" s="238" t="s">
        <v>4588</v>
      </c>
      <c r="AB1202" s="1" t="s">
        <v>2850</v>
      </c>
    </row>
    <row r="1203" spans="1:29" ht="11.25" customHeight="1">
      <c r="A1203" s="233">
        <v>41274</v>
      </c>
      <c r="B1203" s="1" t="s">
        <v>4583</v>
      </c>
      <c r="C1203" s="1" t="s">
        <v>2851</v>
      </c>
      <c r="D1203" s="5" t="s">
        <v>4590</v>
      </c>
      <c r="E1203" s="1" t="s">
        <v>4591</v>
      </c>
      <c r="F1203" s="1">
        <v>600</v>
      </c>
      <c r="G1203" s="1" t="s">
        <v>4472</v>
      </c>
      <c r="H1203" s="234">
        <v>4.0999999999999996</v>
      </c>
      <c r="I1203" s="235">
        <f t="shared" si="95"/>
        <v>2460</v>
      </c>
      <c r="K1203" s="241">
        <f>3.7*600</f>
        <v>2220</v>
      </c>
      <c r="L1203" s="237">
        <v>41269</v>
      </c>
      <c r="M1203" s="1" t="s">
        <v>2853</v>
      </c>
      <c r="N1203" s="235">
        <f t="shared" si="89"/>
        <v>2460</v>
      </c>
      <c r="O1203" s="235">
        <f t="shared" si="94"/>
        <v>0</v>
      </c>
      <c r="P1203" s="238" t="s">
        <v>4585</v>
      </c>
      <c r="Q1203" s="1" t="s">
        <v>4551</v>
      </c>
      <c r="R1203" s="239" t="s">
        <v>4560</v>
      </c>
      <c r="S1203" s="238" t="s">
        <v>4561</v>
      </c>
      <c r="T1203" s="238" t="s">
        <v>4553</v>
      </c>
      <c r="U1203" s="238" t="s">
        <v>4586</v>
      </c>
      <c r="V1203" s="238" t="s">
        <v>4587</v>
      </c>
      <c r="W1203" s="236">
        <v>26733.98</v>
      </c>
      <c r="X1203" s="233">
        <v>41295</v>
      </c>
      <c r="Y1203" s="238" t="s">
        <v>4588</v>
      </c>
      <c r="AB1203" s="1" t="s">
        <v>2850</v>
      </c>
    </row>
    <row r="1204" spans="1:29" ht="11.25" customHeight="1">
      <c r="A1204" s="233">
        <v>41274</v>
      </c>
      <c r="B1204" s="1" t="s">
        <v>4583</v>
      </c>
      <c r="C1204" s="1" t="s">
        <v>2851</v>
      </c>
      <c r="D1204" s="5" t="s">
        <v>4571</v>
      </c>
      <c r="E1204" s="1" t="s">
        <v>4541</v>
      </c>
      <c r="F1204" s="1">
        <v>240</v>
      </c>
      <c r="G1204" s="1" t="s">
        <v>2862</v>
      </c>
      <c r="H1204" s="234">
        <v>17.100000000000001</v>
      </c>
      <c r="I1204" s="235">
        <f t="shared" si="95"/>
        <v>4104</v>
      </c>
      <c r="K1204" s="241">
        <f>16.5*F1204</f>
        <v>3960</v>
      </c>
      <c r="L1204" s="237">
        <v>41269</v>
      </c>
      <c r="M1204" s="1" t="s">
        <v>2853</v>
      </c>
      <c r="N1204" s="235">
        <f t="shared" si="89"/>
        <v>4104</v>
      </c>
      <c r="O1204" s="235">
        <f t="shared" si="94"/>
        <v>0</v>
      </c>
      <c r="P1204" s="238" t="s">
        <v>4585</v>
      </c>
      <c r="Q1204" s="1" t="s">
        <v>4551</v>
      </c>
      <c r="R1204" s="239" t="s">
        <v>4560</v>
      </c>
      <c r="S1204" s="238" t="s">
        <v>4561</v>
      </c>
      <c r="T1204" s="238" t="s">
        <v>4553</v>
      </c>
      <c r="U1204" s="238" t="s">
        <v>4586</v>
      </c>
      <c r="V1204" s="238" t="s">
        <v>4587</v>
      </c>
      <c r="W1204" s="236">
        <v>26733.98</v>
      </c>
      <c r="X1204" s="233">
        <v>41295</v>
      </c>
      <c r="Y1204" s="238" t="s">
        <v>4588</v>
      </c>
      <c r="AB1204" s="1" t="s">
        <v>2850</v>
      </c>
    </row>
    <row r="1205" spans="1:29" ht="11.25" customHeight="1">
      <c r="A1205" s="233">
        <v>41274</v>
      </c>
      <c r="B1205" s="1" t="s">
        <v>4583</v>
      </c>
      <c r="C1205" s="1" t="s">
        <v>2851</v>
      </c>
      <c r="D1205" s="5" t="s">
        <v>4592</v>
      </c>
      <c r="E1205" s="1">
        <v>4680</v>
      </c>
      <c r="F1205" s="1">
        <v>4</v>
      </c>
      <c r="G1205" s="1" t="s">
        <v>4475</v>
      </c>
      <c r="H1205" s="234">
        <v>85.41</v>
      </c>
      <c r="I1205" s="235">
        <f t="shared" si="95"/>
        <v>341.64</v>
      </c>
      <c r="K1205" s="241">
        <f>81.5*4</f>
        <v>326</v>
      </c>
      <c r="L1205" s="237">
        <v>41269</v>
      </c>
      <c r="M1205" s="1" t="s">
        <v>2853</v>
      </c>
      <c r="N1205" s="235">
        <f t="shared" si="89"/>
        <v>341.64</v>
      </c>
      <c r="O1205" s="235">
        <f t="shared" si="94"/>
        <v>0</v>
      </c>
      <c r="P1205" s="238" t="s">
        <v>4585</v>
      </c>
      <c r="Q1205" s="1" t="s">
        <v>4551</v>
      </c>
      <c r="R1205" s="239" t="s">
        <v>4560</v>
      </c>
      <c r="S1205" s="238" t="s">
        <v>4561</v>
      </c>
      <c r="T1205" s="238" t="s">
        <v>4553</v>
      </c>
      <c r="U1205" s="238" t="s">
        <v>4586</v>
      </c>
      <c r="V1205" s="238" t="s">
        <v>4587</v>
      </c>
      <c r="W1205" s="236">
        <v>26733.98</v>
      </c>
      <c r="X1205" s="233">
        <v>41295</v>
      </c>
      <c r="Y1205" s="238" t="s">
        <v>4588</v>
      </c>
      <c r="AB1205" s="1" t="s">
        <v>2850</v>
      </c>
    </row>
    <row r="1206" spans="1:29" ht="11.25" customHeight="1">
      <c r="A1206" s="233">
        <v>41274</v>
      </c>
      <c r="B1206" s="1" t="s">
        <v>4583</v>
      </c>
      <c r="C1206" s="1" t="s">
        <v>2851</v>
      </c>
      <c r="D1206" s="5" t="s">
        <v>4593</v>
      </c>
      <c r="E1206" s="1">
        <v>4680</v>
      </c>
      <c r="F1206" s="1">
        <v>2</v>
      </c>
      <c r="G1206" s="1" t="s">
        <v>4475</v>
      </c>
      <c r="H1206" s="234">
        <v>83.07</v>
      </c>
      <c r="I1206" s="235">
        <f t="shared" si="95"/>
        <v>166.14</v>
      </c>
      <c r="K1206" s="241">
        <f>81.5*2</f>
        <v>163</v>
      </c>
      <c r="L1206" s="237">
        <v>41269</v>
      </c>
      <c r="M1206" s="1" t="s">
        <v>2853</v>
      </c>
      <c r="N1206" s="235">
        <f t="shared" si="89"/>
        <v>166.14</v>
      </c>
      <c r="O1206" s="235">
        <f t="shared" si="94"/>
        <v>0</v>
      </c>
      <c r="P1206" s="238" t="s">
        <v>4585</v>
      </c>
      <c r="Q1206" s="1" t="s">
        <v>4551</v>
      </c>
      <c r="R1206" s="239" t="s">
        <v>4560</v>
      </c>
      <c r="S1206" s="238" t="s">
        <v>4561</v>
      </c>
      <c r="T1206" s="238" t="s">
        <v>4553</v>
      </c>
      <c r="U1206" s="238" t="s">
        <v>4586</v>
      </c>
      <c r="V1206" s="238" t="s">
        <v>4587</v>
      </c>
      <c r="W1206" s="236">
        <v>26733.98</v>
      </c>
      <c r="X1206" s="233">
        <v>41295</v>
      </c>
      <c r="Y1206" s="238" t="s">
        <v>4588</v>
      </c>
      <c r="AB1206" s="1" t="s">
        <v>2850</v>
      </c>
    </row>
    <row r="1207" spans="1:29" ht="12" customHeight="1">
      <c r="A1207" s="233">
        <v>41278</v>
      </c>
      <c r="B1207" s="1" t="s">
        <v>4594</v>
      </c>
      <c r="C1207" s="225" t="s">
        <v>4595</v>
      </c>
      <c r="D1207" s="5" t="s">
        <v>4596</v>
      </c>
      <c r="E1207" s="225">
        <v>6179</v>
      </c>
      <c r="F1207" s="1">
        <v>2</v>
      </c>
      <c r="G1207" s="1" t="s">
        <v>4500</v>
      </c>
      <c r="H1207" s="234">
        <v>550</v>
      </c>
      <c r="I1207" s="235">
        <f t="shared" si="95"/>
        <v>1100</v>
      </c>
      <c r="K1207" s="241">
        <f>468*2</f>
        <v>936</v>
      </c>
      <c r="L1207" s="237">
        <v>41634</v>
      </c>
      <c r="M1207" s="1" t="s">
        <v>167</v>
      </c>
      <c r="N1207" s="235">
        <f t="shared" si="89"/>
        <v>1100</v>
      </c>
      <c r="O1207" s="235">
        <f t="shared" si="94"/>
        <v>0</v>
      </c>
      <c r="P1207" s="238" t="s">
        <v>4597</v>
      </c>
      <c r="Q1207" s="1" t="s">
        <v>4478</v>
      </c>
      <c r="R1207" s="1" t="s">
        <v>4598</v>
      </c>
      <c r="S1207" s="238" t="s">
        <v>4599</v>
      </c>
      <c r="T1207" s="238" t="s">
        <v>4600</v>
      </c>
      <c r="U1207" s="238" t="s">
        <v>4481</v>
      </c>
      <c r="V1207" s="238" t="s">
        <v>5580</v>
      </c>
      <c r="W1207" s="236">
        <v>4281.6000000000004</v>
      </c>
      <c r="X1207" s="233">
        <v>41347</v>
      </c>
      <c r="Y1207" s="238" t="s">
        <v>1571</v>
      </c>
      <c r="AB1207" s="1" t="s">
        <v>2850</v>
      </c>
    </row>
    <row r="1208" spans="1:29" ht="11.25" customHeight="1">
      <c r="A1208" s="233">
        <v>41278</v>
      </c>
      <c r="B1208" s="1" t="s">
        <v>4594</v>
      </c>
      <c r="C1208" s="1" t="s">
        <v>2851</v>
      </c>
      <c r="D1208" s="1" t="s">
        <v>1216</v>
      </c>
      <c r="E1208" s="1">
        <v>3200</v>
      </c>
      <c r="F1208" s="1">
        <v>2</v>
      </c>
      <c r="G1208" s="1" t="s">
        <v>2862</v>
      </c>
      <c r="H1208" s="234">
        <v>27.7</v>
      </c>
      <c r="I1208" s="235">
        <f t="shared" si="95"/>
        <v>55.4</v>
      </c>
      <c r="K1208" s="241">
        <f>23.94*2</f>
        <v>47.88</v>
      </c>
      <c r="L1208" s="237">
        <v>41339</v>
      </c>
      <c r="M1208" s="1" t="s">
        <v>167</v>
      </c>
      <c r="N1208" s="235">
        <f t="shared" si="89"/>
        <v>55.4</v>
      </c>
      <c r="O1208" s="235">
        <f t="shared" si="94"/>
        <v>0</v>
      </c>
      <c r="P1208" s="238" t="s">
        <v>4597</v>
      </c>
      <c r="Q1208" s="1" t="s">
        <v>4478</v>
      </c>
      <c r="R1208" s="1" t="s">
        <v>4598</v>
      </c>
      <c r="S1208" s="238" t="s">
        <v>4599</v>
      </c>
      <c r="T1208" s="238" t="s">
        <v>4600</v>
      </c>
      <c r="U1208" s="238" t="s">
        <v>4481</v>
      </c>
      <c r="V1208" s="238" t="s">
        <v>5580</v>
      </c>
      <c r="W1208" s="236">
        <v>4281.6000000000004</v>
      </c>
      <c r="X1208" s="233">
        <v>41347</v>
      </c>
      <c r="Y1208" s="238" t="s">
        <v>1571</v>
      </c>
      <c r="AB1208" s="1" t="s">
        <v>2850</v>
      </c>
    </row>
    <row r="1209" spans="1:29" ht="11.25" customHeight="1">
      <c r="A1209" s="233">
        <v>41278</v>
      </c>
      <c r="B1209" s="1" t="s">
        <v>4594</v>
      </c>
      <c r="C1209" s="1" t="s">
        <v>2851</v>
      </c>
      <c r="D1209" s="5" t="s">
        <v>4571</v>
      </c>
      <c r="E1209" s="1" t="s">
        <v>4572</v>
      </c>
      <c r="F1209" s="1">
        <v>2</v>
      </c>
      <c r="G1209" s="1" t="s">
        <v>2862</v>
      </c>
      <c r="H1209" s="234">
        <v>13.1</v>
      </c>
      <c r="I1209" s="235">
        <f t="shared" si="95"/>
        <v>26.2</v>
      </c>
      <c r="K1209" s="241">
        <f>10.94*2</f>
        <v>21.88</v>
      </c>
      <c r="L1209" s="237">
        <v>41339</v>
      </c>
      <c r="M1209" s="1" t="s">
        <v>167</v>
      </c>
      <c r="N1209" s="235">
        <f t="shared" si="89"/>
        <v>26.2</v>
      </c>
      <c r="O1209" s="235">
        <f t="shared" si="94"/>
        <v>0</v>
      </c>
      <c r="P1209" s="238" t="s">
        <v>4597</v>
      </c>
      <c r="Q1209" s="1" t="s">
        <v>4478</v>
      </c>
      <c r="R1209" s="1" t="s">
        <v>4598</v>
      </c>
      <c r="S1209" s="238" t="s">
        <v>4599</v>
      </c>
      <c r="T1209" s="238" t="s">
        <v>4600</v>
      </c>
      <c r="U1209" s="238" t="s">
        <v>4481</v>
      </c>
      <c r="V1209" s="238" t="s">
        <v>5580</v>
      </c>
      <c r="W1209" s="236">
        <v>4281.6000000000004</v>
      </c>
      <c r="X1209" s="233">
        <v>41347</v>
      </c>
      <c r="Y1209" s="238" t="s">
        <v>1571</v>
      </c>
      <c r="AB1209" s="1" t="s">
        <v>2850</v>
      </c>
    </row>
    <row r="1210" spans="1:29" ht="11.25" customHeight="1">
      <c r="A1210" s="233">
        <v>41278</v>
      </c>
      <c r="B1210" s="228" t="s">
        <v>1496</v>
      </c>
      <c r="C1210" s="1" t="s">
        <v>2851</v>
      </c>
      <c r="D1210" s="1" t="s">
        <v>1219</v>
      </c>
      <c r="E1210" s="1" t="s">
        <v>4504</v>
      </c>
      <c r="F1210" s="1">
        <v>100</v>
      </c>
      <c r="G1210" s="1" t="s">
        <v>4472</v>
      </c>
      <c r="H1210" s="234">
        <v>13.4</v>
      </c>
      <c r="I1210" s="235">
        <f t="shared" si="95"/>
        <v>1340</v>
      </c>
      <c r="K1210" s="250">
        <f>12.5*100</f>
        <v>1250</v>
      </c>
      <c r="L1210" s="237">
        <v>41278</v>
      </c>
      <c r="M1210" s="228" t="s">
        <v>2853</v>
      </c>
      <c r="N1210" s="235">
        <f t="shared" si="89"/>
        <v>1340</v>
      </c>
      <c r="O1210" s="235">
        <f t="shared" si="94"/>
        <v>0</v>
      </c>
      <c r="P1210" s="238" t="s">
        <v>4601</v>
      </c>
      <c r="Q1210" s="1" t="s">
        <v>4602</v>
      </c>
      <c r="R1210" s="239" t="s">
        <v>4603</v>
      </c>
      <c r="S1210" s="238" t="s">
        <v>4604</v>
      </c>
      <c r="T1210" s="238" t="s">
        <v>1479</v>
      </c>
      <c r="U1210" s="238" t="s">
        <v>4605</v>
      </c>
      <c r="V1210" s="238" t="s">
        <v>4606</v>
      </c>
      <c r="W1210" s="236">
        <v>4217.3999999999996</v>
      </c>
      <c r="X1210" s="233">
        <v>41288</v>
      </c>
      <c r="Y1210" s="238" t="s">
        <v>5284</v>
      </c>
      <c r="AB1210" s="1" t="s">
        <v>2850</v>
      </c>
    </row>
    <row r="1211" spans="1:29" ht="12" customHeight="1">
      <c r="A1211" s="233">
        <v>41278</v>
      </c>
      <c r="B1211" s="228" t="s">
        <v>1496</v>
      </c>
      <c r="C1211" s="1" t="s">
        <v>2851</v>
      </c>
      <c r="D1211" s="5" t="s">
        <v>4607</v>
      </c>
      <c r="E1211" s="225" t="s">
        <v>4608</v>
      </c>
      <c r="F1211" s="1">
        <v>2</v>
      </c>
      <c r="G1211" s="1" t="s">
        <v>4475</v>
      </c>
      <c r="H1211" s="234">
        <v>90</v>
      </c>
      <c r="I1211" s="235">
        <f t="shared" si="95"/>
        <v>180</v>
      </c>
      <c r="K1211" s="241">
        <f>86*2</f>
        <v>172</v>
      </c>
      <c r="L1211" s="237">
        <v>41278</v>
      </c>
      <c r="M1211" s="228" t="s">
        <v>2853</v>
      </c>
      <c r="N1211" s="235">
        <f t="shared" si="89"/>
        <v>180</v>
      </c>
      <c r="O1211" s="235">
        <f t="shared" si="94"/>
        <v>0</v>
      </c>
      <c r="P1211" s="238" t="s">
        <v>4601</v>
      </c>
      <c r="Q1211" s="1" t="s">
        <v>4602</v>
      </c>
      <c r="R1211" s="239" t="s">
        <v>4603</v>
      </c>
      <c r="S1211" s="238" t="s">
        <v>4604</v>
      </c>
      <c r="T1211" s="238" t="s">
        <v>1479</v>
      </c>
      <c r="U1211" s="238" t="s">
        <v>4605</v>
      </c>
      <c r="V1211" s="238" t="s">
        <v>4606</v>
      </c>
      <c r="W1211" s="236">
        <v>4217.3999999999996</v>
      </c>
      <c r="X1211" s="233">
        <v>41288</v>
      </c>
      <c r="Y1211" s="238" t="s">
        <v>5284</v>
      </c>
      <c r="AB1211" s="1" t="s">
        <v>2850</v>
      </c>
    </row>
    <row r="1212" spans="1:29" ht="12" customHeight="1">
      <c r="A1212" s="233">
        <v>41279</v>
      </c>
      <c r="B1212" s="1" t="s">
        <v>4609</v>
      </c>
      <c r="C1212" s="225" t="s">
        <v>2851</v>
      </c>
      <c r="D1212" s="5" t="s">
        <v>4483</v>
      </c>
      <c r="E1212" s="1" t="s">
        <v>4484</v>
      </c>
      <c r="F1212" s="1">
        <v>60</v>
      </c>
      <c r="G1212" s="225" t="s">
        <v>2852</v>
      </c>
      <c r="H1212" s="234">
        <v>2.7</v>
      </c>
      <c r="I1212" s="235">
        <f t="shared" si="95"/>
        <v>162</v>
      </c>
      <c r="K1212" s="241">
        <f>1.24*60</f>
        <v>74.400000000000006</v>
      </c>
      <c r="L1212" s="237">
        <v>41279</v>
      </c>
      <c r="M1212" s="1" t="s">
        <v>4486</v>
      </c>
      <c r="N1212" s="235">
        <f t="shared" si="89"/>
        <v>162</v>
      </c>
      <c r="O1212" s="235">
        <f t="shared" si="94"/>
        <v>0</v>
      </c>
      <c r="P1212" s="238" t="s">
        <v>4610</v>
      </c>
      <c r="Q1212" s="1" t="s">
        <v>4478</v>
      </c>
      <c r="R1212" s="1"/>
      <c r="AB1212" s="1" t="s">
        <v>4536</v>
      </c>
      <c r="AC1212" s="1" t="s">
        <v>4611</v>
      </c>
    </row>
    <row r="1213" spans="1:29" ht="11.25" customHeight="1">
      <c r="A1213" s="233">
        <v>41279</v>
      </c>
      <c r="B1213" s="1" t="s">
        <v>4476</v>
      </c>
      <c r="C1213" s="1" t="s">
        <v>2851</v>
      </c>
      <c r="D1213" s="5" t="s">
        <v>4525</v>
      </c>
      <c r="E1213" s="1">
        <v>1110</v>
      </c>
      <c r="F1213" s="1">
        <v>300</v>
      </c>
      <c r="G1213" s="1" t="s">
        <v>4472</v>
      </c>
      <c r="H1213" s="234">
        <v>0.86</v>
      </c>
      <c r="I1213" s="235">
        <f t="shared" si="95"/>
        <v>258</v>
      </c>
      <c r="K1213" s="241">
        <f>0.72*300</f>
        <v>216</v>
      </c>
      <c r="L1213" s="237">
        <v>41292</v>
      </c>
      <c r="M1213" s="1" t="s">
        <v>2853</v>
      </c>
      <c r="N1213" s="235">
        <f t="shared" si="89"/>
        <v>258</v>
      </c>
      <c r="O1213" s="235">
        <f t="shared" si="94"/>
        <v>0</v>
      </c>
      <c r="P1213" s="238" t="s">
        <v>4612</v>
      </c>
      <c r="Q1213" s="1" t="s">
        <v>4478</v>
      </c>
      <c r="R1213" s="239" t="s">
        <v>4479</v>
      </c>
      <c r="S1213" s="238" t="s">
        <v>4480</v>
      </c>
      <c r="T1213" s="239" t="s">
        <v>4481</v>
      </c>
      <c r="U1213" s="238" t="s">
        <v>4612</v>
      </c>
      <c r="V1213" s="238" t="s">
        <v>4482</v>
      </c>
      <c r="W1213" s="236">
        <v>6756</v>
      </c>
      <c r="X1213" s="233">
        <v>41295</v>
      </c>
      <c r="Y1213" s="238" t="s">
        <v>4478</v>
      </c>
      <c r="AB1213" s="1" t="s">
        <v>2850</v>
      </c>
    </row>
    <row r="1214" spans="1:29" ht="11.25" customHeight="1">
      <c r="A1214" s="233">
        <v>41279</v>
      </c>
      <c r="B1214" s="1" t="s">
        <v>4613</v>
      </c>
      <c r="C1214" s="1" t="s">
        <v>2851</v>
      </c>
      <c r="D1214" s="5" t="s">
        <v>4614</v>
      </c>
      <c r="E1214" s="225" t="s">
        <v>4615</v>
      </c>
      <c r="F1214" s="1">
        <v>150</v>
      </c>
      <c r="G1214" s="1" t="s">
        <v>2862</v>
      </c>
      <c r="H1214" s="234">
        <v>40.6</v>
      </c>
      <c r="I1214" s="235">
        <f t="shared" si="95"/>
        <v>6090</v>
      </c>
      <c r="K1214" s="241">
        <f>28.75*150</f>
        <v>4312.5</v>
      </c>
      <c r="L1214" s="237">
        <v>41327</v>
      </c>
      <c r="M1214" s="1" t="s">
        <v>167</v>
      </c>
      <c r="N1214" s="235">
        <f t="shared" si="89"/>
        <v>6090</v>
      </c>
      <c r="O1214" s="235">
        <f t="shared" si="94"/>
        <v>0</v>
      </c>
      <c r="P1214" s="238" t="s">
        <v>4616</v>
      </c>
      <c r="Q1214" s="1" t="s">
        <v>4617</v>
      </c>
      <c r="R1214" s="1" t="s">
        <v>4618</v>
      </c>
      <c r="S1214" s="238" t="s">
        <v>4619</v>
      </c>
      <c r="T1214" s="238" t="s">
        <v>4620</v>
      </c>
      <c r="U1214" s="238" t="s">
        <v>4621</v>
      </c>
      <c r="V1214" s="238" t="s">
        <v>4622</v>
      </c>
      <c r="W1214" s="236">
        <v>8135</v>
      </c>
      <c r="X1214" s="233">
        <v>41295</v>
      </c>
      <c r="Y1214" s="238" t="s">
        <v>4914</v>
      </c>
      <c r="AB1214" s="1" t="s">
        <v>4536</v>
      </c>
    </row>
    <row r="1215" spans="1:29" ht="11.25" customHeight="1">
      <c r="A1215" s="233">
        <v>41279</v>
      </c>
      <c r="B1215" s="1" t="s">
        <v>4613</v>
      </c>
      <c r="C1215" s="1" t="s">
        <v>2851</v>
      </c>
      <c r="D1215" s="5" t="s">
        <v>4623</v>
      </c>
      <c r="E1215" s="1">
        <v>7502</v>
      </c>
      <c r="F1215" s="1">
        <v>10</v>
      </c>
      <c r="G1215" s="1" t="s">
        <v>2862</v>
      </c>
      <c r="H1215" s="234">
        <v>182</v>
      </c>
      <c r="I1215" s="235">
        <f t="shared" si="95"/>
        <v>1820</v>
      </c>
      <c r="K1215" s="241">
        <f>122.8*8+106*2</f>
        <v>1194.4000000000001</v>
      </c>
      <c r="L1215" s="237">
        <v>41327</v>
      </c>
      <c r="M1215" s="1" t="s">
        <v>167</v>
      </c>
      <c r="N1215" s="235">
        <f t="shared" ref="N1215:N1278" si="96">I1215</f>
        <v>1820</v>
      </c>
      <c r="O1215" s="235">
        <f t="shared" si="94"/>
        <v>0</v>
      </c>
      <c r="P1215" s="238" t="s">
        <v>4616</v>
      </c>
      <c r="Q1215" s="1" t="s">
        <v>4617</v>
      </c>
      <c r="R1215" s="239" t="s">
        <v>4618</v>
      </c>
      <c r="S1215" s="238" t="s">
        <v>4619</v>
      </c>
      <c r="T1215" s="238" t="s">
        <v>4620</v>
      </c>
      <c r="U1215" s="238" t="s">
        <v>4621</v>
      </c>
      <c r="V1215" s="238" t="s">
        <v>4622</v>
      </c>
      <c r="W1215" s="236">
        <v>8135</v>
      </c>
      <c r="X1215" s="233">
        <v>41295</v>
      </c>
      <c r="Y1215" s="238" t="s">
        <v>4914</v>
      </c>
      <c r="AB1215" s="1" t="s">
        <v>4536</v>
      </c>
    </row>
    <row r="1216" spans="1:29" ht="11.25" customHeight="1">
      <c r="A1216" s="233">
        <v>41279</v>
      </c>
      <c r="B1216" s="1" t="s">
        <v>4613</v>
      </c>
      <c r="C1216" s="1" t="s">
        <v>2851</v>
      </c>
      <c r="D1216" s="5" t="s">
        <v>1227</v>
      </c>
      <c r="E1216" s="1" t="s">
        <v>4624</v>
      </c>
      <c r="F1216" s="1">
        <v>5</v>
      </c>
      <c r="G1216" s="1" t="s">
        <v>2862</v>
      </c>
      <c r="H1216" s="234">
        <v>45</v>
      </c>
      <c r="I1216" s="235">
        <f t="shared" si="95"/>
        <v>225</v>
      </c>
      <c r="K1216" s="254">
        <f>34.8*5</f>
        <v>174</v>
      </c>
      <c r="L1216" s="237">
        <v>41327</v>
      </c>
      <c r="M1216" s="1" t="s">
        <v>167</v>
      </c>
      <c r="N1216" s="235">
        <f t="shared" si="96"/>
        <v>225</v>
      </c>
      <c r="O1216" s="235">
        <f t="shared" si="94"/>
        <v>0</v>
      </c>
      <c r="P1216" s="238" t="s">
        <v>4616</v>
      </c>
      <c r="Q1216" s="1" t="s">
        <v>4617</v>
      </c>
      <c r="R1216" s="239" t="s">
        <v>4618</v>
      </c>
      <c r="S1216" s="238" t="s">
        <v>4619</v>
      </c>
      <c r="T1216" s="238" t="s">
        <v>4620</v>
      </c>
      <c r="U1216" s="238" t="s">
        <v>4621</v>
      </c>
      <c r="V1216" s="238" t="s">
        <v>4622</v>
      </c>
      <c r="W1216" s="236">
        <v>8135</v>
      </c>
      <c r="X1216" s="233">
        <v>41295</v>
      </c>
      <c r="Y1216" s="238" t="s">
        <v>4914</v>
      </c>
      <c r="Z1216" s="255" t="s">
        <v>4540</v>
      </c>
      <c r="AB1216" s="1" t="s">
        <v>4536</v>
      </c>
    </row>
    <row r="1217" spans="1:28" ht="11.25" customHeight="1">
      <c r="A1217" s="233">
        <v>41279</v>
      </c>
      <c r="B1217" s="5" t="s">
        <v>1465</v>
      </c>
      <c r="C1217" s="1" t="s">
        <v>2851</v>
      </c>
      <c r="D1217" s="5" t="s">
        <v>4625</v>
      </c>
      <c r="E1217" s="1" t="s">
        <v>4626</v>
      </c>
      <c r="F1217" s="1">
        <v>150</v>
      </c>
      <c r="G1217" s="1" t="s">
        <v>2852</v>
      </c>
      <c r="H1217" s="234">
        <v>20</v>
      </c>
      <c r="I1217" s="235">
        <f t="shared" si="95"/>
        <v>3000</v>
      </c>
      <c r="K1217" s="241">
        <f>17*150</f>
        <v>2550</v>
      </c>
      <c r="L1217" s="237">
        <v>41279</v>
      </c>
      <c r="M1217" s="1" t="s">
        <v>4486</v>
      </c>
      <c r="N1217" s="235">
        <f t="shared" si="96"/>
        <v>3000</v>
      </c>
      <c r="O1217" s="235">
        <f t="shared" si="94"/>
        <v>0</v>
      </c>
      <c r="P1217" s="238" t="s">
        <v>4627</v>
      </c>
      <c r="Q1217" s="1" t="s">
        <v>4628</v>
      </c>
      <c r="R1217" s="239" t="s">
        <v>4629</v>
      </c>
      <c r="S1217" s="238" t="s">
        <v>4630</v>
      </c>
      <c r="T1217" s="238" t="s">
        <v>4481</v>
      </c>
      <c r="U1217" s="238" t="s">
        <v>4481</v>
      </c>
      <c r="V1217" s="246" t="s">
        <v>4492</v>
      </c>
      <c r="AB1217" s="1" t="s">
        <v>2850</v>
      </c>
    </row>
    <row r="1218" spans="1:28" ht="11.25" customHeight="1">
      <c r="A1218" s="233">
        <v>41279</v>
      </c>
      <c r="B1218" s="1" t="s">
        <v>4494</v>
      </c>
      <c r="C1218" s="1" t="s">
        <v>2851</v>
      </c>
      <c r="D1218" s="5" t="s">
        <v>4631</v>
      </c>
      <c r="E1218" s="1" t="s">
        <v>4632</v>
      </c>
      <c r="F1218" s="1">
        <v>30</v>
      </c>
      <c r="G1218" s="1" t="s">
        <v>2862</v>
      </c>
      <c r="H1218" s="234">
        <v>50.5</v>
      </c>
      <c r="I1218" s="235">
        <f t="shared" si="95"/>
        <v>1515</v>
      </c>
      <c r="K1218" s="241">
        <f>49.5*30</f>
        <v>1485</v>
      </c>
      <c r="L1218" s="237">
        <v>41330</v>
      </c>
      <c r="M1218" s="1" t="s">
        <v>5188</v>
      </c>
      <c r="N1218" s="235">
        <f t="shared" si="96"/>
        <v>1515</v>
      </c>
      <c r="O1218" s="235">
        <f t="shared" si="94"/>
        <v>0</v>
      </c>
      <c r="P1218" s="238" t="s">
        <v>4633</v>
      </c>
      <c r="Q1218" s="1" t="s">
        <v>4496</v>
      </c>
      <c r="R1218" s="239" t="s">
        <v>4497</v>
      </c>
      <c r="S1218" s="238">
        <v>13368068212</v>
      </c>
      <c r="T1218" s="238" t="s">
        <v>4481</v>
      </c>
      <c r="U1218" s="238" t="s">
        <v>4481</v>
      </c>
      <c r="V1218" s="238" t="s">
        <v>5001</v>
      </c>
      <c r="W1218" s="236">
        <v>51540.38</v>
      </c>
      <c r="X1218" s="233">
        <v>41309</v>
      </c>
      <c r="Y1218" s="238" t="s">
        <v>3895</v>
      </c>
      <c r="AB1218" s="1" t="s">
        <v>1570</v>
      </c>
    </row>
    <row r="1219" spans="1:28" ht="11.25" customHeight="1">
      <c r="A1219" s="233">
        <v>41279</v>
      </c>
      <c r="B1219" s="1" t="s">
        <v>1578</v>
      </c>
      <c r="C1219" s="1" t="s">
        <v>1335</v>
      </c>
      <c r="D1219" s="5" t="s">
        <v>1672</v>
      </c>
      <c r="E1219" s="1" t="s">
        <v>1668</v>
      </c>
      <c r="F1219" s="1">
        <v>10</v>
      </c>
      <c r="G1219" s="1" t="s">
        <v>830</v>
      </c>
      <c r="H1219" s="234">
        <v>72</v>
      </c>
      <c r="I1219" s="235">
        <f t="shared" si="95"/>
        <v>720</v>
      </c>
      <c r="K1219" s="241">
        <f>69.5*10</f>
        <v>695</v>
      </c>
      <c r="L1219" s="237">
        <v>41309</v>
      </c>
      <c r="M1219" s="1" t="s">
        <v>167</v>
      </c>
      <c r="N1219" s="235">
        <f t="shared" si="96"/>
        <v>720</v>
      </c>
      <c r="O1219" s="235">
        <f t="shared" si="94"/>
        <v>0</v>
      </c>
      <c r="P1219" s="238" t="s">
        <v>1670</v>
      </c>
      <c r="Q1219" s="1" t="s">
        <v>1580</v>
      </c>
      <c r="R1219" s="239" t="s">
        <v>1579</v>
      </c>
      <c r="S1219" s="238">
        <v>13368068212</v>
      </c>
      <c r="T1219" s="238" t="s">
        <v>168</v>
      </c>
      <c r="U1219" s="238" t="s">
        <v>168</v>
      </c>
      <c r="V1219" s="238" t="s">
        <v>1869</v>
      </c>
      <c r="W1219" s="236">
        <v>15120</v>
      </c>
      <c r="X1219" s="233">
        <v>41303</v>
      </c>
      <c r="Y1219" s="238" t="s">
        <v>3895</v>
      </c>
      <c r="AB1219" s="1" t="s">
        <v>1570</v>
      </c>
    </row>
    <row r="1220" spans="1:28" ht="12" customHeight="1">
      <c r="A1220" s="233">
        <v>41280</v>
      </c>
      <c r="B1220" s="1" t="s">
        <v>1572</v>
      </c>
      <c r="C1220" s="225" t="s">
        <v>163</v>
      </c>
      <c r="D1220" s="1" t="s">
        <v>1775</v>
      </c>
      <c r="E1220" s="1" t="s">
        <v>182</v>
      </c>
      <c r="F1220" s="225">
        <v>500</v>
      </c>
      <c r="G1220" s="1" t="s">
        <v>171</v>
      </c>
      <c r="H1220" s="234">
        <v>2.5</v>
      </c>
      <c r="I1220" s="235">
        <f t="shared" si="95"/>
        <v>1250</v>
      </c>
      <c r="K1220" s="241">
        <f>1.65*500</f>
        <v>825</v>
      </c>
      <c r="N1220" s="235">
        <v>0</v>
      </c>
      <c r="O1220" s="235">
        <f t="shared" si="94"/>
        <v>1250</v>
      </c>
      <c r="P1220" s="238" t="s">
        <v>1683</v>
      </c>
      <c r="Q1220" s="1" t="s">
        <v>1571</v>
      </c>
      <c r="R1220" s="239" t="s">
        <v>1395</v>
      </c>
      <c r="S1220" s="238" t="s">
        <v>4151</v>
      </c>
      <c r="T1220" s="238" t="s">
        <v>2275</v>
      </c>
      <c r="U1220" s="238" t="s">
        <v>2276</v>
      </c>
      <c r="V1220" s="238" t="s">
        <v>5738</v>
      </c>
      <c r="W1220" s="236">
        <v>2150</v>
      </c>
      <c r="X1220" s="233">
        <v>41354</v>
      </c>
      <c r="Y1220" s="238" t="s">
        <v>5739</v>
      </c>
      <c r="AB1220" s="1" t="s">
        <v>3822</v>
      </c>
    </row>
    <row r="1221" spans="1:28" ht="12" customHeight="1">
      <c r="A1221" s="233">
        <v>41280</v>
      </c>
      <c r="B1221" s="1" t="s">
        <v>2279</v>
      </c>
      <c r="C1221" s="225" t="s">
        <v>2259</v>
      </c>
      <c r="D1221" s="5" t="s">
        <v>4634</v>
      </c>
      <c r="E1221" s="1">
        <v>4620</v>
      </c>
      <c r="F1221" s="225">
        <v>10</v>
      </c>
      <c r="G1221" s="1" t="s">
        <v>3825</v>
      </c>
      <c r="H1221" s="234">
        <v>22.5</v>
      </c>
      <c r="I1221" s="235">
        <f t="shared" si="95"/>
        <v>225</v>
      </c>
      <c r="K1221" s="241">
        <f>17.79*10</f>
        <v>177.89999999999998</v>
      </c>
      <c r="N1221" s="235">
        <v>0</v>
      </c>
      <c r="O1221" s="235">
        <f t="shared" si="94"/>
        <v>225</v>
      </c>
      <c r="P1221" s="238" t="s">
        <v>4635</v>
      </c>
      <c r="Q1221" s="1" t="s">
        <v>3827</v>
      </c>
      <c r="R1221" s="239" t="s">
        <v>1395</v>
      </c>
      <c r="S1221" s="238" t="s">
        <v>4151</v>
      </c>
      <c r="T1221" s="238" t="s">
        <v>2275</v>
      </c>
      <c r="U1221" s="238" t="s">
        <v>2276</v>
      </c>
      <c r="V1221" s="238" t="s">
        <v>5738</v>
      </c>
      <c r="W1221" s="236">
        <v>2150</v>
      </c>
      <c r="X1221" s="233">
        <v>41354</v>
      </c>
      <c r="Y1221" s="238" t="s">
        <v>5739</v>
      </c>
      <c r="AB1221" s="1" t="s">
        <v>3822</v>
      </c>
    </row>
    <row r="1222" spans="1:28" ht="11.25" customHeight="1">
      <c r="A1222" s="233">
        <v>41280</v>
      </c>
      <c r="B1222" s="1" t="s">
        <v>4636</v>
      </c>
      <c r="C1222" s="1" t="s">
        <v>2259</v>
      </c>
      <c r="D1222" s="5" t="s">
        <v>4637</v>
      </c>
      <c r="E1222" s="1" t="s">
        <v>4638</v>
      </c>
      <c r="F1222" s="1">
        <v>70</v>
      </c>
      <c r="G1222" s="1" t="s">
        <v>3840</v>
      </c>
      <c r="H1222" s="234">
        <v>125</v>
      </c>
      <c r="I1222" s="235">
        <f t="shared" si="95"/>
        <v>8750</v>
      </c>
      <c r="K1222" s="241">
        <f>85*70</f>
        <v>5950</v>
      </c>
      <c r="L1222" s="237">
        <v>41291</v>
      </c>
      <c r="M1222" s="1" t="s">
        <v>2262</v>
      </c>
      <c r="N1222" s="235">
        <f t="shared" si="96"/>
        <v>8750</v>
      </c>
      <c r="O1222" s="235">
        <f t="shared" ref="O1222:O1268" si="97">I1222-N1222</f>
        <v>0</v>
      </c>
      <c r="P1222" s="238" t="s">
        <v>2276</v>
      </c>
      <c r="Q1222" s="1" t="s">
        <v>3886</v>
      </c>
      <c r="R1222" s="239" t="s">
        <v>4639</v>
      </c>
      <c r="S1222" s="238" t="s">
        <v>4639</v>
      </c>
      <c r="T1222" s="238" t="s">
        <v>2276</v>
      </c>
      <c r="U1222" s="238" t="s">
        <v>2276</v>
      </c>
      <c r="V1222" s="238" t="s">
        <v>4640</v>
      </c>
      <c r="AB1222" s="1" t="s">
        <v>3822</v>
      </c>
    </row>
    <row r="1223" spans="1:28" ht="11.25" customHeight="1">
      <c r="A1223" s="233">
        <v>41280</v>
      </c>
      <c r="B1223" s="1" t="s">
        <v>4636</v>
      </c>
      <c r="C1223" s="1" t="s">
        <v>2259</v>
      </c>
      <c r="D1223" s="5" t="s">
        <v>4641</v>
      </c>
      <c r="E1223" s="1" t="s">
        <v>4642</v>
      </c>
      <c r="F1223" s="1">
        <v>70</v>
      </c>
      <c r="G1223" s="1" t="s">
        <v>3840</v>
      </c>
      <c r="H1223" s="234">
        <v>48</v>
      </c>
      <c r="I1223" s="235">
        <f t="shared" si="95"/>
        <v>3360</v>
      </c>
      <c r="K1223" s="241">
        <f>25*70</f>
        <v>1750</v>
      </c>
      <c r="L1223" s="237">
        <v>41291</v>
      </c>
      <c r="M1223" s="1" t="s">
        <v>2262</v>
      </c>
      <c r="N1223" s="235">
        <f t="shared" si="96"/>
        <v>3360</v>
      </c>
      <c r="O1223" s="235">
        <f t="shared" si="97"/>
        <v>0</v>
      </c>
      <c r="P1223" s="238" t="s">
        <v>2276</v>
      </c>
      <c r="Q1223" s="1" t="s">
        <v>3886</v>
      </c>
      <c r="R1223" s="239" t="s">
        <v>4639</v>
      </c>
      <c r="S1223" s="238" t="s">
        <v>4639</v>
      </c>
      <c r="T1223" s="238" t="s">
        <v>2276</v>
      </c>
      <c r="U1223" s="238" t="s">
        <v>2276</v>
      </c>
      <c r="V1223" s="238" t="s">
        <v>4640</v>
      </c>
      <c r="AB1223" s="1" t="s">
        <v>3822</v>
      </c>
    </row>
    <row r="1224" spans="1:28" ht="12" customHeight="1">
      <c r="A1224" s="233">
        <v>41280</v>
      </c>
      <c r="B1224" s="1" t="s">
        <v>4636</v>
      </c>
      <c r="C1224" s="1" t="s">
        <v>2259</v>
      </c>
      <c r="D1224" s="5" t="s">
        <v>4643</v>
      </c>
      <c r="E1224" s="225" t="s">
        <v>4644</v>
      </c>
      <c r="F1224" s="1">
        <v>70</v>
      </c>
      <c r="G1224" s="1" t="s">
        <v>4645</v>
      </c>
      <c r="H1224" s="234">
        <v>42</v>
      </c>
      <c r="I1224" s="235">
        <f t="shared" si="95"/>
        <v>2940</v>
      </c>
      <c r="K1224" s="241">
        <f>17.82*70</f>
        <v>1247.4000000000001</v>
      </c>
      <c r="L1224" s="237">
        <v>41291</v>
      </c>
      <c r="M1224" s="1" t="s">
        <v>2262</v>
      </c>
      <c r="N1224" s="235">
        <f t="shared" si="96"/>
        <v>2940</v>
      </c>
      <c r="O1224" s="235">
        <f t="shared" si="97"/>
        <v>0</v>
      </c>
      <c r="P1224" s="238" t="s">
        <v>2276</v>
      </c>
      <c r="Q1224" s="1" t="s">
        <v>3886</v>
      </c>
      <c r="R1224" s="239" t="s">
        <v>4639</v>
      </c>
      <c r="S1224" s="238" t="s">
        <v>4639</v>
      </c>
      <c r="T1224" s="238" t="s">
        <v>2276</v>
      </c>
      <c r="U1224" s="238" t="s">
        <v>2276</v>
      </c>
      <c r="V1224" s="238" t="s">
        <v>4640</v>
      </c>
      <c r="AB1224" s="1" t="s">
        <v>3822</v>
      </c>
    </row>
    <row r="1225" spans="1:28" ht="11.25" customHeight="1">
      <c r="A1225" s="233">
        <v>41280</v>
      </c>
      <c r="B1225" s="1" t="s">
        <v>4636</v>
      </c>
      <c r="C1225" s="1" t="s">
        <v>2259</v>
      </c>
      <c r="D1225" s="5" t="s">
        <v>4646</v>
      </c>
      <c r="E1225" s="1" t="s">
        <v>4647</v>
      </c>
      <c r="F1225" s="1">
        <v>70</v>
      </c>
      <c r="G1225" s="1" t="s">
        <v>3840</v>
      </c>
      <c r="H1225" s="234">
        <v>45</v>
      </c>
      <c r="I1225" s="235">
        <f t="shared" si="95"/>
        <v>3150</v>
      </c>
      <c r="K1225" s="241">
        <f>19.8*70</f>
        <v>1386</v>
      </c>
      <c r="L1225" s="237">
        <v>41291</v>
      </c>
      <c r="M1225" s="1" t="s">
        <v>2262</v>
      </c>
      <c r="N1225" s="235">
        <f t="shared" si="96"/>
        <v>3150</v>
      </c>
      <c r="O1225" s="235">
        <f t="shared" si="97"/>
        <v>0</v>
      </c>
      <c r="P1225" s="238" t="s">
        <v>2276</v>
      </c>
      <c r="Q1225" s="1" t="s">
        <v>3886</v>
      </c>
      <c r="R1225" s="239" t="s">
        <v>4639</v>
      </c>
      <c r="S1225" s="238" t="s">
        <v>4639</v>
      </c>
      <c r="T1225" s="238" t="s">
        <v>2276</v>
      </c>
      <c r="U1225" s="238" t="s">
        <v>2276</v>
      </c>
      <c r="V1225" s="238" t="s">
        <v>4640</v>
      </c>
      <c r="AB1225" s="1" t="s">
        <v>3822</v>
      </c>
    </row>
    <row r="1226" spans="1:28">
      <c r="A1226" s="233">
        <v>41280</v>
      </c>
      <c r="B1226" s="1" t="s">
        <v>4648</v>
      </c>
      <c r="C1226" s="1" t="s">
        <v>2259</v>
      </c>
      <c r="D1226" s="5" t="s">
        <v>1227</v>
      </c>
      <c r="E1226" s="1" t="s">
        <v>4649</v>
      </c>
      <c r="F1226" s="225">
        <v>100</v>
      </c>
      <c r="G1226" s="225" t="s">
        <v>3840</v>
      </c>
      <c r="H1226" s="234">
        <v>37.65</v>
      </c>
      <c r="I1226" s="235">
        <f t="shared" si="95"/>
        <v>3765</v>
      </c>
      <c r="K1226" s="241">
        <f>35.6*100</f>
        <v>3560</v>
      </c>
      <c r="L1226" s="237">
        <v>41331</v>
      </c>
      <c r="M1226" s="1" t="s">
        <v>5274</v>
      </c>
      <c r="N1226" s="235">
        <f t="shared" si="96"/>
        <v>3765</v>
      </c>
      <c r="O1226" s="235">
        <f t="shared" si="97"/>
        <v>0</v>
      </c>
      <c r="P1226" s="238" t="s">
        <v>2276</v>
      </c>
      <c r="Q1226" s="1" t="s">
        <v>4650</v>
      </c>
      <c r="R1226" s="239" t="s">
        <v>4651</v>
      </c>
      <c r="S1226" s="238" t="s">
        <v>4652</v>
      </c>
      <c r="T1226" s="238" t="s">
        <v>4653</v>
      </c>
      <c r="U1226" s="238" t="s">
        <v>4654</v>
      </c>
      <c r="V1226" s="238" t="s">
        <v>4655</v>
      </c>
      <c r="W1226" s="236">
        <v>42716</v>
      </c>
      <c r="X1226" s="233">
        <v>41295</v>
      </c>
      <c r="Y1226" s="238" t="s">
        <v>4656</v>
      </c>
      <c r="AB1226" s="1" t="s">
        <v>3838</v>
      </c>
    </row>
    <row r="1227" spans="1:28" ht="11.25" customHeight="1">
      <c r="A1227" s="233">
        <v>41281</v>
      </c>
      <c r="B1227" s="1" t="s">
        <v>4657</v>
      </c>
      <c r="C1227" s="1" t="s">
        <v>2259</v>
      </c>
      <c r="D1227" s="5" t="s">
        <v>2263</v>
      </c>
      <c r="E1227" s="1" t="s">
        <v>2290</v>
      </c>
      <c r="F1227" s="1">
        <v>1000</v>
      </c>
      <c r="G1227" s="1" t="s">
        <v>3831</v>
      </c>
      <c r="H1227" s="234">
        <v>1.65</v>
      </c>
      <c r="I1227" s="235">
        <f t="shared" si="95"/>
        <v>1650</v>
      </c>
      <c r="K1227" s="241">
        <f>1.54*1000</f>
        <v>1540</v>
      </c>
      <c r="L1227" s="237">
        <v>41330</v>
      </c>
      <c r="M1227" s="1" t="s">
        <v>5188</v>
      </c>
      <c r="N1227" s="235">
        <f t="shared" si="96"/>
        <v>1650</v>
      </c>
      <c r="O1227" s="235">
        <f t="shared" si="97"/>
        <v>0</v>
      </c>
      <c r="P1227" s="238" t="s">
        <v>4658</v>
      </c>
      <c r="Q1227" s="1" t="s">
        <v>4659</v>
      </c>
      <c r="R1227" s="239" t="s">
        <v>4660</v>
      </c>
      <c r="S1227" s="238">
        <v>13368068212</v>
      </c>
      <c r="T1227" s="238" t="s">
        <v>2276</v>
      </c>
      <c r="U1227" s="238" t="s">
        <v>2276</v>
      </c>
      <c r="V1227" s="238" t="s">
        <v>5001</v>
      </c>
      <c r="W1227" s="236">
        <v>51540.38</v>
      </c>
      <c r="X1227" s="233">
        <v>41309</v>
      </c>
      <c r="Y1227" s="238" t="s">
        <v>3895</v>
      </c>
      <c r="AB1227" s="1" t="s">
        <v>3838</v>
      </c>
    </row>
    <row r="1228" spans="1:28" ht="11.25" customHeight="1">
      <c r="A1228" s="233">
        <v>41281</v>
      </c>
      <c r="B1228" s="1" t="s">
        <v>4661</v>
      </c>
      <c r="C1228" s="1" t="s">
        <v>2259</v>
      </c>
      <c r="D1228" s="5" t="s">
        <v>857</v>
      </c>
      <c r="E1228" s="1">
        <v>9032</v>
      </c>
      <c r="F1228" s="1">
        <v>100</v>
      </c>
      <c r="G1228" s="1" t="s">
        <v>3840</v>
      </c>
      <c r="H1228" s="234">
        <v>2.1</v>
      </c>
      <c r="I1228" s="235">
        <f t="shared" ref="I1228:I1284" si="98">F1228*H1228</f>
        <v>210</v>
      </c>
      <c r="K1228" s="241">
        <f>1.4929*100</f>
        <v>149.29</v>
      </c>
      <c r="L1228" s="237">
        <v>41298</v>
      </c>
      <c r="M1228" s="1" t="s">
        <v>3841</v>
      </c>
      <c r="N1228" s="235">
        <f t="shared" si="96"/>
        <v>210</v>
      </c>
      <c r="O1228" s="235">
        <f t="shared" si="97"/>
        <v>0</v>
      </c>
      <c r="P1228" s="238" t="s">
        <v>4662</v>
      </c>
      <c r="Q1228" s="1" t="s">
        <v>4165</v>
      </c>
      <c r="R1228" s="239" t="s">
        <v>4663</v>
      </c>
      <c r="S1228" s="238" t="s">
        <v>4664</v>
      </c>
      <c r="T1228" s="238" t="s">
        <v>4665</v>
      </c>
      <c r="U1228" s="238" t="s">
        <v>4666</v>
      </c>
      <c r="V1228" s="238" t="s">
        <v>2286</v>
      </c>
      <c r="AB1228" s="1" t="s">
        <v>3822</v>
      </c>
    </row>
    <row r="1229" spans="1:28" ht="11.25" customHeight="1">
      <c r="A1229" s="233">
        <v>41281</v>
      </c>
      <c r="B1229" s="1" t="s">
        <v>4667</v>
      </c>
      <c r="C1229" s="1" t="s">
        <v>2259</v>
      </c>
      <c r="D1229" s="5" t="s">
        <v>3894</v>
      </c>
      <c r="E1229" s="1">
        <v>52000183617</v>
      </c>
      <c r="F1229" s="1">
        <v>1</v>
      </c>
      <c r="G1229" s="1" t="s">
        <v>3840</v>
      </c>
      <c r="H1229" s="234">
        <v>966</v>
      </c>
      <c r="I1229" s="235">
        <f t="shared" si="98"/>
        <v>966</v>
      </c>
      <c r="K1229" s="241">
        <f>938*1</f>
        <v>938</v>
      </c>
      <c r="L1229" s="237">
        <v>41305</v>
      </c>
      <c r="M1229" s="264" t="s">
        <v>167</v>
      </c>
      <c r="N1229" s="235">
        <f t="shared" si="96"/>
        <v>966</v>
      </c>
      <c r="O1229" s="235">
        <f t="shared" si="97"/>
        <v>0</v>
      </c>
      <c r="P1229" s="238" t="s">
        <v>2276</v>
      </c>
      <c r="Q1229" s="1" t="s">
        <v>3843</v>
      </c>
      <c r="R1229" s="239" t="s">
        <v>4668</v>
      </c>
      <c r="S1229" s="238" t="s">
        <v>1700</v>
      </c>
      <c r="T1229" s="238" t="s">
        <v>1699</v>
      </c>
      <c r="U1229" s="238" t="s">
        <v>4669</v>
      </c>
      <c r="V1229" s="238" t="s">
        <v>5575</v>
      </c>
      <c r="W1229" s="236">
        <v>2806.8</v>
      </c>
      <c r="X1229" s="233">
        <v>41347</v>
      </c>
      <c r="Y1229" s="238" t="s">
        <v>5576</v>
      </c>
      <c r="AB1229" s="225" t="s">
        <v>4670</v>
      </c>
    </row>
    <row r="1230" spans="1:28" ht="11.25" customHeight="1">
      <c r="A1230" s="233">
        <v>41281</v>
      </c>
      <c r="B1230" s="1" t="s">
        <v>4667</v>
      </c>
      <c r="C1230" s="1" t="s">
        <v>2259</v>
      </c>
      <c r="D1230" s="1" t="s">
        <v>1219</v>
      </c>
      <c r="E1230" s="1" t="s">
        <v>2288</v>
      </c>
      <c r="F1230" s="1">
        <v>4</v>
      </c>
      <c r="G1230" s="1" t="s">
        <v>3829</v>
      </c>
      <c r="H1230" s="234">
        <v>13.2</v>
      </c>
      <c r="I1230" s="235">
        <f t="shared" si="98"/>
        <v>52.8</v>
      </c>
      <c r="K1230" s="250">
        <f>12.5*4</f>
        <v>50</v>
      </c>
      <c r="L1230" s="237">
        <v>41305</v>
      </c>
      <c r="M1230" s="264" t="s">
        <v>167</v>
      </c>
      <c r="N1230" s="235">
        <f t="shared" si="96"/>
        <v>52.8</v>
      </c>
      <c r="O1230" s="235">
        <f t="shared" si="97"/>
        <v>0</v>
      </c>
      <c r="P1230" s="238" t="s">
        <v>2276</v>
      </c>
      <c r="Q1230" s="1" t="s">
        <v>3843</v>
      </c>
      <c r="R1230" s="239" t="s">
        <v>4668</v>
      </c>
      <c r="S1230" s="238" t="s">
        <v>1700</v>
      </c>
      <c r="T1230" s="238" t="s">
        <v>1699</v>
      </c>
      <c r="U1230" s="238" t="s">
        <v>4669</v>
      </c>
      <c r="V1230" s="238" t="s">
        <v>5575</v>
      </c>
      <c r="W1230" s="236">
        <v>2806.8</v>
      </c>
      <c r="X1230" s="233">
        <v>41347</v>
      </c>
      <c r="Y1230" s="238" t="s">
        <v>5576</v>
      </c>
      <c r="AB1230" s="225" t="s">
        <v>4670</v>
      </c>
    </row>
    <row r="1231" spans="1:28" ht="11.25" customHeight="1">
      <c r="A1231" s="233">
        <v>41282</v>
      </c>
      <c r="B1231" s="1" t="s">
        <v>4671</v>
      </c>
      <c r="C1231" s="1" t="s">
        <v>2259</v>
      </c>
      <c r="D1231" s="1" t="s">
        <v>1225</v>
      </c>
      <c r="E1231" s="1" t="s">
        <v>4672</v>
      </c>
      <c r="F1231" s="1">
        <v>100</v>
      </c>
      <c r="G1231" s="5" t="s">
        <v>3840</v>
      </c>
      <c r="H1231" s="234">
        <v>6</v>
      </c>
      <c r="I1231" s="235">
        <f t="shared" si="98"/>
        <v>600</v>
      </c>
      <c r="K1231" s="241">
        <f>3.6*100</f>
        <v>360</v>
      </c>
      <c r="L1231" s="237">
        <v>41309</v>
      </c>
      <c r="M1231" s="1" t="s">
        <v>5274</v>
      </c>
      <c r="N1231" s="235">
        <f t="shared" si="96"/>
        <v>600</v>
      </c>
      <c r="O1231" s="235">
        <f t="shared" si="97"/>
        <v>0</v>
      </c>
      <c r="P1231" s="238" t="s">
        <v>4673</v>
      </c>
      <c r="Q1231" s="1" t="s">
        <v>3886</v>
      </c>
      <c r="R1231" s="239" t="s">
        <v>4674</v>
      </c>
      <c r="S1231" s="238" t="s">
        <v>4675</v>
      </c>
      <c r="T1231" s="238" t="s">
        <v>4676</v>
      </c>
      <c r="U1231" s="238" t="s">
        <v>2276</v>
      </c>
      <c r="V1231" s="238" t="s">
        <v>4677</v>
      </c>
      <c r="W1231" s="236">
        <v>600</v>
      </c>
      <c r="X1231" s="233">
        <v>41282</v>
      </c>
      <c r="AA1231" s="282" t="s">
        <v>3860</v>
      </c>
      <c r="AB1231" s="1" t="s">
        <v>3822</v>
      </c>
    </row>
    <row r="1232" spans="1:28" ht="11.25" customHeight="1">
      <c r="A1232" s="233">
        <v>41282</v>
      </c>
      <c r="B1232" s="1" t="s">
        <v>4678</v>
      </c>
      <c r="C1232" s="1" t="s">
        <v>2259</v>
      </c>
      <c r="D1232" s="5" t="s">
        <v>2263</v>
      </c>
      <c r="E1232" s="1" t="s">
        <v>2290</v>
      </c>
      <c r="F1232" s="1">
        <v>1000</v>
      </c>
      <c r="G1232" s="1" t="s">
        <v>3831</v>
      </c>
      <c r="H1232" s="234">
        <v>1.82</v>
      </c>
      <c r="I1232" s="235">
        <f t="shared" si="98"/>
        <v>1820</v>
      </c>
      <c r="K1232" s="241">
        <f>1.54*1000</f>
        <v>1540</v>
      </c>
      <c r="L1232" s="237">
        <v>41282</v>
      </c>
      <c r="M1232" s="1" t="s">
        <v>3841</v>
      </c>
      <c r="N1232" s="235">
        <f t="shared" si="96"/>
        <v>1820</v>
      </c>
      <c r="O1232" s="235">
        <f t="shared" si="97"/>
        <v>0</v>
      </c>
      <c r="P1232" s="238" t="s">
        <v>4679</v>
      </c>
      <c r="Q1232" s="1" t="s">
        <v>4680</v>
      </c>
      <c r="R1232" s="239" t="s">
        <v>4681</v>
      </c>
      <c r="S1232" s="238" t="s">
        <v>4682</v>
      </c>
      <c r="T1232" s="238" t="s">
        <v>4683</v>
      </c>
      <c r="U1232" s="238" t="s">
        <v>4684</v>
      </c>
      <c r="V1232" s="238" t="s">
        <v>4685</v>
      </c>
      <c r="W1232" s="236">
        <v>2500</v>
      </c>
      <c r="X1232" s="233">
        <v>41297</v>
      </c>
      <c r="Y1232" s="238" t="s">
        <v>4686</v>
      </c>
      <c r="AA1232" s="282" t="s">
        <v>3860</v>
      </c>
      <c r="AB1232" s="1" t="s">
        <v>3838</v>
      </c>
    </row>
    <row r="1233" spans="1:28" ht="11.25" customHeight="1">
      <c r="A1233" s="233">
        <v>41282</v>
      </c>
      <c r="B1233" s="1" t="s">
        <v>3839</v>
      </c>
      <c r="C1233" s="1" t="s">
        <v>2259</v>
      </c>
      <c r="D1233" s="5" t="s">
        <v>2281</v>
      </c>
      <c r="E1233" s="1" t="s">
        <v>2282</v>
      </c>
      <c r="F1233" s="1">
        <v>1500</v>
      </c>
      <c r="G1233" s="1" t="s">
        <v>5002</v>
      </c>
      <c r="H1233" s="234">
        <v>1.59</v>
      </c>
      <c r="I1233" s="235">
        <f t="shared" si="98"/>
        <v>2385</v>
      </c>
      <c r="K1233" s="241">
        <f>1.4*1500</f>
        <v>2100</v>
      </c>
      <c r="L1233" s="237">
        <v>41344</v>
      </c>
      <c r="M1233" s="1" t="s">
        <v>166</v>
      </c>
      <c r="N1233" s="235">
        <f t="shared" si="96"/>
        <v>2385</v>
      </c>
      <c r="O1233" s="235">
        <f t="shared" si="97"/>
        <v>0</v>
      </c>
      <c r="P1233" s="238" t="s">
        <v>4687</v>
      </c>
      <c r="Q1233" s="1" t="s">
        <v>4688</v>
      </c>
      <c r="R1233" s="239" t="s">
        <v>3844</v>
      </c>
      <c r="S1233" s="238" t="s">
        <v>3845</v>
      </c>
      <c r="T1233" s="238" t="s">
        <v>4689</v>
      </c>
      <c r="U1233" s="238" t="s">
        <v>4690</v>
      </c>
      <c r="V1233" s="238" t="s">
        <v>2286</v>
      </c>
      <c r="AB1233" s="1" t="s">
        <v>3838</v>
      </c>
    </row>
    <row r="1234" spans="1:28" ht="11.25" customHeight="1">
      <c r="A1234" s="233">
        <v>41282</v>
      </c>
      <c r="B1234" s="1" t="s">
        <v>3839</v>
      </c>
      <c r="C1234" s="1" t="s">
        <v>2259</v>
      </c>
      <c r="D1234" s="1" t="s">
        <v>1720</v>
      </c>
      <c r="E1234" s="1" t="s">
        <v>4691</v>
      </c>
      <c r="F1234" s="1">
        <v>300</v>
      </c>
      <c r="G1234" s="1" t="s">
        <v>3840</v>
      </c>
      <c r="H1234" s="234">
        <v>4.18</v>
      </c>
      <c r="I1234" s="235">
        <f t="shared" si="98"/>
        <v>1254</v>
      </c>
      <c r="K1234" s="241">
        <f>3.63*300</f>
        <v>1089</v>
      </c>
      <c r="L1234" s="237">
        <v>41344</v>
      </c>
      <c r="M1234" s="1" t="s">
        <v>166</v>
      </c>
      <c r="N1234" s="235">
        <f t="shared" si="96"/>
        <v>1254</v>
      </c>
      <c r="O1234" s="235">
        <f t="shared" si="97"/>
        <v>0</v>
      </c>
      <c r="P1234" s="238" t="s">
        <v>4687</v>
      </c>
      <c r="Q1234" s="1" t="s">
        <v>4688</v>
      </c>
      <c r="R1234" s="239" t="s">
        <v>3844</v>
      </c>
      <c r="S1234" s="238" t="s">
        <v>3845</v>
      </c>
      <c r="T1234" s="238" t="s">
        <v>4689</v>
      </c>
      <c r="U1234" s="238" t="s">
        <v>4690</v>
      </c>
      <c r="V1234" s="238" t="s">
        <v>2286</v>
      </c>
      <c r="AB1234" s="1" t="s">
        <v>3838</v>
      </c>
    </row>
    <row r="1235" spans="1:28" ht="11.25" customHeight="1">
      <c r="A1235" s="233">
        <v>41282</v>
      </c>
      <c r="B1235" s="1" t="s">
        <v>3839</v>
      </c>
      <c r="C1235" s="1" t="s">
        <v>2259</v>
      </c>
      <c r="D1235" s="5" t="s">
        <v>4692</v>
      </c>
      <c r="E1235" s="1">
        <v>1270</v>
      </c>
      <c r="F1235" s="1">
        <v>200</v>
      </c>
      <c r="G1235" s="1" t="s">
        <v>3829</v>
      </c>
      <c r="H1235" s="234">
        <v>4.3</v>
      </c>
      <c r="I1235" s="235">
        <f t="shared" si="98"/>
        <v>860</v>
      </c>
      <c r="K1235" s="241">
        <f>4.14*200</f>
        <v>827.99999999999989</v>
      </c>
      <c r="L1235" s="237">
        <v>41344</v>
      </c>
      <c r="M1235" s="1" t="s">
        <v>166</v>
      </c>
      <c r="N1235" s="235">
        <f t="shared" si="96"/>
        <v>860</v>
      </c>
      <c r="O1235" s="235">
        <f t="shared" si="97"/>
        <v>0</v>
      </c>
      <c r="P1235" s="238" t="s">
        <v>4687</v>
      </c>
      <c r="Q1235" s="1" t="s">
        <v>4688</v>
      </c>
      <c r="R1235" s="239" t="s">
        <v>3844</v>
      </c>
      <c r="S1235" s="238" t="s">
        <v>3845</v>
      </c>
      <c r="T1235" s="238" t="s">
        <v>4689</v>
      </c>
      <c r="U1235" s="238" t="s">
        <v>4690</v>
      </c>
      <c r="V1235" s="238" t="s">
        <v>2286</v>
      </c>
      <c r="AB1235" s="1" t="s">
        <v>3838</v>
      </c>
    </row>
    <row r="1236" spans="1:28" ht="11.25" customHeight="1">
      <c r="A1236" s="233">
        <v>41282</v>
      </c>
      <c r="B1236" s="1" t="s">
        <v>3839</v>
      </c>
      <c r="C1236" s="1" t="s">
        <v>2259</v>
      </c>
      <c r="D1236" s="1" t="s">
        <v>3883</v>
      </c>
      <c r="E1236" s="1" t="s">
        <v>4693</v>
      </c>
      <c r="F1236" s="1">
        <v>30</v>
      </c>
      <c r="G1236" s="1" t="s">
        <v>3829</v>
      </c>
      <c r="H1236" s="234">
        <v>16.559999999999999</v>
      </c>
      <c r="I1236" s="235">
        <f t="shared" si="98"/>
        <v>496.79999999999995</v>
      </c>
      <c r="K1236" s="241">
        <f>13.8*30</f>
        <v>414</v>
      </c>
      <c r="L1236" s="237">
        <v>41344</v>
      </c>
      <c r="M1236" s="1" t="s">
        <v>166</v>
      </c>
      <c r="N1236" s="235">
        <f t="shared" si="96"/>
        <v>496.79999999999995</v>
      </c>
      <c r="O1236" s="235">
        <f t="shared" si="97"/>
        <v>0</v>
      </c>
      <c r="P1236" s="238" t="s">
        <v>4687</v>
      </c>
      <c r="Q1236" s="1" t="s">
        <v>4688</v>
      </c>
      <c r="R1236" s="239" t="s">
        <v>3844</v>
      </c>
      <c r="S1236" s="238" t="s">
        <v>3845</v>
      </c>
      <c r="T1236" s="238" t="s">
        <v>4689</v>
      </c>
      <c r="U1236" s="238" t="s">
        <v>4690</v>
      </c>
      <c r="V1236" s="238" t="s">
        <v>2286</v>
      </c>
      <c r="AB1236" s="1" t="s">
        <v>3838</v>
      </c>
    </row>
    <row r="1237" spans="1:28" ht="11.25" customHeight="1">
      <c r="A1237" s="233">
        <v>41282</v>
      </c>
      <c r="B1237" s="1" t="s">
        <v>4657</v>
      </c>
      <c r="C1237" s="1" t="s">
        <v>2259</v>
      </c>
      <c r="D1237" s="5" t="s">
        <v>32</v>
      </c>
      <c r="E1237" s="1" t="s">
        <v>4694</v>
      </c>
      <c r="F1237" s="1">
        <v>80</v>
      </c>
      <c r="G1237" s="1" t="s">
        <v>3829</v>
      </c>
      <c r="H1237" s="234">
        <v>20</v>
      </c>
      <c r="I1237" s="235">
        <f t="shared" si="98"/>
        <v>1600</v>
      </c>
      <c r="K1237" s="241">
        <f>19.43*80</f>
        <v>1554.4</v>
      </c>
      <c r="L1237" s="237">
        <v>41330</v>
      </c>
      <c r="M1237" s="1" t="s">
        <v>5188</v>
      </c>
      <c r="N1237" s="235">
        <f t="shared" si="96"/>
        <v>1600</v>
      </c>
      <c r="O1237" s="235">
        <f t="shared" si="97"/>
        <v>0</v>
      </c>
      <c r="P1237" s="238" t="s">
        <v>4695</v>
      </c>
      <c r="Q1237" s="1" t="s">
        <v>4659</v>
      </c>
      <c r="R1237" s="239" t="s">
        <v>4660</v>
      </c>
      <c r="S1237" s="238">
        <v>13368068212</v>
      </c>
      <c r="T1237" s="238" t="s">
        <v>2276</v>
      </c>
      <c r="U1237" s="238" t="s">
        <v>2276</v>
      </c>
      <c r="V1237" s="238" t="s">
        <v>5001</v>
      </c>
      <c r="W1237" s="236">
        <v>51540.38</v>
      </c>
      <c r="X1237" s="233">
        <v>41309</v>
      </c>
      <c r="Y1237" s="238" t="s">
        <v>3895</v>
      </c>
      <c r="AB1237" s="1" t="s">
        <v>3838</v>
      </c>
    </row>
    <row r="1238" spans="1:28" ht="11.25" customHeight="1">
      <c r="A1238" s="233">
        <v>41283</v>
      </c>
      <c r="B1238" s="1" t="s">
        <v>4154</v>
      </c>
      <c r="C1238" s="1" t="s">
        <v>2259</v>
      </c>
      <c r="D1238" s="5" t="s">
        <v>4696</v>
      </c>
      <c r="E1238" s="1" t="s">
        <v>4697</v>
      </c>
      <c r="F1238" s="1">
        <v>300</v>
      </c>
      <c r="G1238" s="1" t="s">
        <v>4698</v>
      </c>
      <c r="H1238" s="234">
        <v>61.1</v>
      </c>
      <c r="I1238" s="235">
        <f t="shared" si="98"/>
        <v>18330</v>
      </c>
      <c r="K1238" s="241">
        <f>48.555*300</f>
        <v>14566.5</v>
      </c>
      <c r="L1238" s="237">
        <v>41323</v>
      </c>
      <c r="M1238" s="1" t="s">
        <v>5075</v>
      </c>
      <c r="N1238" s="235">
        <f t="shared" si="96"/>
        <v>18330</v>
      </c>
      <c r="O1238" s="235">
        <f t="shared" si="97"/>
        <v>0</v>
      </c>
      <c r="P1238" s="238" t="s">
        <v>2276</v>
      </c>
      <c r="Q1238" s="1" t="s">
        <v>3827</v>
      </c>
      <c r="R1238" s="239" t="s">
        <v>4157</v>
      </c>
      <c r="S1238" s="238" t="s">
        <v>4158</v>
      </c>
      <c r="T1238" s="238" t="s">
        <v>4159</v>
      </c>
      <c r="U1238" s="238" t="s">
        <v>2276</v>
      </c>
      <c r="V1238" s="238" t="s">
        <v>4699</v>
      </c>
      <c r="W1238" s="236">
        <v>18330</v>
      </c>
      <c r="X1238" s="233">
        <v>41295</v>
      </c>
      <c r="Y1238" s="238" t="s">
        <v>2276</v>
      </c>
      <c r="AB1238" s="1" t="s">
        <v>3838</v>
      </c>
    </row>
    <row r="1239" spans="1:28" ht="11.25" customHeight="1">
      <c r="A1239" s="233">
        <v>41283</v>
      </c>
      <c r="B1239" s="1" t="s">
        <v>4700</v>
      </c>
      <c r="C1239" s="1" t="s">
        <v>2259</v>
      </c>
      <c r="D1239" s="1" t="s">
        <v>1216</v>
      </c>
      <c r="E1239" s="1">
        <v>3200</v>
      </c>
      <c r="F1239" s="1">
        <v>4</v>
      </c>
      <c r="G1239" s="1" t="s">
        <v>3840</v>
      </c>
      <c r="H1239" s="234">
        <v>40.200000000000003</v>
      </c>
      <c r="I1239" s="235">
        <f t="shared" si="98"/>
        <v>160.80000000000001</v>
      </c>
      <c r="K1239" s="241">
        <f>20.89*4</f>
        <v>83.56</v>
      </c>
      <c r="L1239" s="237">
        <v>41285</v>
      </c>
      <c r="M1239" s="1" t="s">
        <v>3854</v>
      </c>
      <c r="N1239" s="235">
        <f t="shared" si="96"/>
        <v>160.80000000000001</v>
      </c>
      <c r="O1239" s="235">
        <f t="shared" si="97"/>
        <v>0</v>
      </c>
      <c r="P1239" s="238" t="s">
        <v>4701</v>
      </c>
      <c r="Q1239" s="1" t="s">
        <v>4659</v>
      </c>
      <c r="U1239" s="238" t="s">
        <v>2276</v>
      </c>
      <c r="V1239" s="238" t="s">
        <v>5952</v>
      </c>
      <c r="AB1239" s="1" t="s">
        <v>3822</v>
      </c>
    </row>
    <row r="1240" spans="1:28" ht="11.25" customHeight="1">
      <c r="A1240" s="233">
        <v>41283</v>
      </c>
      <c r="B1240" s="1" t="s">
        <v>4700</v>
      </c>
      <c r="C1240" s="1" t="s">
        <v>2259</v>
      </c>
      <c r="D1240" s="5" t="s">
        <v>348</v>
      </c>
      <c r="E1240" s="1" t="s">
        <v>4702</v>
      </c>
      <c r="F1240" s="1">
        <v>4</v>
      </c>
      <c r="G1240" s="1" t="s">
        <v>3840</v>
      </c>
      <c r="H1240" s="234">
        <v>5.8</v>
      </c>
      <c r="I1240" s="235">
        <f t="shared" si="98"/>
        <v>23.2</v>
      </c>
      <c r="K1240" s="241">
        <f>2.865*4</f>
        <v>11.46</v>
      </c>
      <c r="L1240" s="237">
        <v>41285</v>
      </c>
      <c r="M1240" s="1" t="s">
        <v>3854</v>
      </c>
      <c r="N1240" s="235">
        <f t="shared" si="96"/>
        <v>23.2</v>
      </c>
      <c r="O1240" s="235">
        <f t="shared" si="97"/>
        <v>0</v>
      </c>
      <c r="P1240" s="238" t="s">
        <v>4701</v>
      </c>
      <c r="Q1240" s="1" t="s">
        <v>4659</v>
      </c>
      <c r="U1240" s="238" t="s">
        <v>2276</v>
      </c>
      <c r="V1240" s="238" t="s">
        <v>5952</v>
      </c>
      <c r="AB1240" s="1" t="s">
        <v>3822</v>
      </c>
    </row>
    <row r="1241" spans="1:28" ht="11.25" customHeight="1">
      <c r="A1241" s="233">
        <v>41283</v>
      </c>
      <c r="B1241" s="1" t="s">
        <v>4700</v>
      </c>
      <c r="C1241" s="1" t="s">
        <v>2259</v>
      </c>
      <c r="D1241" s="5" t="s">
        <v>2263</v>
      </c>
      <c r="E1241" s="1" t="s">
        <v>4155</v>
      </c>
      <c r="F1241" s="1">
        <v>50</v>
      </c>
      <c r="G1241" s="1" t="s">
        <v>3831</v>
      </c>
      <c r="H1241" s="234">
        <v>2.2999999999999998</v>
      </c>
      <c r="I1241" s="235">
        <f t="shared" si="98"/>
        <v>114.99999999999999</v>
      </c>
      <c r="K1241" s="241">
        <f>1.24*50</f>
        <v>62</v>
      </c>
      <c r="L1241" s="237">
        <v>41285</v>
      </c>
      <c r="M1241" s="1" t="s">
        <v>3854</v>
      </c>
      <c r="N1241" s="235">
        <f t="shared" si="96"/>
        <v>114.99999999999999</v>
      </c>
      <c r="O1241" s="235">
        <f t="shared" si="97"/>
        <v>0</v>
      </c>
      <c r="P1241" s="238" t="s">
        <v>4701</v>
      </c>
      <c r="Q1241" s="1" t="s">
        <v>4659</v>
      </c>
      <c r="U1241" s="238" t="s">
        <v>2276</v>
      </c>
      <c r="V1241" s="238" t="s">
        <v>5952</v>
      </c>
      <c r="AB1241" s="1" t="s">
        <v>3822</v>
      </c>
    </row>
    <row r="1242" spans="1:28" ht="11.25" customHeight="1">
      <c r="A1242" s="233">
        <v>41284</v>
      </c>
      <c r="B1242" s="1" t="s">
        <v>4703</v>
      </c>
      <c r="C1242" s="1" t="s">
        <v>1335</v>
      </c>
      <c r="D1242" s="95" t="s">
        <v>5040</v>
      </c>
      <c r="E1242" s="1" t="s">
        <v>4704</v>
      </c>
      <c r="F1242" s="1">
        <v>3</v>
      </c>
      <c r="G1242" s="1" t="s">
        <v>4705</v>
      </c>
      <c r="H1242" s="234">
        <v>15</v>
      </c>
      <c r="I1242" s="235">
        <f t="shared" si="98"/>
        <v>45</v>
      </c>
      <c r="K1242" s="241">
        <f>10*3</f>
        <v>30</v>
      </c>
      <c r="L1242" s="237">
        <v>41285</v>
      </c>
      <c r="M1242" s="1" t="s">
        <v>3854</v>
      </c>
      <c r="N1242" s="235">
        <f t="shared" si="96"/>
        <v>45</v>
      </c>
      <c r="O1242" s="235">
        <f t="shared" si="97"/>
        <v>0</v>
      </c>
      <c r="P1242" s="238" t="s">
        <v>4706</v>
      </c>
      <c r="Q1242" s="1" t="s">
        <v>4659</v>
      </c>
      <c r="V1242" s="238" t="s">
        <v>5952</v>
      </c>
      <c r="AB1242" s="1" t="s">
        <v>3822</v>
      </c>
    </row>
    <row r="1243" spans="1:28" ht="11.25" customHeight="1">
      <c r="A1243" s="233">
        <v>41284</v>
      </c>
      <c r="B1243" s="1" t="s">
        <v>4703</v>
      </c>
      <c r="C1243" s="1" t="s">
        <v>1335</v>
      </c>
      <c r="D1243" s="5" t="s">
        <v>1731</v>
      </c>
      <c r="E1243" s="1" t="s">
        <v>4707</v>
      </c>
      <c r="F1243" s="1">
        <v>1</v>
      </c>
      <c r="G1243" s="1" t="s">
        <v>4705</v>
      </c>
      <c r="H1243" s="234">
        <v>8</v>
      </c>
      <c r="I1243" s="235">
        <f t="shared" si="98"/>
        <v>8</v>
      </c>
      <c r="K1243" s="254">
        <v>0</v>
      </c>
      <c r="L1243" s="237">
        <v>41285</v>
      </c>
      <c r="M1243" s="1" t="s">
        <v>3854</v>
      </c>
      <c r="N1243" s="235">
        <f t="shared" si="96"/>
        <v>8</v>
      </c>
      <c r="O1243" s="235">
        <f t="shared" si="97"/>
        <v>0</v>
      </c>
      <c r="P1243" s="238" t="s">
        <v>4708</v>
      </c>
      <c r="Q1243" s="1" t="s">
        <v>4659</v>
      </c>
      <c r="V1243" s="238" t="s">
        <v>5952</v>
      </c>
      <c r="Z1243" s="255" t="s">
        <v>6079</v>
      </c>
      <c r="AB1243" s="1" t="s">
        <v>3822</v>
      </c>
    </row>
    <row r="1244" spans="1:28" ht="11.25" customHeight="1">
      <c r="A1244" s="233">
        <v>41284</v>
      </c>
      <c r="B1244" s="1" t="s">
        <v>4709</v>
      </c>
      <c r="C1244" s="1" t="s">
        <v>1335</v>
      </c>
      <c r="D1244" s="303" t="s">
        <v>5043</v>
      </c>
      <c r="E1244" s="1" t="s">
        <v>4710</v>
      </c>
      <c r="F1244" s="1">
        <v>2</v>
      </c>
      <c r="G1244" s="1" t="s">
        <v>4705</v>
      </c>
      <c r="H1244" s="234">
        <v>15</v>
      </c>
      <c r="I1244" s="235">
        <f t="shared" si="98"/>
        <v>30</v>
      </c>
      <c r="K1244" s="241">
        <f>9.8*2</f>
        <v>19.600000000000001</v>
      </c>
      <c r="L1244" s="237">
        <v>41285</v>
      </c>
      <c r="M1244" s="1" t="s">
        <v>3854</v>
      </c>
      <c r="N1244" s="235">
        <f t="shared" si="96"/>
        <v>30</v>
      </c>
      <c r="O1244" s="235">
        <f t="shared" si="97"/>
        <v>0</v>
      </c>
      <c r="P1244" s="238" t="s">
        <v>4711</v>
      </c>
      <c r="Q1244" s="1" t="s">
        <v>4659</v>
      </c>
      <c r="AB1244" s="1" t="s">
        <v>3822</v>
      </c>
    </row>
    <row r="1245" spans="1:28" ht="11.25" customHeight="1">
      <c r="A1245" s="233">
        <v>41284</v>
      </c>
      <c r="B1245" s="228" t="s">
        <v>1496</v>
      </c>
      <c r="C1245" s="1" t="s">
        <v>2259</v>
      </c>
      <c r="D1245" s="5" t="s">
        <v>4712</v>
      </c>
      <c r="E1245" s="1" t="s">
        <v>4713</v>
      </c>
      <c r="F1245" s="1">
        <v>20</v>
      </c>
      <c r="G1245" s="1" t="s">
        <v>3831</v>
      </c>
      <c r="H1245" s="234">
        <v>78</v>
      </c>
      <c r="I1245" s="235">
        <f t="shared" si="98"/>
        <v>1560</v>
      </c>
      <c r="K1245" s="241">
        <f>73.2*20</f>
        <v>1464</v>
      </c>
      <c r="L1245" s="237">
        <v>41285</v>
      </c>
      <c r="M1245" s="1" t="s">
        <v>2262</v>
      </c>
      <c r="N1245" s="235">
        <f t="shared" si="96"/>
        <v>1560</v>
      </c>
      <c r="O1245" s="235">
        <f t="shared" si="97"/>
        <v>0</v>
      </c>
      <c r="P1245" s="238" t="s">
        <v>4714</v>
      </c>
      <c r="Q1245" s="1" t="s">
        <v>4715</v>
      </c>
      <c r="R1245" s="239" t="s">
        <v>4716</v>
      </c>
      <c r="S1245" s="238" t="s">
        <v>4717</v>
      </c>
      <c r="T1245" s="238" t="s">
        <v>1479</v>
      </c>
      <c r="U1245" s="238" t="s">
        <v>6116</v>
      </c>
      <c r="V1245" s="238" t="s">
        <v>4718</v>
      </c>
      <c r="W1245" s="236">
        <v>4217.3999999999996</v>
      </c>
      <c r="X1245" s="233">
        <v>41288</v>
      </c>
      <c r="Y1245" s="238" t="s">
        <v>5284</v>
      </c>
      <c r="AB1245" s="1" t="s">
        <v>3838</v>
      </c>
    </row>
    <row r="1246" spans="1:28" ht="11.25" customHeight="1">
      <c r="A1246" s="233">
        <v>41285</v>
      </c>
      <c r="B1246" s="1" t="s">
        <v>3839</v>
      </c>
      <c r="C1246" s="1" t="s">
        <v>2259</v>
      </c>
      <c r="D1246" s="1" t="s">
        <v>4719</v>
      </c>
      <c r="E1246" s="1" t="s">
        <v>4720</v>
      </c>
      <c r="F1246" s="1">
        <v>1000</v>
      </c>
      <c r="G1246" s="1" t="s">
        <v>3840</v>
      </c>
      <c r="H1246" s="234">
        <v>1.26</v>
      </c>
      <c r="I1246" s="235">
        <f t="shared" si="98"/>
        <v>1260</v>
      </c>
      <c r="K1246" s="241">
        <f>1.08*1000</f>
        <v>1080</v>
      </c>
      <c r="L1246" s="237">
        <v>41344</v>
      </c>
      <c r="M1246" s="1" t="s">
        <v>166</v>
      </c>
      <c r="N1246" s="235">
        <f t="shared" si="96"/>
        <v>1260</v>
      </c>
      <c r="O1246" s="235">
        <f t="shared" si="97"/>
        <v>0</v>
      </c>
      <c r="P1246" s="238" t="s">
        <v>4721</v>
      </c>
      <c r="Q1246" s="1" t="s">
        <v>4688</v>
      </c>
      <c r="R1246" s="239" t="s">
        <v>3844</v>
      </c>
      <c r="S1246" s="238" t="s">
        <v>3845</v>
      </c>
      <c r="T1246" s="238" t="s">
        <v>4689</v>
      </c>
      <c r="U1246" s="238" t="s">
        <v>4722</v>
      </c>
      <c r="V1246" s="238" t="s">
        <v>176</v>
      </c>
      <c r="AB1246" s="1" t="s">
        <v>3838</v>
      </c>
    </row>
    <row r="1247" spans="1:28" ht="12" customHeight="1">
      <c r="A1247" s="233">
        <v>41288</v>
      </c>
      <c r="B1247" s="1" t="s">
        <v>4723</v>
      </c>
      <c r="C1247" s="1" t="s">
        <v>2259</v>
      </c>
      <c r="D1247" s="225" t="s">
        <v>3894</v>
      </c>
      <c r="E1247" s="1">
        <v>52000183617</v>
      </c>
      <c r="F1247" s="1">
        <v>5</v>
      </c>
      <c r="G1247" s="1" t="s">
        <v>3840</v>
      </c>
      <c r="H1247" s="234">
        <v>950</v>
      </c>
      <c r="I1247" s="235">
        <f t="shared" si="98"/>
        <v>4750</v>
      </c>
      <c r="K1247" s="241">
        <f>938*5</f>
        <v>4690</v>
      </c>
      <c r="L1247" s="237">
        <v>41291</v>
      </c>
      <c r="M1247" s="1" t="s">
        <v>2262</v>
      </c>
      <c r="N1247" s="235">
        <f t="shared" si="96"/>
        <v>4750</v>
      </c>
      <c r="O1247" s="235">
        <f t="shared" si="97"/>
        <v>0</v>
      </c>
      <c r="P1247" s="238" t="s">
        <v>4724</v>
      </c>
      <c r="Q1247" s="1" t="s">
        <v>3827</v>
      </c>
      <c r="R1247" s="247" t="s">
        <v>4725</v>
      </c>
      <c r="S1247" s="246" t="s">
        <v>3688</v>
      </c>
      <c r="T1247" s="246" t="s">
        <v>4726</v>
      </c>
      <c r="V1247" s="238" t="s">
        <v>4727</v>
      </c>
      <c r="W1247" s="236">
        <v>4750</v>
      </c>
      <c r="X1247" s="233">
        <v>41288</v>
      </c>
      <c r="Y1247" s="238" t="s">
        <v>5999</v>
      </c>
      <c r="AB1247" s="1" t="s">
        <v>3838</v>
      </c>
    </row>
    <row r="1248" spans="1:28" ht="12" customHeight="1">
      <c r="A1248" s="233">
        <v>41288</v>
      </c>
      <c r="B1248" s="1" t="s">
        <v>4728</v>
      </c>
      <c r="C1248" s="1" t="s">
        <v>2259</v>
      </c>
      <c r="D1248" s="1" t="s">
        <v>1225</v>
      </c>
      <c r="E1248" s="1" t="s">
        <v>4672</v>
      </c>
      <c r="F1248" s="1">
        <v>200</v>
      </c>
      <c r="G1248" s="1" t="s">
        <v>3840</v>
      </c>
      <c r="H1248" s="234">
        <v>4</v>
      </c>
      <c r="I1248" s="235">
        <f t="shared" si="98"/>
        <v>800</v>
      </c>
      <c r="K1248" s="241">
        <f>3.6*200</f>
        <v>720</v>
      </c>
      <c r="L1248" s="237">
        <v>41303</v>
      </c>
      <c r="M1248" s="1" t="s">
        <v>4919</v>
      </c>
      <c r="N1248" s="235">
        <f t="shared" si="96"/>
        <v>800</v>
      </c>
      <c r="O1248" s="235">
        <f t="shared" si="97"/>
        <v>0</v>
      </c>
      <c r="P1248" s="238" t="s">
        <v>4729</v>
      </c>
      <c r="Q1248" s="1" t="s">
        <v>3827</v>
      </c>
      <c r="R1248" s="239" t="s">
        <v>1875</v>
      </c>
      <c r="S1248" s="238" t="s">
        <v>1875</v>
      </c>
      <c r="T1248" s="238" t="s">
        <v>1875</v>
      </c>
      <c r="U1248" s="238" t="s">
        <v>1875</v>
      </c>
      <c r="V1248" s="238" t="s">
        <v>5300</v>
      </c>
      <c r="W1248" s="236">
        <v>10793</v>
      </c>
      <c r="X1248" s="233">
        <v>41332</v>
      </c>
      <c r="Y1248" s="238" t="s">
        <v>5284</v>
      </c>
      <c r="AB1248" s="1" t="s">
        <v>3838</v>
      </c>
    </row>
    <row r="1249" spans="1:28" ht="11.25" customHeight="1">
      <c r="A1249" s="233">
        <v>41288</v>
      </c>
      <c r="B1249" s="1" t="s">
        <v>4730</v>
      </c>
      <c r="C1249" s="1" t="s">
        <v>2259</v>
      </c>
      <c r="D1249" s="5" t="s">
        <v>2281</v>
      </c>
      <c r="E1249" s="1" t="s">
        <v>2282</v>
      </c>
      <c r="F1249" s="1">
        <v>1000</v>
      </c>
      <c r="G1249" s="1" t="s">
        <v>5002</v>
      </c>
      <c r="H1249" s="234">
        <v>1.65</v>
      </c>
      <c r="I1249" s="235">
        <f t="shared" si="98"/>
        <v>1650</v>
      </c>
      <c r="K1249" s="241">
        <f>1.4*1000</f>
        <v>1400</v>
      </c>
      <c r="L1249" s="237">
        <v>41288</v>
      </c>
      <c r="M1249" s="1" t="s">
        <v>2262</v>
      </c>
      <c r="N1249" s="235">
        <f t="shared" si="96"/>
        <v>1650</v>
      </c>
      <c r="O1249" s="235">
        <f t="shared" si="97"/>
        <v>0</v>
      </c>
      <c r="P1249" s="238" t="s">
        <v>2276</v>
      </c>
      <c r="Q1249" s="1" t="s">
        <v>4731</v>
      </c>
      <c r="R1249" s="239" t="s">
        <v>4732</v>
      </c>
      <c r="S1249" s="238" t="s">
        <v>4733</v>
      </c>
      <c r="T1249" s="238" t="s">
        <v>4734</v>
      </c>
      <c r="U1249" s="238" t="s">
        <v>5212</v>
      </c>
      <c r="AB1249" s="1" t="s">
        <v>3838</v>
      </c>
    </row>
    <row r="1250" spans="1:28">
      <c r="A1250" s="233">
        <v>41288</v>
      </c>
      <c r="B1250" s="1" t="s">
        <v>4648</v>
      </c>
      <c r="C1250" s="1" t="s">
        <v>2259</v>
      </c>
      <c r="D1250" s="1" t="s">
        <v>4735</v>
      </c>
      <c r="E1250" s="1" t="s">
        <v>4736</v>
      </c>
      <c r="F1250" s="1">
        <v>1000</v>
      </c>
      <c r="G1250" s="1" t="s">
        <v>3831</v>
      </c>
      <c r="H1250" s="234">
        <v>9.58</v>
      </c>
      <c r="I1250" s="235">
        <f t="shared" si="98"/>
        <v>9580</v>
      </c>
      <c r="K1250" s="241">
        <f>9.15*1000</f>
        <v>9150</v>
      </c>
      <c r="L1250" s="237">
        <v>41331</v>
      </c>
      <c r="M1250" s="1" t="s">
        <v>5274</v>
      </c>
      <c r="N1250" s="235">
        <f t="shared" si="96"/>
        <v>9580</v>
      </c>
      <c r="O1250" s="235">
        <f t="shared" si="97"/>
        <v>0</v>
      </c>
      <c r="P1250" s="238" t="s">
        <v>2276</v>
      </c>
      <c r="Q1250" s="1" t="s">
        <v>4737</v>
      </c>
      <c r="R1250" s="239" t="s">
        <v>1566</v>
      </c>
      <c r="S1250" s="238" t="s">
        <v>1567</v>
      </c>
      <c r="T1250" s="238" t="s">
        <v>1568</v>
      </c>
      <c r="U1250" s="238" t="s">
        <v>4738</v>
      </c>
      <c r="V1250" s="238" t="s">
        <v>4739</v>
      </c>
      <c r="W1250" s="236">
        <v>42716</v>
      </c>
      <c r="X1250" s="233">
        <v>41295</v>
      </c>
      <c r="Y1250" s="238" t="s">
        <v>4456</v>
      </c>
      <c r="AB1250" s="1" t="s">
        <v>2850</v>
      </c>
    </row>
    <row r="1251" spans="1:28" ht="11.25" customHeight="1">
      <c r="A1251" s="233">
        <v>41288</v>
      </c>
      <c r="B1251" s="1" t="s">
        <v>4494</v>
      </c>
      <c r="C1251" s="1" t="s">
        <v>2851</v>
      </c>
      <c r="D1251" s="5" t="s">
        <v>4740</v>
      </c>
      <c r="E1251" s="1">
        <v>9031</v>
      </c>
      <c r="F1251" s="1">
        <v>50</v>
      </c>
      <c r="G1251" s="1" t="s">
        <v>2862</v>
      </c>
      <c r="H1251" s="234">
        <v>1.63</v>
      </c>
      <c r="I1251" s="235">
        <f t="shared" si="98"/>
        <v>81.5</v>
      </c>
      <c r="K1251" s="241">
        <f>1.4929*50</f>
        <v>74.644999999999996</v>
      </c>
      <c r="L1251" s="237">
        <v>41330</v>
      </c>
      <c r="M1251" s="1" t="s">
        <v>5188</v>
      </c>
      <c r="N1251" s="235">
        <f t="shared" si="96"/>
        <v>81.5</v>
      </c>
      <c r="O1251" s="235">
        <f t="shared" si="97"/>
        <v>0</v>
      </c>
      <c r="P1251" s="238" t="s">
        <v>4741</v>
      </c>
      <c r="Q1251" s="1" t="s">
        <v>4496</v>
      </c>
      <c r="R1251" s="239" t="s">
        <v>4497</v>
      </c>
      <c r="S1251" s="238">
        <v>13368068212</v>
      </c>
      <c r="T1251" s="238" t="s">
        <v>4481</v>
      </c>
      <c r="U1251" s="238" t="s">
        <v>4481</v>
      </c>
      <c r="V1251" s="238" t="s">
        <v>5001</v>
      </c>
      <c r="W1251" s="236">
        <v>51540.38</v>
      </c>
      <c r="X1251" s="233">
        <v>41309</v>
      </c>
      <c r="Y1251" s="238" t="s">
        <v>3895</v>
      </c>
      <c r="AB1251" s="1" t="s">
        <v>2850</v>
      </c>
    </row>
    <row r="1252" spans="1:28" ht="11.25" customHeight="1">
      <c r="A1252" s="233">
        <v>41289</v>
      </c>
      <c r="B1252" s="1" t="s">
        <v>4575</v>
      </c>
      <c r="C1252" s="1" t="s">
        <v>2851</v>
      </c>
      <c r="D1252" s="227" t="s">
        <v>5694</v>
      </c>
      <c r="E1252" s="1" t="s">
        <v>4742</v>
      </c>
      <c r="F1252" s="1">
        <v>2500</v>
      </c>
      <c r="G1252" s="1" t="s">
        <v>4472</v>
      </c>
      <c r="H1252" s="234">
        <v>0.65600000000000003</v>
      </c>
      <c r="I1252" s="235">
        <f>F1252*H1252</f>
        <v>1640</v>
      </c>
      <c r="K1252" s="241">
        <f>0.589*2500</f>
        <v>1472.5</v>
      </c>
      <c r="L1252" s="237">
        <v>41288</v>
      </c>
      <c r="M1252" s="1" t="s">
        <v>2853</v>
      </c>
      <c r="N1252" s="235">
        <f t="shared" si="96"/>
        <v>1640</v>
      </c>
      <c r="O1252" s="235">
        <f t="shared" si="97"/>
        <v>0</v>
      </c>
      <c r="P1252" s="238" t="s">
        <v>4481</v>
      </c>
      <c r="Q1252" s="1" t="s">
        <v>4551</v>
      </c>
      <c r="R1252" s="239" t="s">
        <v>4577</v>
      </c>
      <c r="S1252" s="238" t="s">
        <v>4578</v>
      </c>
      <c r="T1252" s="238" t="s">
        <v>4579</v>
      </c>
      <c r="U1252" s="238" t="s">
        <v>4743</v>
      </c>
      <c r="V1252" s="238" t="s">
        <v>4581</v>
      </c>
      <c r="W1252" s="236">
        <v>97640</v>
      </c>
      <c r="X1252" s="233">
        <v>41297</v>
      </c>
      <c r="Y1252" s="238" t="s">
        <v>4582</v>
      </c>
      <c r="AB1252" s="1" t="s">
        <v>2850</v>
      </c>
    </row>
    <row r="1253" spans="1:28" ht="11.25" customHeight="1">
      <c r="A1253" s="233">
        <v>41289</v>
      </c>
      <c r="B1253" s="1" t="s">
        <v>4583</v>
      </c>
      <c r="C1253" s="1" t="s">
        <v>2851</v>
      </c>
      <c r="D1253" s="5" t="s">
        <v>4571</v>
      </c>
      <c r="E1253" s="1" t="s">
        <v>4541</v>
      </c>
      <c r="F1253" s="1">
        <v>200</v>
      </c>
      <c r="G1253" s="1" t="s">
        <v>2862</v>
      </c>
      <c r="H1253" s="234">
        <v>17.100000000000001</v>
      </c>
      <c r="I1253" s="235">
        <f t="shared" si="98"/>
        <v>3420.0000000000005</v>
      </c>
      <c r="K1253" s="241">
        <f>16.5*200</f>
        <v>3300</v>
      </c>
      <c r="L1253" s="237">
        <v>41289</v>
      </c>
      <c r="M1253" s="1" t="s">
        <v>2853</v>
      </c>
      <c r="N1253" s="235">
        <f t="shared" si="96"/>
        <v>3420.0000000000005</v>
      </c>
      <c r="O1253" s="235">
        <f t="shared" si="97"/>
        <v>0</v>
      </c>
      <c r="P1253" s="238" t="s">
        <v>4481</v>
      </c>
      <c r="Q1253" s="1" t="s">
        <v>4551</v>
      </c>
      <c r="R1253" s="239" t="s">
        <v>4560</v>
      </c>
      <c r="S1253" s="238" t="s">
        <v>4561</v>
      </c>
      <c r="T1253" s="238" t="s">
        <v>4553</v>
      </c>
      <c r="U1253" s="238" t="s">
        <v>4744</v>
      </c>
      <c r="V1253" s="238" t="s">
        <v>4587</v>
      </c>
      <c r="W1253" s="236">
        <v>26733.98</v>
      </c>
      <c r="X1253" s="233">
        <v>41295</v>
      </c>
      <c r="Y1253" s="238" t="s">
        <v>4588</v>
      </c>
      <c r="AB1253" s="1" t="s">
        <v>2850</v>
      </c>
    </row>
    <row r="1254" spans="1:28" ht="11.25" customHeight="1">
      <c r="A1254" s="233">
        <v>41289</v>
      </c>
      <c r="B1254" s="1" t="s">
        <v>4583</v>
      </c>
      <c r="C1254" s="1" t="s">
        <v>2851</v>
      </c>
      <c r="D1254" s="5" t="s">
        <v>4571</v>
      </c>
      <c r="E1254" s="1" t="s">
        <v>4541</v>
      </c>
      <c r="F1254" s="1">
        <v>160</v>
      </c>
      <c r="G1254" s="1" t="s">
        <v>2862</v>
      </c>
      <c r="H1254" s="234">
        <v>18</v>
      </c>
      <c r="I1254" s="235">
        <f t="shared" si="98"/>
        <v>2880</v>
      </c>
      <c r="K1254" s="241">
        <f>17*70+16.5*90</f>
        <v>2675</v>
      </c>
      <c r="L1254" s="237">
        <v>41289</v>
      </c>
      <c r="M1254" s="1" t="s">
        <v>2853</v>
      </c>
      <c r="N1254" s="235">
        <f t="shared" si="96"/>
        <v>2880</v>
      </c>
      <c r="O1254" s="235">
        <f t="shared" si="97"/>
        <v>0</v>
      </c>
      <c r="P1254" s="238" t="s">
        <v>4481</v>
      </c>
      <c r="Q1254" s="1" t="s">
        <v>4551</v>
      </c>
      <c r="R1254" s="239" t="s">
        <v>4560</v>
      </c>
      <c r="S1254" s="238" t="s">
        <v>4561</v>
      </c>
      <c r="T1254" s="238" t="s">
        <v>4553</v>
      </c>
      <c r="U1254" s="238" t="s">
        <v>4744</v>
      </c>
      <c r="V1254" s="238" t="s">
        <v>4587</v>
      </c>
      <c r="W1254" s="236">
        <v>26733.98</v>
      </c>
      <c r="X1254" s="233">
        <v>41295</v>
      </c>
      <c r="Y1254" s="238" t="s">
        <v>4588</v>
      </c>
      <c r="AB1254" s="1" t="s">
        <v>2850</v>
      </c>
    </row>
    <row r="1255" spans="1:28" ht="11.25" customHeight="1">
      <c r="A1255" s="233">
        <v>41289</v>
      </c>
      <c r="B1255" s="1" t="s">
        <v>4583</v>
      </c>
      <c r="C1255" s="1" t="s">
        <v>2851</v>
      </c>
      <c r="D1255" s="5" t="s">
        <v>4483</v>
      </c>
      <c r="E1255" s="1" t="s">
        <v>4506</v>
      </c>
      <c r="F1255" s="1">
        <v>600</v>
      </c>
      <c r="G1255" s="1" t="s">
        <v>232</v>
      </c>
      <c r="H1255" s="234">
        <v>4.96</v>
      </c>
      <c r="I1255" s="235">
        <f t="shared" si="98"/>
        <v>2976</v>
      </c>
      <c r="K1255" s="241">
        <f>4.75*600</f>
        <v>2850</v>
      </c>
      <c r="L1255" s="237">
        <v>41289</v>
      </c>
      <c r="M1255" s="1" t="s">
        <v>2853</v>
      </c>
      <c r="N1255" s="235">
        <f t="shared" si="96"/>
        <v>2976</v>
      </c>
      <c r="O1255" s="235">
        <f t="shared" si="97"/>
        <v>0</v>
      </c>
      <c r="P1255" s="238" t="s">
        <v>4481</v>
      </c>
      <c r="Q1255" s="1" t="s">
        <v>4551</v>
      </c>
      <c r="R1255" s="239" t="s">
        <v>4560</v>
      </c>
      <c r="S1255" s="238" t="s">
        <v>4561</v>
      </c>
      <c r="T1255" s="238" t="s">
        <v>4553</v>
      </c>
      <c r="U1255" s="238" t="s">
        <v>4744</v>
      </c>
      <c r="V1255" s="238" t="s">
        <v>4587</v>
      </c>
      <c r="W1255" s="236">
        <v>26733.98</v>
      </c>
      <c r="X1255" s="233">
        <v>41295</v>
      </c>
      <c r="Y1255" s="238" t="s">
        <v>4588</v>
      </c>
      <c r="AB1255" s="1" t="s">
        <v>2850</v>
      </c>
    </row>
    <row r="1256" spans="1:28" ht="11.25" customHeight="1">
      <c r="A1256" s="233">
        <v>41289</v>
      </c>
      <c r="B1256" s="1" t="s">
        <v>4485</v>
      </c>
      <c r="C1256" s="1" t="s">
        <v>2851</v>
      </c>
      <c r="D1256" s="1" t="s">
        <v>1216</v>
      </c>
      <c r="E1256" s="1">
        <v>3200</v>
      </c>
      <c r="F1256" s="1">
        <v>5</v>
      </c>
      <c r="G1256" s="1" t="s">
        <v>2862</v>
      </c>
      <c r="H1256" s="234">
        <v>28.2</v>
      </c>
      <c r="I1256" s="235">
        <f t="shared" si="98"/>
        <v>141</v>
      </c>
      <c r="K1256" s="241">
        <f>23.94*5</f>
        <v>119.7</v>
      </c>
      <c r="L1256" s="237">
        <v>41302</v>
      </c>
      <c r="M1256" s="1" t="s">
        <v>4486</v>
      </c>
      <c r="N1256" s="235">
        <f t="shared" si="96"/>
        <v>141</v>
      </c>
      <c r="O1256" s="235">
        <f t="shared" si="97"/>
        <v>0</v>
      </c>
      <c r="P1256" s="238" t="s">
        <v>4745</v>
      </c>
      <c r="Q1256" s="1" t="s">
        <v>4488</v>
      </c>
      <c r="R1256" s="239" t="s">
        <v>4489</v>
      </c>
      <c r="S1256" s="238" t="s">
        <v>4490</v>
      </c>
      <c r="T1256" s="238" t="s">
        <v>4491</v>
      </c>
      <c r="AB1256" s="1" t="s">
        <v>2850</v>
      </c>
    </row>
    <row r="1257" spans="1:28" ht="11.25" customHeight="1">
      <c r="A1257" s="233">
        <v>41289</v>
      </c>
      <c r="B1257" s="1" t="s">
        <v>4485</v>
      </c>
      <c r="C1257" s="1" t="s">
        <v>2851</v>
      </c>
      <c r="D1257" s="5" t="s">
        <v>348</v>
      </c>
      <c r="E1257" s="1" t="s">
        <v>4746</v>
      </c>
      <c r="F1257" s="1">
        <v>5</v>
      </c>
      <c r="G1257" s="1" t="s">
        <v>2862</v>
      </c>
      <c r="H1257" s="234">
        <v>3.56</v>
      </c>
      <c r="I1257" s="235">
        <f t="shared" si="98"/>
        <v>17.8</v>
      </c>
      <c r="K1257" s="241">
        <f>3.09*5</f>
        <v>15.45</v>
      </c>
      <c r="L1257" s="237">
        <v>41302</v>
      </c>
      <c r="M1257" s="1" t="s">
        <v>4486</v>
      </c>
      <c r="N1257" s="235">
        <f t="shared" si="96"/>
        <v>17.8</v>
      </c>
      <c r="O1257" s="235">
        <f t="shared" si="97"/>
        <v>0</v>
      </c>
      <c r="P1257" s="238" t="s">
        <v>4745</v>
      </c>
      <c r="Q1257" s="1" t="s">
        <v>4488</v>
      </c>
      <c r="R1257" s="239" t="s">
        <v>4489</v>
      </c>
      <c r="S1257" s="238" t="s">
        <v>4490</v>
      </c>
      <c r="T1257" s="238" t="s">
        <v>4491</v>
      </c>
      <c r="AB1257" s="1" t="s">
        <v>2850</v>
      </c>
    </row>
    <row r="1258" spans="1:28" ht="11.25" customHeight="1">
      <c r="A1258" s="233">
        <v>41289</v>
      </c>
      <c r="B1258" s="1" t="s">
        <v>4485</v>
      </c>
      <c r="C1258" s="1" t="s">
        <v>2851</v>
      </c>
      <c r="D1258" s="5" t="s">
        <v>4483</v>
      </c>
      <c r="E1258" s="1" t="s">
        <v>4747</v>
      </c>
      <c r="F1258" s="1">
        <v>5</v>
      </c>
      <c r="G1258" s="1" t="s">
        <v>2852</v>
      </c>
      <c r="H1258" s="234">
        <v>1.84</v>
      </c>
      <c r="I1258" s="235">
        <f t="shared" si="98"/>
        <v>9.2000000000000011</v>
      </c>
      <c r="K1258" s="241">
        <f>1.54*5</f>
        <v>7.7</v>
      </c>
      <c r="L1258" s="237">
        <v>41302</v>
      </c>
      <c r="M1258" s="1" t="s">
        <v>4486</v>
      </c>
      <c r="N1258" s="235">
        <f t="shared" si="96"/>
        <v>9.2000000000000011</v>
      </c>
      <c r="O1258" s="235">
        <f t="shared" si="97"/>
        <v>0</v>
      </c>
      <c r="P1258" s="238" t="s">
        <v>4745</v>
      </c>
      <c r="Q1258" s="1" t="s">
        <v>4488</v>
      </c>
      <c r="R1258" s="239" t="s">
        <v>4489</v>
      </c>
      <c r="S1258" s="238" t="s">
        <v>4490</v>
      </c>
      <c r="T1258" s="238" t="s">
        <v>4491</v>
      </c>
      <c r="AB1258" s="1" t="s">
        <v>2850</v>
      </c>
    </row>
    <row r="1259" spans="1:28">
      <c r="A1259" s="233">
        <v>41289</v>
      </c>
      <c r="B1259" s="1" t="s">
        <v>4748</v>
      </c>
      <c r="C1259" s="1" t="s">
        <v>2851</v>
      </c>
      <c r="D1259" s="225" t="s">
        <v>274</v>
      </c>
      <c r="E1259" s="1" t="s">
        <v>4749</v>
      </c>
      <c r="F1259" s="1">
        <v>720</v>
      </c>
      <c r="G1259" s="1" t="s">
        <v>2862</v>
      </c>
      <c r="H1259" s="234">
        <v>29.8</v>
      </c>
      <c r="I1259" s="235">
        <f t="shared" si="98"/>
        <v>21456</v>
      </c>
      <c r="K1259" s="241">
        <f>29.2*720</f>
        <v>21024</v>
      </c>
      <c r="L1259" s="237">
        <v>41331</v>
      </c>
      <c r="M1259" s="1" t="s">
        <v>5274</v>
      </c>
      <c r="N1259" s="235">
        <f t="shared" si="96"/>
        <v>21456</v>
      </c>
      <c r="O1259" s="235">
        <f t="shared" si="97"/>
        <v>0</v>
      </c>
      <c r="P1259" s="238" t="s">
        <v>4481</v>
      </c>
      <c r="Q1259" s="1" t="s">
        <v>4551</v>
      </c>
      <c r="R1259" s="239" t="s">
        <v>4750</v>
      </c>
      <c r="S1259" s="238" t="s">
        <v>4751</v>
      </c>
      <c r="T1259" s="238" t="s">
        <v>4752</v>
      </c>
      <c r="U1259" s="238" t="s">
        <v>4753</v>
      </c>
      <c r="V1259" s="238" t="s">
        <v>4739</v>
      </c>
      <c r="W1259" s="236">
        <v>42716</v>
      </c>
      <c r="X1259" s="233">
        <v>41295</v>
      </c>
      <c r="Y1259" s="238" t="s">
        <v>4456</v>
      </c>
      <c r="AB1259" s="1" t="s">
        <v>2850</v>
      </c>
    </row>
    <row r="1260" spans="1:28">
      <c r="A1260" s="233">
        <v>41289</v>
      </c>
      <c r="B1260" s="1" t="s">
        <v>4748</v>
      </c>
      <c r="C1260" s="1" t="s">
        <v>2851</v>
      </c>
      <c r="D1260" s="225" t="s">
        <v>4483</v>
      </c>
      <c r="E1260" s="1" t="s">
        <v>4506</v>
      </c>
      <c r="F1260" s="1">
        <v>1200</v>
      </c>
      <c r="G1260" s="1" t="s">
        <v>232</v>
      </c>
      <c r="H1260" s="234">
        <v>5.3</v>
      </c>
      <c r="I1260" s="235">
        <f t="shared" si="98"/>
        <v>6360</v>
      </c>
      <c r="K1260" s="241">
        <f>4.75*1200</f>
        <v>5700</v>
      </c>
      <c r="L1260" s="237">
        <v>41331</v>
      </c>
      <c r="M1260" s="1" t="s">
        <v>5274</v>
      </c>
      <c r="N1260" s="235">
        <f t="shared" si="96"/>
        <v>6360</v>
      </c>
      <c r="O1260" s="235">
        <f t="shared" si="97"/>
        <v>0</v>
      </c>
      <c r="P1260" s="238" t="s">
        <v>4481</v>
      </c>
      <c r="Q1260" s="1" t="s">
        <v>4551</v>
      </c>
      <c r="R1260" s="239" t="s">
        <v>4750</v>
      </c>
      <c r="S1260" s="238" t="s">
        <v>4751</v>
      </c>
      <c r="T1260" s="238" t="s">
        <v>4752</v>
      </c>
      <c r="U1260" s="238" t="s">
        <v>4753</v>
      </c>
      <c r="V1260" s="238" t="s">
        <v>4739</v>
      </c>
      <c r="W1260" s="236">
        <v>42716</v>
      </c>
      <c r="X1260" s="233">
        <v>41295</v>
      </c>
      <c r="Y1260" s="238" t="s">
        <v>4456</v>
      </c>
      <c r="AB1260" s="1" t="s">
        <v>2850</v>
      </c>
    </row>
    <row r="1261" spans="1:28">
      <c r="A1261" s="233">
        <v>41289</v>
      </c>
      <c r="B1261" s="1" t="s">
        <v>4494</v>
      </c>
      <c r="C1261" s="1" t="s">
        <v>2851</v>
      </c>
      <c r="D1261" s="5" t="s">
        <v>4493</v>
      </c>
      <c r="E1261" s="1" t="s">
        <v>4538</v>
      </c>
      <c r="F1261" s="1">
        <v>85</v>
      </c>
      <c r="G1261" s="1" t="s">
        <v>2862</v>
      </c>
      <c r="H1261" s="234">
        <v>45</v>
      </c>
      <c r="I1261" s="235">
        <f t="shared" si="98"/>
        <v>3825</v>
      </c>
      <c r="K1261" s="241">
        <f>42.7*80+43.7*5</f>
        <v>3634.5</v>
      </c>
      <c r="L1261" s="237">
        <v>41330</v>
      </c>
      <c r="M1261" s="1" t="s">
        <v>5188</v>
      </c>
      <c r="N1261" s="235">
        <f t="shared" si="96"/>
        <v>3825</v>
      </c>
      <c r="O1261" s="235">
        <f t="shared" si="97"/>
        <v>0</v>
      </c>
      <c r="P1261" s="238" t="s">
        <v>4754</v>
      </c>
      <c r="Q1261" s="1" t="s">
        <v>4496</v>
      </c>
      <c r="R1261" s="239" t="s">
        <v>4497</v>
      </c>
      <c r="S1261" s="238">
        <v>13368068212</v>
      </c>
      <c r="T1261" s="238" t="s">
        <v>4481</v>
      </c>
      <c r="U1261" s="238" t="s">
        <v>4481</v>
      </c>
      <c r="V1261" s="238" t="s">
        <v>5001</v>
      </c>
      <c r="W1261" s="236">
        <v>51540.38</v>
      </c>
      <c r="X1261" s="233">
        <v>41309</v>
      </c>
      <c r="Y1261" s="238" t="s">
        <v>3895</v>
      </c>
      <c r="AB1261" s="1" t="s">
        <v>2850</v>
      </c>
    </row>
    <row r="1262" spans="1:28">
      <c r="A1262" s="233">
        <v>41289</v>
      </c>
      <c r="B1262" s="1" t="s">
        <v>4494</v>
      </c>
      <c r="C1262" s="1" t="s">
        <v>2851</v>
      </c>
      <c r="D1262" s="1" t="s">
        <v>4755</v>
      </c>
      <c r="E1262" s="1" t="s">
        <v>4756</v>
      </c>
      <c r="F1262" s="1">
        <v>100</v>
      </c>
      <c r="G1262" s="1" t="s">
        <v>2852</v>
      </c>
      <c r="H1262" s="234">
        <v>9.42</v>
      </c>
      <c r="I1262" s="235">
        <f t="shared" si="98"/>
        <v>942</v>
      </c>
      <c r="K1262" s="241">
        <f>9.15*100</f>
        <v>915</v>
      </c>
      <c r="L1262" s="237">
        <v>41330</v>
      </c>
      <c r="M1262" s="1" t="s">
        <v>5188</v>
      </c>
      <c r="N1262" s="235">
        <f t="shared" si="96"/>
        <v>942</v>
      </c>
      <c r="O1262" s="235">
        <f t="shared" si="97"/>
        <v>0</v>
      </c>
      <c r="P1262" s="238" t="s">
        <v>4754</v>
      </c>
      <c r="Q1262" s="1" t="s">
        <v>4496</v>
      </c>
      <c r="R1262" s="239" t="s">
        <v>4497</v>
      </c>
      <c r="S1262" s="238">
        <v>13368068212</v>
      </c>
      <c r="T1262" s="238" t="s">
        <v>4481</v>
      </c>
      <c r="U1262" s="238" t="s">
        <v>4481</v>
      </c>
      <c r="V1262" s="238" t="s">
        <v>5001</v>
      </c>
      <c r="W1262" s="236">
        <v>51540.38</v>
      </c>
      <c r="X1262" s="233">
        <v>41309</v>
      </c>
      <c r="Y1262" s="238" t="s">
        <v>3895</v>
      </c>
      <c r="AB1262" s="1" t="s">
        <v>2850</v>
      </c>
    </row>
    <row r="1263" spans="1:28">
      <c r="A1263" s="233">
        <v>41289</v>
      </c>
      <c r="B1263" s="1" t="s">
        <v>4494</v>
      </c>
      <c r="C1263" s="1" t="s">
        <v>2851</v>
      </c>
      <c r="D1263" s="5" t="s">
        <v>4537</v>
      </c>
      <c r="E1263" s="1" t="s">
        <v>4757</v>
      </c>
      <c r="F1263" s="1">
        <v>6</v>
      </c>
      <c r="G1263" s="1" t="s">
        <v>4472</v>
      </c>
      <c r="H1263" s="234">
        <v>4.4800000000000004</v>
      </c>
      <c r="I1263" s="235">
        <f t="shared" si="98"/>
        <v>26.880000000000003</v>
      </c>
      <c r="K1263" s="241">
        <f>4.31*6</f>
        <v>25.86</v>
      </c>
      <c r="L1263" s="237">
        <v>41330</v>
      </c>
      <c r="M1263" s="1" t="s">
        <v>5188</v>
      </c>
      <c r="N1263" s="235">
        <f t="shared" si="96"/>
        <v>26.880000000000003</v>
      </c>
      <c r="O1263" s="235">
        <f t="shared" si="97"/>
        <v>0</v>
      </c>
      <c r="P1263" s="238" t="s">
        <v>4754</v>
      </c>
      <c r="Q1263" s="1" t="s">
        <v>4496</v>
      </c>
      <c r="R1263" s="239" t="s">
        <v>4497</v>
      </c>
      <c r="S1263" s="238">
        <v>13368068212</v>
      </c>
      <c r="T1263" s="238" t="s">
        <v>4481</v>
      </c>
      <c r="U1263" s="238" t="s">
        <v>4481</v>
      </c>
      <c r="V1263" s="238" t="s">
        <v>5001</v>
      </c>
      <c r="W1263" s="236">
        <v>51540.38</v>
      </c>
      <c r="X1263" s="233">
        <v>41309</v>
      </c>
      <c r="Y1263" s="238" t="s">
        <v>3895</v>
      </c>
      <c r="AB1263" s="1" t="s">
        <v>2850</v>
      </c>
    </row>
    <row r="1264" spans="1:28">
      <c r="A1264" s="233">
        <v>41289</v>
      </c>
      <c r="B1264" s="1" t="s">
        <v>4494</v>
      </c>
      <c r="C1264" s="1" t="s">
        <v>2851</v>
      </c>
      <c r="D1264" s="1" t="s">
        <v>1219</v>
      </c>
      <c r="E1264" s="1" t="s">
        <v>4504</v>
      </c>
      <c r="F1264" s="1">
        <v>180</v>
      </c>
      <c r="G1264" s="1" t="s">
        <v>4472</v>
      </c>
      <c r="H1264" s="234">
        <v>13.2</v>
      </c>
      <c r="I1264" s="235">
        <f t="shared" si="98"/>
        <v>2376</v>
      </c>
      <c r="K1264" s="250">
        <f>12.5*180</f>
        <v>2250</v>
      </c>
      <c r="L1264" s="237">
        <v>41330</v>
      </c>
      <c r="M1264" s="1" t="s">
        <v>5188</v>
      </c>
      <c r="N1264" s="235">
        <f t="shared" si="96"/>
        <v>2376</v>
      </c>
      <c r="O1264" s="235">
        <f t="shared" si="97"/>
        <v>0</v>
      </c>
      <c r="P1264" s="238" t="s">
        <v>4754</v>
      </c>
      <c r="Q1264" s="1" t="s">
        <v>4496</v>
      </c>
      <c r="R1264" s="239" t="s">
        <v>4497</v>
      </c>
      <c r="S1264" s="238">
        <v>13368068212</v>
      </c>
      <c r="T1264" s="238" t="s">
        <v>4481</v>
      </c>
      <c r="U1264" s="238" t="s">
        <v>4481</v>
      </c>
      <c r="V1264" s="238" t="s">
        <v>5001</v>
      </c>
      <c r="W1264" s="236">
        <v>51540.38</v>
      </c>
      <c r="X1264" s="233">
        <v>41309</v>
      </c>
      <c r="Y1264" s="238" t="s">
        <v>3895</v>
      </c>
      <c r="AB1264" s="1" t="s">
        <v>2850</v>
      </c>
    </row>
    <row r="1265" spans="1:28" ht="11.25" customHeight="1">
      <c r="A1265" s="233">
        <v>41290</v>
      </c>
      <c r="B1265" s="1" t="s">
        <v>4758</v>
      </c>
      <c r="C1265" s="1" t="s">
        <v>2851</v>
      </c>
      <c r="D1265" s="5" t="s">
        <v>4493</v>
      </c>
      <c r="E1265" s="1">
        <v>6200</v>
      </c>
      <c r="F1265" s="1">
        <v>76</v>
      </c>
      <c r="G1265" s="1" t="s">
        <v>2862</v>
      </c>
      <c r="H1265" s="234">
        <v>79.400000000000006</v>
      </c>
      <c r="I1265" s="235">
        <f>F1265*H1265</f>
        <v>6034.4000000000005</v>
      </c>
      <c r="K1265" s="241">
        <f>42.5*76</f>
        <v>3230</v>
      </c>
      <c r="N1265" s="235">
        <v>0</v>
      </c>
      <c r="O1265" s="235">
        <f t="shared" si="97"/>
        <v>6034.4000000000005</v>
      </c>
      <c r="P1265" s="238" t="s">
        <v>4759</v>
      </c>
      <c r="Q1265" s="1" t="s">
        <v>4760</v>
      </c>
      <c r="R1265" s="239" t="s">
        <v>4761</v>
      </c>
      <c r="S1265" s="238" t="s">
        <v>4762</v>
      </c>
      <c r="T1265" s="238" t="s">
        <v>799</v>
      </c>
      <c r="U1265" s="238" t="s">
        <v>4763</v>
      </c>
      <c r="V1265" s="238" t="s">
        <v>5579</v>
      </c>
      <c r="W1265" s="236">
        <v>29540.799999999999</v>
      </c>
      <c r="X1265" s="233">
        <v>41347</v>
      </c>
      <c r="Y1265" s="238" t="s">
        <v>5590</v>
      </c>
      <c r="AA1265" s="240" t="s">
        <v>2746</v>
      </c>
      <c r="AB1265" s="1" t="s">
        <v>4536</v>
      </c>
    </row>
    <row r="1266" spans="1:28" ht="11.25" customHeight="1">
      <c r="A1266" s="233">
        <v>41290</v>
      </c>
      <c r="B1266" s="1" t="s">
        <v>4758</v>
      </c>
      <c r="C1266" s="1" t="s">
        <v>2851</v>
      </c>
      <c r="D1266" s="5" t="s">
        <v>4571</v>
      </c>
      <c r="E1266" s="1" t="s">
        <v>4541</v>
      </c>
      <c r="F1266" s="1">
        <v>324</v>
      </c>
      <c r="G1266" s="1" t="s">
        <v>2862</v>
      </c>
      <c r="H1266" s="234">
        <v>28.6</v>
      </c>
      <c r="I1266" s="235">
        <f>F1266*H1266</f>
        <v>9266.4</v>
      </c>
      <c r="K1266" s="241">
        <f>17*324</f>
        <v>5508</v>
      </c>
      <c r="N1266" s="235">
        <v>0</v>
      </c>
      <c r="O1266" s="235">
        <f t="shared" si="97"/>
        <v>9266.4</v>
      </c>
      <c r="P1266" s="238" t="s">
        <v>4759</v>
      </c>
      <c r="Q1266" s="1" t="s">
        <v>4760</v>
      </c>
      <c r="R1266" s="239" t="s">
        <v>4761</v>
      </c>
      <c r="S1266" s="238" t="s">
        <v>4762</v>
      </c>
      <c r="T1266" s="238" t="s">
        <v>799</v>
      </c>
      <c r="U1266" s="238" t="s">
        <v>4763</v>
      </c>
      <c r="V1266" s="238" t="s">
        <v>4764</v>
      </c>
      <c r="W1266" s="236">
        <v>9266.4</v>
      </c>
      <c r="X1266" s="233">
        <v>41295</v>
      </c>
      <c r="Y1266" s="238" t="s">
        <v>5324</v>
      </c>
      <c r="AA1266" s="240" t="s">
        <v>2746</v>
      </c>
      <c r="AB1266" s="1" t="s">
        <v>4536</v>
      </c>
    </row>
    <row r="1267" spans="1:28" ht="11.25" customHeight="1">
      <c r="A1267" s="233">
        <v>41290</v>
      </c>
      <c r="B1267" s="1" t="s">
        <v>4758</v>
      </c>
      <c r="C1267" s="1" t="s">
        <v>2851</v>
      </c>
      <c r="D1267" s="5" t="s">
        <v>4483</v>
      </c>
      <c r="E1267" s="1" t="s">
        <v>4506</v>
      </c>
      <c r="F1267" s="1">
        <v>324</v>
      </c>
      <c r="G1267" s="1" t="s">
        <v>232</v>
      </c>
      <c r="H1267" s="234">
        <v>7.99</v>
      </c>
      <c r="I1267" s="235">
        <f>F1267*H1267</f>
        <v>2588.7600000000002</v>
      </c>
      <c r="K1267" s="241">
        <f>4.75*324</f>
        <v>1539</v>
      </c>
      <c r="N1267" s="235">
        <v>0</v>
      </c>
      <c r="O1267" s="235">
        <f t="shared" si="97"/>
        <v>2588.7600000000002</v>
      </c>
      <c r="P1267" s="238" t="s">
        <v>4759</v>
      </c>
      <c r="Q1267" s="1" t="s">
        <v>4760</v>
      </c>
      <c r="R1267" s="239" t="s">
        <v>4761</v>
      </c>
      <c r="S1267" s="238" t="s">
        <v>4762</v>
      </c>
      <c r="T1267" s="238" t="s">
        <v>799</v>
      </c>
      <c r="U1267" s="238" t="s">
        <v>4763</v>
      </c>
      <c r="V1267" s="238" t="s">
        <v>5579</v>
      </c>
      <c r="W1267" s="236">
        <v>29540.799999999999</v>
      </c>
      <c r="X1267" s="233">
        <v>41347</v>
      </c>
      <c r="Y1267" s="238" t="s">
        <v>5590</v>
      </c>
      <c r="AA1267" s="240" t="s">
        <v>2746</v>
      </c>
      <c r="AB1267" s="1" t="s">
        <v>4536</v>
      </c>
    </row>
    <row r="1268" spans="1:28" ht="11.25" customHeight="1">
      <c r="A1268" s="233">
        <v>41290</v>
      </c>
      <c r="B1268" s="1" t="s">
        <v>4758</v>
      </c>
      <c r="C1268" s="1" t="s">
        <v>2851</v>
      </c>
      <c r="D1268" s="5" t="s">
        <v>4542</v>
      </c>
      <c r="E1268" s="1">
        <v>501</v>
      </c>
      <c r="F1268" s="1">
        <v>152</v>
      </c>
      <c r="G1268" s="1" t="s">
        <v>2862</v>
      </c>
      <c r="H1268" s="234">
        <v>2.12</v>
      </c>
      <c r="I1268" s="235">
        <f>F1268*H1268</f>
        <v>322.24</v>
      </c>
      <c r="K1268" s="241">
        <f>1.39*152</f>
        <v>211.27999999999997</v>
      </c>
      <c r="N1268" s="235">
        <v>0</v>
      </c>
      <c r="O1268" s="235">
        <f t="shared" si="97"/>
        <v>322.24</v>
      </c>
      <c r="P1268" s="238" t="s">
        <v>4759</v>
      </c>
      <c r="Q1268" s="1" t="s">
        <v>4760</v>
      </c>
      <c r="R1268" s="239" t="s">
        <v>4761</v>
      </c>
      <c r="S1268" s="238" t="s">
        <v>4762</v>
      </c>
      <c r="T1268" s="238" t="s">
        <v>799</v>
      </c>
      <c r="U1268" s="238" t="s">
        <v>4763</v>
      </c>
      <c r="V1268" s="238" t="s">
        <v>5579</v>
      </c>
      <c r="W1268" s="236">
        <v>29540.799999999999</v>
      </c>
      <c r="X1268" s="233">
        <v>41347</v>
      </c>
      <c r="Y1268" s="238" t="s">
        <v>5590</v>
      </c>
      <c r="AA1268" s="240" t="s">
        <v>2746</v>
      </c>
      <c r="AB1268" s="1" t="s">
        <v>4536</v>
      </c>
    </row>
    <row r="1269" spans="1:28">
      <c r="A1269" s="233">
        <v>41290</v>
      </c>
      <c r="B1269" s="1" t="s">
        <v>4765</v>
      </c>
      <c r="C1269" s="1" t="s">
        <v>2851</v>
      </c>
      <c r="D1269" s="1" t="s">
        <v>857</v>
      </c>
      <c r="E1269" s="1">
        <v>9031</v>
      </c>
      <c r="F1269" s="1">
        <v>10</v>
      </c>
      <c r="G1269" s="1" t="s">
        <v>2862</v>
      </c>
      <c r="H1269" s="234">
        <v>1.8</v>
      </c>
      <c r="I1269" s="235">
        <f t="shared" si="98"/>
        <v>18</v>
      </c>
      <c r="K1269" s="241">
        <f>1.4929*10</f>
        <v>14.928999999999998</v>
      </c>
      <c r="L1269" s="237">
        <v>41290</v>
      </c>
      <c r="M1269" s="1" t="s">
        <v>4486</v>
      </c>
      <c r="N1269" s="235">
        <f t="shared" si="96"/>
        <v>18</v>
      </c>
      <c r="O1269" s="235">
        <f t="shared" ref="O1269:O1297" si="99">I1269-N1269</f>
        <v>0</v>
      </c>
      <c r="P1269" s="238" t="s">
        <v>4766</v>
      </c>
      <c r="Q1269" s="1" t="s">
        <v>4478</v>
      </c>
      <c r="R1269" s="239" t="s">
        <v>1875</v>
      </c>
      <c r="S1269" s="238" t="s">
        <v>1875</v>
      </c>
      <c r="T1269" s="238" t="s">
        <v>1875</v>
      </c>
      <c r="U1269" s="238" t="s">
        <v>1875</v>
      </c>
      <c r="AA1269" s="240" t="s">
        <v>4767</v>
      </c>
      <c r="AB1269" s="1" t="s">
        <v>2850</v>
      </c>
    </row>
    <row r="1270" spans="1:28">
      <c r="A1270" s="233">
        <v>41290</v>
      </c>
      <c r="B1270" s="1" t="s">
        <v>4765</v>
      </c>
      <c r="C1270" s="1" t="s">
        <v>2851</v>
      </c>
      <c r="D1270" s="1" t="s">
        <v>1772</v>
      </c>
      <c r="E1270" s="1" t="s">
        <v>4516</v>
      </c>
      <c r="F1270" s="1">
        <v>10</v>
      </c>
      <c r="G1270" s="1" t="s">
        <v>5002</v>
      </c>
      <c r="H1270" s="234">
        <v>1.8</v>
      </c>
      <c r="I1270" s="235">
        <f t="shared" si="98"/>
        <v>18</v>
      </c>
      <c r="K1270" s="241">
        <f>1.4*10</f>
        <v>14</v>
      </c>
      <c r="L1270" s="237">
        <v>41290</v>
      </c>
      <c r="M1270" s="1" t="s">
        <v>4486</v>
      </c>
      <c r="N1270" s="235">
        <f t="shared" si="96"/>
        <v>18</v>
      </c>
      <c r="O1270" s="235">
        <f t="shared" si="99"/>
        <v>0</v>
      </c>
      <c r="P1270" s="238" t="s">
        <v>4766</v>
      </c>
      <c r="Q1270" s="1" t="s">
        <v>4478</v>
      </c>
      <c r="R1270" s="239" t="s">
        <v>1875</v>
      </c>
      <c r="S1270" s="238" t="s">
        <v>1875</v>
      </c>
      <c r="T1270" s="238" t="s">
        <v>1875</v>
      </c>
      <c r="U1270" s="238" t="s">
        <v>1875</v>
      </c>
      <c r="AA1270" s="240" t="s">
        <v>4767</v>
      </c>
      <c r="AB1270" s="1" t="s">
        <v>2850</v>
      </c>
    </row>
    <row r="1271" spans="1:28">
      <c r="A1271" s="233">
        <v>41290</v>
      </c>
      <c r="B1271" s="1" t="s">
        <v>4494</v>
      </c>
      <c r="C1271" s="1" t="s">
        <v>4768</v>
      </c>
      <c r="D1271" s="95" t="s">
        <v>5040</v>
      </c>
      <c r="E1271" s="1" t="s">
        <v>4769</v>
      </c>
      <c r="F1271" s="1">
        <v>1440</v>
      </c>
      <c r="G1271" s="1" t="s">
        <v>4472</v>
      </c>
      <c r="H1271" s="234">
        <v>10</v>
      </c>
      <c r="I1271" s="235">
        <f t="shared" si="98"/>
        <v>14400</v>
      </c>
      <c r="K1271" s="241">
        <f>9.9*1440</f>
        <v>14256</v>
      </c>
      <c r="L1271" s="237">
        <v>41309</v>
      </c>
      <c r="M1271" s="1" t="s">
        <v>167</v>
      </c>
      <c r="N1271" s="235">
        <f t="shared" si="96"/>
        <v>14400</v>
      </c>
      <c r="O1271" s="235">
        <f t="shared" si="99"/>
        <v>0</v>
      </c>
      <c r="P1271" s="238" t="s">
        <v>4770</v>
      </c>
      <c r="Q1271" s="1" t="s">
        <v>4496</v>
      </c>
      <c r="R1271" s="239" t="s">
        <v>4497</v>
      </c>
      <c r="S1271" s="238">
        <v>13368068212</v>
      </c>
      <c r="T1271" s="238" t="s">
        <v>4481</v>
      </c>
      <c r="U1271" s="238" t="s">
        <v>4481</v>
      </c>
      <c r="V1271" s="238" t="s">
        <v>4771</v>
      </c>
      <c r="W1271" s="236">
        <v>15120</v>
      </c>
      <c r="X1271" s="233">
        <v>41303</v>
      </c>
      <c r="Y1271" s="238" t="s">
        <v>3895</v>
      </c>
      <c r="AB1271" s="1" t="s">
        <v>2850</v>
      </c>
    </row>
    <row r="1272" spans="1:28">
      <c r="A1272" s="233">
        <v>41290</v>
      </c>
      <c r="B1272" s="1" t="s">
        <v>4772</v>
      </c>
      <c r="C1272" s="1" t="s">
        <v>2851</v>
      </c>
      <c r="D1272" s="5" t="s">
        <v>4740</v>
      </c>
      <c r="E1272" s="1">
        <v>9032</v>
      </c>
      <c r="F1272" s="1">
        <v>1000</v>
      </c>
      <c r="G1272" s="1" t="s">
        <v>2862</v>
      </c>
      <c r="H1272" s="234">
        <v>1.9</v>
      </c>
      <c r="I1272" s="235">
        <f t="shared" si="98"/>
        <v>1900</v>
      </c>
      <c r="K1272" s="250">
        <f>1.4929*1000</f>
        <v>1492.8999999999999</v>
      </c>
      <c r="L1272" s="237">
        <v>41290</v>
      </c>
      <c r="M1272" s="1" t="s">
        <v>2863</v>
      </c>
      <c r="N1272" s="235">
        <f t="shared" si="96"/>
        <v>1900</v>
      </c>
      <c r="O1272" s="235">
        <f t="shared" si="99"/>
        <v>0</v>
      </c>
      <c r="P1272" s="238" t="s">
        <v>4773</v>
      </c>
      <c r="Q1272" s="1" t="s">
        <v>4774</v>
      </c>
      <c r="R1272" s="239" t="s">
        <v>4775</v>
      </c>
      <c r="S1272" s="238" t="s">
        <v>4776</v>
      </c>
      <c r="T1272" s="265" t="s">
        <v>4777</v>
      </c>
      <c r="U1272" s="238" t="s">
        <v>4778</v>
      </c>
      <c r="AB1272" s="1" t="s">
        <v>2850</v>
      </c>
    </row>
    <row r="1273" spans="1:28">
      <c r="A1273" s="233">
        <v>41290</v>
      </c>
      <c r="B1273" s="1" t="s">
        <v>4779</v>
      </c>
      <c r="C1273" s="1" t="s">
        <v>4768</v>
      </c>
      <c r="D1273" s="225" t="s">
        <v>4780</v>
      </c>
      <c r="E1273" s="1" t="s">
        <v>4781</v>
      </c>
      <c r="F1273" s="1">
        <v>50</v>
      </c>
      <c r="G1273" s="1" t="s">
        <v>4782</v>
      </c>
      <c r="H1273" s="234">
        <v>14.5</v>
      </c>
      <c r="I1273" s="235">
        <f t="shared" si="98"/>
        <v>725</v>
      </c>
      <c r="K1273" s="250">
        <f>13.96*50</f>
        <v>698</v>
      </c>
      <c r="L1273" s="237">
        <v>41303</v>
      </c>
      <c r="M1273" s="1" t="s">
        <v>4919</v>
      </c>
      <c r="N1273" s="235">
        <f t="shared" si="96"/>
        <v>725</v>
      </c>
      <c r="O1273" s="235">
        <f t="shared" si="99"/>
        <v>0</v>
      </c>
      <c r="P1273" s="238" t="s">
        <v>4783</v>
      </c>
      <c r="Q1273" s="1" t="s">
        <v>4478</v>
      </c>
      <c r="R1273" s="239" t="s">
        <v>1875</v>
      </c>
      <c r="S1273" s="238" t="s">
        <v>1875</v>
      </c>
      <c r="T1273" s="238" t="s">
        <v>1875</v>
      </c>
      <c r="U1273" s="238" t="s">
        <v>1875</v>
      </c>
      <c r="V1273" s="238" t="s">
        <v>5300</v>
      </c>
      <c r="W1273" s="236">
        <v>10793</v>
      </c>
      <c r="X1273" s="233">
        <v>41332</v>
      </c>
      <c r="Y1273" s="238" t="s">
        <v>5284</v>
      </c>
      <c r="AB1273" s="1" t="s">
        <v>2850</v>
      </c>
    </row>
    <row r="1274" spans="1:28">
      <c r="A1274" s="233">
        <v>41290</v>
      </c>
      <c r="B1274" s="1" t="s">
        <v>4784</v>
      </c>
      <c r="C1274" s="1" t="s">
        <v>2851</v>
      </c>
      <c r="D1274" s="1" t="s">
        <v>857</v>
      </c>
      <c r="E1274" s="1">
        <v>9031</v>
      </c>
      <c r="F1274" s="1">
        <v>300</v>
      </c>
      <c r="G1274" s="1" t="s">
        <v>2862</v>
      </c>
      <c r="H1274" s="234">
        <v>2.2999999999999998</v>
      </c>
      <c r="I1274" s="235">
        <f t="shared" si="98"/>
        <v>690</v>
      </c>
      <c r="K1274" s="250">
        <f>1.4929*300</f>
        <v>447.86999999999995</v>
      </c>
      <c r="L1274" s="237">
        <v>41290</v>
      </c>
      <c r="M1274" s="1" t="s">
        <v>4486</v>
      </c>
      <c r="N1274" s="235">
        <f t="shared" si="96"/>
        <v>690</v>
      </c>
      <c r="O1274" s="235">
        <f t="shared" si="99"/>
        <v>0</v>
      </c>
      <c r="P1274" s="238" t="s">
        <v>4785</v>
      </c>
      <c r="Q1274" s="1" t="s">
        <v>4478</v>
      </c>
      <c r="R1274" s="239" t="s">
        <v>4786</v>
      </c>
      <c r="S1274" s="238" t="s">
        <v>4787</v>
      </c>
      <c r="T1274" s="238" t="s">
        <v>4788</v>
      </c>
      <c r="U1274" s="238" t="s">
        <v>1875</v>
      </c>
      <c r="AA1274" s="240" t="s">
        <v>4789</v>
      </c>
      <c r="AB1274" s="1" t="s">
        <v>4536</v>
      </c>
    </row>
    <row r="1275" spans="1:28">
      <c r="A1275" s="233">
        <v>41290</v>
      </c>
      <c r="B1275" s="1" t="s">
        <v>4494</v>
      </c>
      <c r="C1275" s="1" t="s">
        <v>2851</v>
      </c>
      <c r="D1275" s="5" t="s">
        <v>4537</v>
      </c>
      <c r="E1275" s="1">
        <v>1270</v>
      </c>
      <c r="F1275" s="1">
        <v>500</v>
      </c>
      <c r="G1275" s="1" t="s">
        <v>4472</v>
      </c>
      <c r="H1275" s="234">
        <v>4.4800000000000004</v>
      </c>
      <c r="I1275" s="235">
        <f t="shared" si="98"/>
        <v>2240</v>
      </c>
      <c r="K1275" s="250">
        <f>4.31*500</f>
        <v>2155</v>
      </c>
      <c r="L1275" s="237">
        <v>41330</v>
      </c>
      <c r="M1275" s="1" t="s">
        <v>5188</v>
      </c>
      <c r="N1275" s="235">
        <f t="shared" si="96"/>
        <v>2240</v>
      </c>
      <c r="O1275" s="235">
        <f t="shared" si="99"/>
        <v>0</v>
      </c>
      <c r="P1275" s="238" t="s">
        <v>4790</v>
      </c>
      <c r="Q1275" s="1" t="s">
        <v>4496</v>
      </c>
      <c r="R1275" s="239" t="s">
        <v>4497</v>
      </c>
      <c r="S1275" s="238">
        <v>13368068212</v>
      </c>
      <c r="T1275" s="238" t="s">
        <v>4481</v>
      </c>
      <c r="U1275" s="238" t="s">
        <v>4481</v>
      </c>
      <c r="V1275" s="238" t="s">
        <v>5001</v>
      </c>
      <c r="W1275" s="236">
        <v>51540.38</v>
      </c>
      <c r="X1275" s="233">
        <v>41309</v>
      </c>
      <c r="Y1275" s="238" t="s">
        <v>3895</v>
      </c>
      <c r="AB1275" s="1" t="s">
        <v>2850</v>
      </c>
    </row>
    <row r="1276" spans="1:28">
      <c r="A1276" s="233">
        <v>41291</v>
      </c>
      <c r="B1276" s="1" t="s">
        <v>4791</v>
      </c>
      <c r="C1276" s="1" t="s">
        <v>2851</v>
      </c>
      <c r="D1276" s="1" t="s">
        <v>4550</v>
      </c>
      <c r="E1276" s="1">
        <v>8247</v>
      </c>
      <c r="F1276" s="1">
        <v>21</v>
      </c>
      <c r="G1276" s="1" t="s">
        <v>2862</v>
      </c>
      <c r="H1276" s="234">
        <v>13.7</v>
      </c>
      <c r="I1276" s="235">
        <f t="shared" si="98"/>
        <v>287.7</v>
      </c>
      <c r="K1276" s="250">
        <f>12.35*21</f>
        <v>259.34999999999997</v>
      </c>
      <c r="L1276" s="237">
        <v>41291</v>
      </c>
      <c r="M1276" s="1" t="s">
        <v>4486</v>
      </c>
      <c r="N1276" s="235">
        <f t="shared" si="96"/>
        <v>287.7</v>
      </c>
      <c r="O1276" s="235">
        <f t="shared" si="99"/>
        <v>0</v>
      </c>
      <c r="P1276" s="238" t="s">
        <v>4792</v>
      </c>
      <c r="Q1276" s="1" t="s">
        <v>4488</v>
      </c>
      <c r="R1276" s="239" t="s">
        <v>4793</v>
      </c>
      <c r="S1276" s="238" t="s">
        <v>4794</v>
      </c>
      <c r="T1276" s="238" t="s">
        <v>3562</v>
      </c>
      <c r="V1276" s="246" t="s">
        <v>4492</v>
      </c>
      <c r="AB1276" s="5" t="s">
        <v>2850</v>
      </c>
    </row>
    <row r="1277" spans="1:28">
      <c r="A1277" s="233">
        <v>41292</v>
      </c>
      <c r="B1277" s="1" t="s">
        <v>4795</v>
      </c>
      <c r="C1277" s="1" t="s">
        <v>2851</v>
      </c>
      <c r="D1277" s="5" t="s">
        <v>986</v>
      </c>
      <c r="E1277" s="1">
        <v>6800</v>
      </c>
      <c r="F1277" s="1">
        <v>7</v>
      </c>
      <c r="G1277" s="1" t="s">
        <v>2862</v>
      </c>
      <c r="H1277" s="234">
        <v>466.8</v>
      </c>
      <c r="I1277" s="235">
        <f t="shared" si="98"/>
        <v>3267.6</v>
      </c>
      <c r="K1277" s="250">
        <f>425*7</f>
        <v>2975</v>
      </c>
      <c r="L1277" s="237">
        <v>41292</v>
      </c>
      <c r="M1277" s="1" t="s">
        <v>2863</v>
      </c>
      <c r="N1277" s="235">
        <f t="shared" si="96"/>
        <v>3267.6</v>
      </c>
      <c r="O1277" s="235">
        <f t="shared" si="99"/>
        <v>0</v>
      </c>
      <c r="P1277" s="238" t="s">
        <v>4481</v>
      </c>
      <c r="Q1277" s="1" t="s">
        <v>4559</v>
      </c>
      <c r="R1277" s="239" t="s">
        <v>4796</v>
      </c>
      <c r="S1277" s="238" t="s">
        <v>4797</v>
      </c>
      <c r="T1277" s="238" t="s">
        <v>4798</v>
      </c>
      <c r="U1277" s="238" t="s">
        <v>4799</v>
      </c>
      <c r="V1277" s="238" t="s">
        <v>4800</v>
      </c>
      <c r="W1277" s="236">
        <v>5733</v>
      </c>
      <c r="X1277" s="233">
        <v>41292</v>
      </c>
      <c r="Y1277" s="238" t="s">
        <v>4799</v>
      </c>
      <c r="AB1277" s="1" t="s">
        <v>2850</v>
      </c>
    </row>
    <row r="1278" spans="1:28">
      <c r="A1278" s="233">
        <v>41292</v>
      </c>
      <c r="B1278" s="1" t="s">
        <v>4795</v>
      </c>
      <c r="C1278" s="1" t="s">
        <v>2851</v>
      </c>
      <c r="D1278" s="5" t="s">
        <v>4801</v>
      </c>
      <c r="E1278" s="1">
        <v>2078</v>
      </c>
      <c r="F1278" s="1">
        <v>14</v>
      </c>
      <c r="G1278" s="1" t="s">
        <v>2852</v>
      </c>
      <c r="H1278" s="234">
        <v>16.78</v>
      </c>
      <c r="I1278" s="235">
        <f t="shared" si="98"/>
        <v>234.92000000000002</v>
      </c>
      <c r="K1278" s="282">
        <f>20.36*0.7*14</f>
        <v>199.52799999999999</v>
      </c>
      <c r="L1278" s="237">
        <v>41292</v>
      </c>
      <c r="M1278" s="1" t="s">
        <v>2863</v>
      </c>
      <c r="N1278" s="235">
        <f t="shared" si="96"/>
        <v>234.92000000000002</v>
      </c>
      <c r="O1278" s="235">
        <f t="shared" si="99"/>
        <v>0</v>
      </c>
      <c r="P1278" s="238" t="s">
        <v>4481</v>
      </c>
      <c r="Q1278" s="1" t="s">
        <v>4559</v>
      </c>
      <c r="R1278" s="239" t="s">
        <v>4796</v>
      </c>
      <c r="S1278" s="238" t="s">
        <v>4797</v>
      </c>
      <c r="T1278" s="238" t="s">
        <v>4798</v>
      </c>
      <c r="U1278" s="238" t="s">
        <v>4799</v>
      </c>
      <c r="V1278" s="238" t="s">
        <v>4802</v>
      </c>
      <c r="W1278" s="236">
        <v>285.04000000000002</v>
      </c>
      <c r="X1278" s="233">
        <v>41292</v>
      </c>
      <c r="Y1278" s="238" t="s">
        <v>4799</v>
      </c>
      <c r="Z1278" s="255" t="s">
        <v>4540</v>
      </c>
      <c r="AB1278" s="1" t="s">
        <v>2850</v>
      </c>
    </row>
    <row r="1279" spans="1:28">
      <c r="A1279" s="233">
        <v>41292</v>
      </c>
      <c r="B1279" s="1" t="s">
        <v>4803</v>
      </c>
      <c r="C1279" s="1" t="s">
        <v>2851</v>
      </c>
      <c r="D1279" s="5" t="s">
        <v>1227</v>
      </c>
      <c r="E1279" s="1" t="s">
        <v>4624</v>
      </c>
      <c r="F1279" s="1">
        <v>120</v>
      </c>
      <c r="G1279" s="225" t="s">
        <v>2862</v>
      </c>
      <c r="H1279" s="234">
        <v>39</v>
      </c>
      <c r="I1279" s="235">
        <f t="shared" si="98"/>
        <v>4680</v>
      </c>
      <c r="K1279" s="250">
        <f>35.6*120</f>
        <v>4272</v>
      </c>
      <c r="L1279" s="237">
        <v>41292</v>
      </c>
      <c r="M1279" s="1" t="s">
        <v>2853</v>
      </c>
      <c r="N1279" s="235">
        <f t="shared" ref="N1279:N1342" si="100">I1279</f>
        <v>4680</v>
      </c>
      <c r="O1279" s="235">
        <f t="shared" si="99"/>
        <v>0</v>
      </c>
      <c r="P1279" s="238" t="s">
        <v>4481</v>
      </c>
      <c r="Q1279" s="1" t="s">
        <v>4617</v>
      </c>
      <c r="R1279" s="239" t="s">
        <v>4804</v>
      </c>
      <c r="S1279" s="238" t="s">
        <v>4805</v>
      </c>
      <c r="T1279" s="238" t="s">
        <v>4806</v>
      </c>
      <c r="U1279" s="238" t="s">
        <v>4807</v>
      </c>
      <c r="V1279" s="238" t="s">
        <v>4808</v>
      </c>
      <c r="W1279" s="236">
        <v>4680</v>
      </c>
      <c r="X1279" s="233">
        <v>41295</v>
      </c>
      <c r="Y1279" s="238" t="s">
        <v>4809</v>
      </c>
      <c r="AB1279" s="5" t="s">
        <v>2850</v>
      </c>
    </row>
    <row r="1280" spans="1:28">
      <c r="A1280" s="233">
        <v>41292</v>
      </c>
      <c r="B1280" s="1" t="s">
        <v>4810</v>
      </c>
      <c r="C1280" s="1" t="s">
        <v>2851</v>
      </c>
      <c r="D1280" s="5" t="s">
        <v>4566</v>
      </c>
      <c r="E1280" s="1" t="s">
        <v>4567</v>
      </c>
      <c r="F1280" s="1">
        <v>20</v>
      </c>
      <c r="G1280" s="225" t="s">
        <v>4460</v>
      </c>
      <c r="H1280" s="234">
        <v>110</v>
      </c>
      <c r="I1280" s="27">
        <f t="shared" si="98"/>
        <v>2200</v>
      </c>
      <c r="K1280" s="250">
        <f>107.64*18</f>
        <v>1937.52</v>
      </c>
      <c r="L1280" s="237">
        <v>41292</v>
      </c>
      <c r="M1280" s="1" t="s">
        <v>4486</v>
      </c>
      <c r="N1280" s="235">
        <f t="shared" si="100"/>
        <v>2200</v>
      </c>
      <c r="O1280" s="235">
        <f t="shared" si="99"/>
        <v>0</v>
      </c>
      <c r="P1280" s="238" t="s">
        <v>4811</v>
      </c>
      <c r="Q1280" s="1" t="s">
        <v>4478</v>
      </c>
      <c r="R1280" s="239" t="s">
        <v>1875</v>
      </c>
      <c r="S1280" s="238" t="s">
        <v>1875</v>
      </c>
      <c r="T1280" s="238" t="s">
        <v>1875</v>
      </c>
      <c r="U1280" s="238" t="s">
        <v>1875</v>
      </c>
      <c r="V1280" s="238" t="s">
        <v>4812</v>
      </c>
      <c r="W1280" s="236">
        <v>2200</v>
      </c>
      <c r="X1280" s="233">
        <v>41292</v>
      </c>
      <c r="AB1280" s="1" t="s">
        <v>2850</v>
      </c>
    </row>
    <row r="1281" spans="1:28">
      <c r="A1281" s="233">
        <v>41295</v>
      </c>
      <c r="B1281" s="1" t="s">
        <v>4813</v>
      </c>
      <c r="C1281" s="1" t="s">
        <v>2851</v>
      </c>
      <c r="D1281" s="1" t="s">
        <v>87</v>
      </c>
      <c r="E1281" s="1">
        <v>9032</v>
      </c>
      <c r="F1281" s="1">
        <v>500</v>
      </c>
      <c r="G1281" s="1" t="s">
        <v>2862</v>
      </c>
      <c r="H1281" s="234">
        <v>2.4</v>
      </c>
      <c r="I1281" s="236">
        <f>H1281*F1281</f>
        <v>1200</v>
      </c>
      <c r="K1281" s="250">
        <f>1.4929*500</f>
        <v>746.44999999999993</v>
      </c>
      <c r="L1281" s="237">
        <v>41295</v>
      </c>
      <c r="M1281" s="1" t="s">
        <v>2863</v>
      </c>
      <c r="N1281" s="235">
        <f t="shared" si="100"/>
        <v>1200</v>
      </c>
      <c r="O1281" s="235">
        <f t="shared" si="99"/>
        <v>0</v>
      </c>
      <c r="P1281" s="238" t="s">
        <v>4814</v>
      </c>
      <c r="Q1281" s="1" t="s">
        <v>4916</v>
      </c>
      <c r="R1281" s="239" t="s">
        <v>4815</v>
      </c>
      <c r="S1281" s="238" t="s">
        <v>4816</v>
      </c>
      <c r="T1281" s="238" t="s">
        <v>4817</v>
      </c>
      <c r="U1281" s="238" t="s">
        <v>4917</v>
      </c>
      <c r="V1281" s="238" t="s">
        <v>4818</v>
      </c>
      <c r="W1281" s="236">
        <v>1200</v>
      </c>
      <c r="X1281" s="233">
        <v>41295</v>
      </c>
      <c r="Y1281" s="238" t="s">
        <v>6007</v>
      </c>
      <c r="AB1281" s="1" t="s">
        <v>4536</v>
      </c>
    </row>
    <row r="1282" spans="1:28">
      <c r="A1282" s="233">
        <v>41296</v>
      </c>
      <c r="B1282" s="1" t="s">
        <v>4819</v>
      </c>
      <c r="C1282" s="1" t="s">
        <v>2851</v>
      </c>
      <c r="D1282" s="1" t="s">
        <v>1772</v>
      </c>
      <c r="E1282" s="1" t="s">
        <v>4516</v>
      </c>
      <c r="F1282" s="1">
        <v>8000</v>
      </c>
      <c r="G1282" s="1" t="s">
        <v>5002</v>
      </c>
      <c r="H1282" s="234">
        <v>1.82</v>
      </c>
      <c r="I1282" s="235">
        <f t="shared" si="98"/>
        <v>14560</v>
      </c>
      <c r="K1282" s="250">
        <f>1.4*8000</f>
        <v>11200</v>
      </c>
      <c r="L1282" s="237">
        <v>41296</v>
      </c>
      <c r="M1282" s="1" t="s">
        <v>2853</v>
      </c>
      <c r="N1282" s="235">
        <f t="shared" si="100"/>
        <v>14560</v>
      </c>
      <c r="O1282" s="235">
        <f t="shared" si="99"/>
        <v>0</v>
      </c>
      <c r="P1282" s="238" t="s">
        <v>4820</v>
      </c>
      <c r="Q1282" s="1" t="s">
        <v>4488</v>
      </c>
      <c r="R1282" s="239" t="s">
        <v>1875</v>
      </c>
      <c r="S1282" s="238" t="s">
        <v>1875</v>
      </c>
      <c r="T1282" s="238" t="s">
        <v>1875</v>
      </c>
      <c r="U1282" s="238" t="s">
        <v>1875</v>
      </c>
      <c r="V1282" s="238" t="s">
        <v>4915</v>
      </c>
      <c r="W1282" s="236">
        <v>14560</v>
      </c>
      <c r="X1282" s="233">
        <v>41303</v>
      </c>
      <c r="Y1282" s="238" t="s">
        <v>4938</v>
      </c>
      <c r="AB1282" s="1" t="s">
        <v>2850</v>
      </c>
    </row>
    <row r="1283" spans="1:28">
      <c r="A1283" s="233">
        <v>41296</v>
      </c>
      <c r="B1283" s="1" t="s">
        <v>4494</v>
      </c>
      <c r="C1283" s="1" t="s">
        <v>2851</v>
      </c>
      <c r="D1283" s="5" t="s">
        <v>4631</v>
      </c>
      <c r="E1283" s="1">
        <v>6006</v>
      </c>
      <c r="F1283" s="1">
        <v>720</v>
      </c>
      <c r="G1283" s="1" t="s">
        <v>2862</v>
      </c>
      <c r="H1283" s="234">
        <v>50.5</v>
      </c>
      <c r="I1283" s="235">
        <f t="shared" si="98"/>
        <v>36360</v>
      </c>
      <c r="K1283" s="250">
        <f>49.5*720</f>
        <v>35640</v>
      </c>
      <c r="L1283" s="237">
        <v>41330</v>
      </c>
      <c r="M1283" s="1" t="s">
        <v>5188</v>
      </c>
      <c r="N1283" s="235">
        <f t="shared" si="100"/>
        <v>36360</v>
      </c>
      <c r="O1283" s="235">
        <f t="shared" si="99"/>
        <v>0</v>
      </c>
      <c r="P1283" s="238" t="s">
        <v>4821</v>
      </c>
      <c r="Q1283" s="1" t="s">
        <v>4496</v>
      </c>
      <c r="R1283" s="239" t="s">
        <v>4497</v>
      </c>
      <c r="S1283" s="238">
        <v>13368068212</v>
      </c>
      <c r="T1283" s="238" t="s">
        <v>4481</v>
      </c>
      <c r="U1283" s="238" t="s">
        <v>4481</v>
      </c>
      <c r="V1283" s="238" t="s">
        <v>5001</v>
      </c>
      <c r="W1283" s="236">
        <v>51540.38</v>
      </c>
      <c r="X1283" s="233">
        <v>41309</v>
      </c>
      <c r="Y1283" s="238" t="s">
        <v>3895</v>
      </c>
      <c r="AB1283" s="1" t="s">
        <v>2850</v>
      </c>
    </row>
    <row r="1284" spans="1:28">
      <c r="A1284" s="233">
        <v>41296</v>
      </c>
      <c r="B1284" s="1" t="s">
        <v>4494</v>
      </c>
      <c r="C1284" s="1" t="s">
        <v>2851</v>
      </c>
      <c r="D1284" s="1" t="s">
        <v>1219</v>
      </c>
      <c r="E1284" s="1" t="s">
        <v>4504</v>
      </c>
      <c r="F1284" s="1">
        <v>70</v>
      </c>
      <c r="G1284" s="1" t="s">
        <v>4472</v>
      </c>
      <c r="H1284" s="234">
        <v>13.2</v>
      </c>
      <c r="I1284" s="235">
        <f t="shared" si="98"/>
        <v>924</v>
      </c>
      <c r="K1284" s="250">
        <f>12.6*70</f>
        <v>882</v>
      </c>
      <c r="L1284" s="237">
        <v>41330</v>
      </c>
      <c r="M1284" s="1" t="s">
        <v>5188</v>
      </c>
      <c r="N1284" s="235">
        <f t="shared" si="100"/>
        <v>924</v>
      </c>
      <c r="O1284" s="235">
        <f t="shared" si="99"/>
        <v>0</v>
      </c>
      <c r="P1284" s="238" t="s">
        <v>4821</v>
      </c>
      <c r="Q1284" s="1" t="s">
        <v>4496</v>
      </c>
      <c r="R1284" s="239" t="s">
        <v>4497</v>
      </c>
      <c r="S1284" s="238">
        <v>13368068212</v>
      </c>
      <c r="T1284" s="238" t="s">
        <v>4481</v>
      </c>
      <c r="U1284" s="238" t="s">
        <v>4481</v>
      </c>
      <c r="V1284" s="238" t="s">
        <v>5001</v>
      </c>
      <c r="W1284" s="236">
        <v>51540.38</v>
      </c>
      <c r="X1284" s="233">
        <v>41309</v>
      </c>
      <c r="Y1284" s="238" t="s">
        <v>3895</v>
      </c>
      <c r="AB1284" s="1" t="s">
        <v>2850</v>
      </c>
    </row>
    <row r="1285" spans="1:28">
      <c r="A1285" s="233">
        <v>41296</v>
      </c>
      <c r="B1285" s="1" t="s">
        <v>4822</v>
      </c>
      <c r="C1285" s="1" t="s">
        <v>4823</v>
      </c>
      <c r="D1285" s="225" t="s">
        <v>1800</v>
      </c>
      <c r="E1285" s="225" t="s">
        <v>1799</v>
      </c>
      <c r="F1285" s="225">
        <v>3</v>
      </c>
      <c r="G1285" s="1" t="s">
        <v>2862</v>
      </c>
      <c r="H1285" s="234">
        <v>88</v>
      </c>
      <c r="I1285" s="235">
        <f t="shared" ref="I1285:I1303" si="101">H1285*F1285</f>
        <v>264</v>
      </c>
      <c r="K1285" s="250">
        <f>75*3</f>
        <v>225</v>
      </c>
      <c r="L1285" s="237">
        <v>41304</v>
      </c>
      <c r="M1285" s="1" t="s">
        <v>4928</v>
      </c>
      <c r="N1285" s="235">
        <f t="shared" si="100"/>
        <v>264</v>
      </c>
      <c r="O1285" s="235">
        <f t="shared" si="99"/>
        <v>0</v>
      </c>
      <c r="P1285" s="238" t="s">
        <v>4824</v>
      </c>
      <c r="Q1285" s="1" t="s">
        <v>4496</v>
      </c>
      <c r="R1285" s="239" t="s">
        <v>4825</v>
      </c>
      <c r="S1285" s="238" t="s">
        <v>4825</v>
      </c>
      <c r="T1285" s="238" t="s">
        <v>4481</v>
      </c>
      <c r="U1285" s="238" t="s">
        <v>4481</v>
      </c>
      <c r="V1285" s="238" t="s">
        <v>4492</v>
      </c>
      <c r="AB1285" s="5" t="s">
        <v>4536</v>
      </c>
    </row>
    <row r="1286" spans="1:28">
      <c r="A1286" s="233">
        <v>41296</v>
      </c>
      <c r="B1286" s="1" t="s">
        <v>4822</v>
      </c>
      <c r="C1286" s="1" t="s">
        <v>4823</v>
      </c>
      <c r="D1286" s="225" t="s">
        <v>4826</v>
      </c>
      <c r="E1286" s="225" t="s">
        <v>1798</v>
      </c>
      <c r="F1286" s="225">
        <v>3</v>
      </c>
      <c r="G1286" s="1" t="s">
        <v>2862</v>
      </c>
      <c r="H1286" s="234">
        <v>48</v>
      </c>
      <c r="I1286" s="235">
        <f t="shared" si="101"/>
        <v>144</v>
      </c>
      <c r="K1286" s="250">
        <f>25*3</f>
        <v>75</v>
      </c>
      <c r="L1286" s="237">
        <v>41304</v>
      </c>
      <c r="M1286" s="1" t="s">
        <v>4928</v>
      </c>
      <c r="N1286" s="235">
        <f t="shared" si="100"/>
        <v>144</v>
      </c>
      <c r="O1286" s="235">
        <f t="shared" si="99"/>
        <v>0</v>
      </c>
      <c r="P1286" s="238" t="s">
        <v>4824</v>
      </c>
      <c r="Q1286" s="1" t="s">
        <v>4496</v>
      </c>
      <c r="R1286" s="239" t="s">
        <v>4825</v>
      </c>
      <c r="S1286" s="238" t="s">
        <v>4825</v>
      </c>
      <c r="T1286" s="238" t="s">
        <v>4481</v>
      </c>
      <c r="U1286" s="238" t="s">
        <v>4481</v>
      </c>
      <c r="V1286" s="238" t="s">
        <v>4492</v>
      </c>
      <c r="AB1286" s="5" t="s">
        <v>4536</v>
      </c>
    </row>
    <row r="1287" spans="1:28">
      <c r="A1287" s="233">
        <v>41296</v>
      </c>
      <c r="B1287" s="1" t="s">
        <v>4822</v>
      </c>
      <c r="C1287" s="1" t="s">
        <v>4823</v>
      </c>
      <c r="D1287" s="225" t="s">
        <v>4827</v>
      </c>
      <c r="E1287" s="225" t="s">
        <v>4828</v>
      </c>
      <c r="F1287" s="225">
        <v>2</v>
      </c>
      <c r="G1287" s="1" t="s">
        <v>4829</v>
      </c>
      <c r="H1287" s="234">
        <v>42</v>
      </c>
      <c r="I1287" s="235">
        <f t="shared" si="101"/>
        <v>84</v>
      </c>
      <c r="K1287" s="250">
        <f>17.82*2</f>
        <v>35.64</v>
      </c>
      <c r="L1287" s="237">
        <v>41304</v>
      </c>
      <c r="M1287" s="1" t="s">
        <v>4928</v>
      </c>
      <c r="N1287" s="235">
        <f t="shared" si="100"/>
        <v>84</v>
      </c>
      <c r="O1287" s="235">
        <f t="shared" si="99"/>
        <v>0</v>
      </c>
      <c r="P1287" s="238" t="s">
        <v>4824</v>
      </c>
      <c r="Q1287" s="1" t="s">
        <v>4496</v>
      </c>
      <c r="R1287" s="239" t="s">
        <v>4825</v>
      </c>
      <c r="S1287" s="238" t="s">
        <v>4825</v>
      </c>
      <c r="T1287" s="238" t="s">
        <v>4481</v>
      </c>
      <c r="U1287" s="238" t="s">
        <v>4481</v>
      </c>
      <c r="V1287" s="238" t="s">
        <v>4492</v>
      </c>
      <c r="AB1287" s="5" t="s">
        <v>4536</v>
      </c>
    </row>
    <row r="1288" spans="1:28">
      <c r="A1288" s="233">
        <v>41296</v>
      </c>
      <c r="B1288" s="1" t="s">
        <v>4822</v>
      </c>
      <c r="C1288" s="1" t="s">
        <v>4823</v>
      </c>
      <c r="D1288" s="5" t="s">
        <v>4646</v>
      </c>
      <c r="E1288" s="1" t="s">
        <v>4830</v>
      </c>
      <c r="F1288" s="1">
        <v>1</v>
      </c>
      <c r="G1288" s="1" t="s">
        <v>4831</v>
      </c>
      <c r="H1288" s="234">
        <v>45</v>
      </c>
      <c r="I1288" s="235">
        <f t="shared" si="101"/>
        <v>45</v>
      </c>
      <c r="K1288" s="250">
        <v>19.8</v>
      </c>
      <c r="L1288" s="237">
        <v>41304</v>
      </c>
      <c r="M1288" s="1" t="s">
        <v>4928</v>
      </c>
      <c r="N1288" s="235">
        <f t="shared" si="100"/>
        <v>45</v>
      </c>
      <c r="O1288" s="235">
        <f t="shared" si="99"/>
        <v>0</v>
      </c>
      <c r="P1288" s="238" t="s">
        <v>4832</v>
      </c>
      <c r="Q1288" s="1" t="s">
        <v>4833</v>
      </c>
      <c r="R1288" s="239" t="s">
        <v>4834</v>
      </c>
      <c r="S1288" s="238" t="s">
        <v>4834</v>
      </c>
      <c r="T1288" s="238" t="s">
        <v>4835</v>
      </c>
      <c r="U1288" s="238" t="s">
        <v>4835</v>
      </c>
      <c r="V1288" s="238" t="s">
        <v>4836</v>
      </c>
      <c r="AB1288" s="5" t="s">
        <v>4837</v>
      </c>
    </row>
    <row r="1289" spans="1:28">
      <c r="A1289" s="233">
        <v>41296</v>
      </c>
      <c r="B1289" s="1" t="s">
        <v>4838</v>
      </c>
      <c r="C1289" s="1" t="s">
        <v>4839</v>
      </c>
      <c r="D1289" s="1" t="s">
        <v>2056</v>
      </c>
      <c r="E1289" s="1" t="s">
        <v>4840</v>
      </c>
      <c r="F1289" s="1">
        <v>10</v>
      </c>
      <c r="G1289" s="1" t="s">
        <v>4841</v>
      </c>
      <c r="H1289" s="234">
        <v>9</v>
      </c>
      <c r="I1289" s="235">
        <f t="shared" si="101"/>
        <v>90</v>
      </c>
      <c r="K1289" s="282">
        <v>0</v>
      </c>
      <c r="L1289" s="237">
        <v>41304</v>
      </c>
      <c r="M1289" s="1" t="s">
        <v>4928</v>
      </c>
      <c r="N1289" s="235">
        <f t="shared" si="100"/>
        <v>90</v>
      </c>
      <c r="O1289" s="235">
        <f t="shared" si="99"/>
        <v>0</v>
      </c>
      <c r="P1289" s="238" t="s">
        <v>4832</v>
      </c>
      <c r="Q1289" s="1" t="s">
        <v>4833</v>
      </c>
      <c r="R1289" s="239" t="s">
        <v>4834</v>
      </c>
      <c r="S1289" s="238" t="s">
        <v>4834</v>
      </c>
      <c r="T1289" s="238" t="s">
        <v>4835</v>
      </c>
      <c r="U1289" s="238" t="s">
        <v>4835</v>
      </c>
      <c r="V1289" s="238" t="s">
        <v>4836</v>
      </c>
      <c r="Z1289" s="255" t="s">
        <v>6079</v>
      </c>
      <c r="AB1289" s="5" t="s">
        <v>4837</v>
      </c>
    </row>
    <row r="1290" spans="1:28">
      <c r="A1290" s="233">
        <v>41296</v>
      </c>
      <c r="B1290" s="1" t="s">
        <v>4838</v>
      </c>
      <c r="C1290" s="1" t="s">
        <v>4842</v>
      </c>
      <c r="D1290" s="1" t="s">
        <v>1832</v>
      </c>
      <c r="E1290" s="1" t="s">
        <v>4921</v>
      </c>
      <c r="F1290" s="1">
        <v>17</v>
      </c>
      <c r="G1290" s="1" t="s">
        <v>4831</v>
      </c>
      <c r="H1290" s="234">
        <v>125</v>
      </c>
      <c r="I1290" s="235">
        <f t="shared" si="101"/>
        <v>2125</v>
      </c>
      <c r="K1290" s="250">
        <f>85*17</f>
        <v>1445</v>
      </c>
      <c r="L1290" s="237">
        <v>41304</v>
      </c>
      <c r="M1290" s="1" t="s">
        <v>4928</v>
      </c>
      <c r="N1290" s="235">
        <f t="shared" si="100"/>
        <v>2125</v>
      </c>
      <c r="O1290" s="235">
        <f t="shared" si="99"/>
        <v>0</v>
      </c>
      <c r="P1290" s="238" t="s">
        <v>4832</v>
      </c>
      <c r="Q1290" s="1" t="s">
        <v>4833</v>
      </c>
      <c r="R1290" s="239" t="s">
        <v>4834</v>
      </c>
      <c r="S1290" s="238" t="s">
        <v>4834</v>
      </c>
      <c r="T1290" s="238" t="s">
        <v>4835</v>
      </c>
      <c r="U1290" s="238" t="s">
        <v>4835</v>
      </c>
      <c r="V1290" s="238" t="s">
        <v>4836</v>
      </c>
      <c r="AB1290" s="5" t="s">
        <v>4837</v>
      </c>
    </row>
    <row r="1291" spans="1:28">
      <c r="A1291" s="233">
        <v>41296</v>
      </c>
      <c r="B1291" s="1" t="s">
        <v>4838</v>
      </c>
      <c r="C1291" s="219" t="s">
        <v>1862</v>
      </c>
      <c r="D1291" s="1" t="s">
        <v>4923</v>
      </c>
      <c r="E1291" s="1" t="s">
        <v>1863</v>
      </c>
      <c r="F1291" s="1">
        <v>2</v>
      </c>
      <c r="G1291" s="1" t="s">
        <v>4843</v>
      </c>
      <c r="H1291" s="234">
        <v>35</v>
      </c>
      <c r="I1291" s="235">
        <f t="shared" si="101"/>
        <v>70</v>
      </c>
      <c r="K1291" s="250">
        <f>27*2</f>
        <v>54</v>
      </c>
      <c r="L1291" s="237">
        <v>41304</v>
      </c>
      <c r="M1291" s="1" t="s">
        <v>4928</v>
      </c>
      <c r="N1291" s="235">
        <f t="shared" si="100"/>
        <v>70</v>
      </c>
      <c r="O1291" s="235">
        <f t="shared" si="99"/>
        <v>0</v>
      </c>
      <c r="P1291" s="238" t="s">
        <v>4844</v>
      </c>
      <c r="Q1291" s="1" t="s">
        <v>4845</v>
      </c>
      <c r="R1291" s="239" t="s">
        <v>4846</v>
      </c>
      <c r="S1291" s="238" t="s">
        <v>4846</v>
      </c>
      <c r="T1291" s="238" t="s">
        <v>4847</v>
      </c>
      <c r="U1291" s="238" t="s">
        <v>4847</v>
      </c>
      <c r="V1291" s="238" t="s">
        <v>4848</v>
      </c>
      <c r="AB1291" s="5" t="s">
        <v>4849</v>
      </c>
    </row>
    <row r="1292" spans="1:28">
      <c r="A1292" s="233">
        <v>41296</v>
      </c>
      <c r="B1292" s="1" t="s">
        <v>4850</v>
      </c>
      <c r="C1292" s="219" t="s">
        <v>1862</v>
      </c>
      <c r="D1292" s="1" t="s">
        <v>4923</v>
      </c>
      <c r="E1292" s="1" t="s">
        <v>1865</v>
      </c>
      <c r="F1292" s="1">
        <v>7</v>
      </c>
      <c r="G1292" s="1" t="s">
        <v>4843</v>
      </c>
      <c r="H1292" s="234">
        <v>45</v>
      </c>
      <c r="I1292" s="235">
        <f t="shared" si="101"/>
        <v>315</v>
      </c>
      <c r="K1292" s="250">
        <f>36*7</f>
        <v>252</v>
      </c>
      <c r="L1292" s="237">
        <v>41304</v>
      </c>
      <c r="M1292" s="1" t="s">
        <v>4928</v>
      </c>
      <c r="N1292" s="235">
        <f t="shared" si="100"/>
        <v>315</v>
      </c>
      <c r="O1292" s="235">
        <f t="shared" si="99"/>
        <v>0</v>
      </c>
      <c r="P1292" s="238" t="s">
        <v>4844</v>
      </c>
      <c r="Q1292" s="1" t="s">
        <v>4845</v>
      </c>
      <c r="R1292" s="239" t="s">
        <v>4846</v>
      </c>
      <c r="S1292" s="238" t="s">
        <v>4846</v>
      </c>
      <c r="T1292" s="238" t="s">
        <v>4847</v>
      </c>
      <c r="U1292" s="238" t="s">
        <v>4847</v>
      </c>
      <c r="V1292" s="238" t="s">
        <v>4848</v>
      </c>
      <c r="AB1292" s="5" t="s">
        <v>4849</v>
      </c>
    </row>
    <row r="1293" spans="1:28">
      <c r="A1293" s="233">
        <v>41298</v>
      </c>
      <c r="B1293" s="1" t="s">
        <v>4859</v>
      </c>
      <c r="C1293" s="1" t="s">
        <v>4860</v>
      </c>
      <c r="D1293" s="1" t="s">
        <v>1225</v>
      </c>
      <c r="E1293" s="1" t="s">
        <v>2060</v>
      </c>
      <c r="F1293" s="1">
        <v>250</v>
      </c>
      <c r="G1293" s="1" t="s">
        <v>4858</v>
      </c>
      <c r="H1293" s="234">
        <v>4.8</v>
      </c>
      <c r="I1293" s="235">
        <f t="shared" ref="I1293:I1298" si="102">F1293*H1293</f>
        <v>1200</v>
      </c>
      <c r="K1293" s="250">
        <f>3.6*250</f>
        <v>900</v>
      </c>
      <c r="N1293" s="235">
        <v>0</v>
      </c>
      <c r="O1293" s="235">
        <f t="shared" si="99"/>
        <v>1200</v>
      </c>
      <c r="P1293" s="238" t="s">
        <v>4861</v>
      </c>
      <c r="Q1293" s="1" t="s">
        <v>4845</v>
      </c>
      <c r="R1293" s="239" t="s">
        <v>168</v>
      </c>
      <c r="S1293" s="238" t="s">
        <v>168</v>
      </c>
      <c r="T1293" s="238" t="s">
        <v>4862</v>
      </c>
      <c r="U1293" s="238" t="s">
        <v>4847</v>
      </c>
      <c r="V1293" s="238" t="s">
        <v>4863</v>
      </c>
      <c r="W1293" s="236">
        <v>14690</v>
      </c>
      <c r="X1293" s="233">
        <v>41298</v>
      </c>
      <c r="Y1293" s="238" t="s">
        <v>4864</v>
      </c>
      <c r="AB1293" s="5" t="s">
        <v>4849</v>
      </c>
    </row>
    <row r="1294" spans="1:28">
      <c r="A1294" s="233">
        <v>41298</v>
      </c>
      <c r="B1294" s="1" t="s">
        <v>4859</v>
      </c>
      <c r="C1294" s="5" t="s">
        <v>4860</v>
      </c>
      <c r="D1294" s="1" t="s">
        <v>683</v>
      </c>
      <c r="E1294" s="1" t="s">
        <v>2061</v>
      </c>
      <c r="F1294" s="1">
        <v>500</v>
      </c>
      <c r="G1294" s="1" t="s">
        <v>240</v>
      </c>
      <c r="H1294" s="234">
        <v>4.0999999999999996</v>
      </c>
      <c r="I1294" s="235">
        <f t="shared" si="102"/>
        <v>2050</v>
      </c>
      <c r="K1294" s="250">
        <f>3.214*500</f>
        <v>1607</v>
      </c>
      <c r="N1294" s="235">
        <v>0</v>
      </c>
      <c r="O1294" s="235">
        <f t="shared" si="99"/>
        <v>2050</v>
      </c>
      <c r="P1294" s="238" t="s">
        <v>4861</v>
      </c>
      <c r="Q1294" s="1" t="s">
        <v>4845</v>
      </c>
      <c r="R1294" s="239" t="s">
        <v>168</v>
      </c>
      <c r="S1294" s="238" t="s">
        <v>168</v>
      </c>
      <c r="T1294" s="238" t="s">
        <v>4862</v>
      </c>
      <c r="U1294" s="238" t="s">
        <v>4847</v>
      </c>
      <c r="V1294" s="238" t="s">
        <v>4863</v>
      </c>
      <c r="W1294" s="236">
        <v>14690</v>
      </c>
      <c r="X1294" s="233">
        <v>41298</v>
      </c>
      <c r="Y1294" s="238" t="s">
        <v>4864</v>
      </c>
      <c r="AB1294" s="5" t="s">
        <v>4849</v>
      </c>
    </row>
    <row r="1295" spans="1:28">
      <c r="A1295" s="233">
        <v>41298</v>
      </c>
      <c r="B1295" s="1" t="s">
        <v>4859</v>
      </c>
      <c r="C1295" s="5" t="s">
        <v>4860</v>
      </c>
      <c r="D1295" s="1" t="s">
        <v>1216</v>
      </c>
      <c r="E1295" s="1">
        <v>3200</v>
      </c>
      <c r="F1295" s="1">
        <v>200</v>
      </c>
      <c r="G1295" s="1" t="s">
        <v>4858</v>
      </c>
      <c r="H1295" s="234">
        <v>30.5</v>
      </c>
      <c r="I1295" s="235">
        <f t="shared" si="102"/>
        <v>6100</v>
      </c>
      <c r="K1295" s="250">
        <f>20.89*200</f>
        <v>4178</v>
      </c>
      <c r="N1295" s="235">
        <v>0</v>
      </c>
      <c r="O1295" s="235">
        <f t="shared" si="99"/>
        <v>6100</v>
      </c>
      <c r="P1295" s="238" t="s">
        <v>4861</v>
      </c>
      <c r="Q1295" s="1" t="s">
        <v>4845</v>
      </c>
      <c r="R1295" s="239" t="s">
        <v>168</v>
      </c>
      <c r="S1295" s="238" t="s">
        <v>168</v>
      </c>
      <c r="T1295" s="238" t="s">
        <v>4862</v>
      </c>
      <c r="U1295" s="238" t="s">
        <v>4847</v>
      </c>
      <c r="V1295" s="238" t="s">
        <v>4863</v>
      </c>
      <c r="W1295" s="236">
        <v>14690</v>
      </c>
      <c r="X1295" s="233">
        <v>41298</v>
      </c>
      <c r="Y1295" s="238" t="s">
        <v>4864</v>
      </c>
      <c r="AB1295" s="5" t="s">
        <v>4849</v>
      </c>
    </row>
    <row r="1296" spans="1:28">
      <c r="A1296" s="233">
        <v>41298</v>
      </c>
      <c r="B1296" s="1" t="s">
        <v>4859</v>
      </c>
      <c r="C1296" s="5" t="s">
        <v>4860</v>
      </c>
      <c r="D1296" s="5" t="s">
        <v>348</v>
      </c>
      <c r="E1296" s="1">
        <v>3700</v>
      </c>
      <c r="F1296" s="1">
        <v>200</v>
      </c>
      <c r="G1296" s="1" t="s">
        <v>4858</v>
      </c>
      <c r="H1296" s="234">
        <v>4.7</v>
      </c>
      <c r="I1296" s="235">
        <f t="shared" si="102"/>
        <v>940</v>
      </c>
      <c r="K1296" s="250">
        <f>2.865*200</f>
        <v>573</v>
      </c>
      <c r="N1296" s="235">
        <v>0</v>
      </c>
      <c r="O1296" s="235">
        <f t="shared" si="99"/>
        <v>940</v>
      </c>
      <c r="P1296" s="238" t="s">
        <v>4861</v>
      </c>
      <c r="Q1296" s="1" t="s">
        <v>4845</v>
      </c>
      <c r="R1296" s="239" t="s">
        <v>168</v>
      </c>
      <c r="S1296" s="238" t="s">
        <v>168</v>
      </c>
      <c r="T1296" s="238" t="s">
        <v>4862</v>
      </c>
      <c r="U1296" s="238" t="s">
        <v>4847</v>
      </c>
      <c r="V1296" s="238" t="s">
        <v>4863</v>
      </c>
      <c r="W1296" s="236">
        <v>14690</v>
      </c>
      <c r="X1296" s="233">
        <v>41298</v>
      </c>
      <c r="Y1296" s="238" t="s">
        <v>4864</v>
      </c>
      <c r="AB1296" s="5" t="s">
        <v>4849</v>
      </c>
    </row>
    <row r="1297" spans="1:28">
      <c r="A1297" s="233">
        <v>41298</v>
      </c>
      <c r="B1297" s="1" t="s">
        <v>4859</v>
      </c>
      <c r="C1297" s="5" t="s">
        <v>4860</v>
      </c>
      <c r="D1297" s="5" t="s">
        <v>4865</v>
      </c>
      <c r="E1297" s="1" t="s">
        <v>2062</v>
      </c>
      <c r="F1297" s="1">
        <v>2200</v>
      </c>
      <c r="G1297" s="1" t="s">
        <v>4866</v>
      </c>
      <c r="H1297" s="234">
        <v>2</v>
      </c>
      <c r="I1297" s="235">
        <f t="shared" si="102"/>
        <v>4400</v>
      </c>
      <c r="K1297" s="250">
        <f>1.54*2200</f>
        <v>3388</v>
      </c>
      <c r="N1297" s="235">
        <v>0</v>
      </c>
      <c r="O1297" s="235">
        <f t="shared" si="99"/>
        <v>4400</v>
      </c>
      <c r="P1297" s="238" t="s">
        <v>4861</v>
      </c>
      <c r="Q1297" s="1" t="s">
        <v>4845</v>
      </c>
      <c r="R1297" s="239" t="s">
        <v>168</v>
      </c>
      <c r="S1297" s="238" t="s">
        <v>168</v>
      </c>
      <c r="T1297" s="238" t="s">
        <v>4862</v>
      </c>
      <c r="U1297" s="238" t="s">
        <v>4847</v>
      </c>
      <c r="V1297" s="238" t="s">
        <v>4863</v>
      </c>
      <c r="W1297" s="236">
        <v>14690</v>
      </c>
      <c r="X1297" s="233">
        <v>41298</v>
      </c>
      <c r="Y1297" s="238" t="s">
        <v>4864</v>
      </c>
      <c r="AB1297" s="5" t="s">
        <v>4849</v>
      </c>
    </row>
    <row r="1298" spans="1:28">
      <c r="A1298" s="233">
        <v>41299</v>
      </c>
      <c r="B1298" s="1" t="s">
        <v>499</v>
      </c>
      <c r="C1298" s="1" t="s">
        <v>4860</v>
      </c>
      <c r="D1298" s="5" t="s">
        <v>4867</v>
      </c>
      <c r="E1298" s="1" t="s">
        <v>2063</v>
      </c>
      <c r="F1298" s="1">
        <v>1</v>
      </c>
      <c r="G1298" s="1" t="s">
        <v>4868</v>
      </c>
      <c r="H1298" s="234">
        <v>160</v>
      </c>
      <c r="I1298" s="235">
        <f t="shared" si="102"/>
        <v>160</v>
      </c>
      <c r="K1298" s="250">
        <f>107.64*1</f>
        <v>107.64</v>
      </c>
      <c r="L1298" s="237">
        <v>41299</v>
      </c>
      <c r="M1298" s="1" t="s">
        <v>4869</v>
      </c>
      <c r="N1298" s="235">
        <f t="shared" si="100"/>
        <v>160</v>
      </c>
      <c r="O1298" s="235">
        <f t="shared" ref="O1298:O1338" si="103">I1298-N1298</f>
        <v>0</v>
      </c>
      <c r="P1298" s="238" t="s">
        <v>4870</v>
      </c>
      <c r="Q1298" s="1" t="s">
        <v>4871</v>
      </c>
      <c r="R1298" s="239" t="s">
        <v>4872</v>
      </c>
      <c r="S1298" s="238" t="s">
        <v>4873</v>
      </c>
      <c r="T1298" s="238" t="s">
        <v>4874</v>
      </c>
      <c r="U1298" s="238" t="s">
        <v>4875</v>
      </c>
      <c r="AB1298" s="1" t="s">
        <v>4849</v>
      </c>
    </row>
    <row r="1299" spans="1:28">
      <c r="A1299" s="233">
        <v>41299</v>
      </c>
      <c r="B1299" s="1" t="s">
        <v>4876</v>
      </c>
      <c r="C1299" s="5" t="s">
        <v>4860</v>
      </c>
      <c r="D1299" s="5" t="s">
        <v>4865</v>
      </c>
      <c r="E1299" s="1" t="s">
        <v>2064</v>
      </c>
      <c r="F1299" s="1">
        <v>50</v>
      </c>
      <c r="G1299" s="1" t="s">
        <v>4866</v>
      </c>
      <c r="H1299" s="234">
        <v>1.98</v>
      </c>
      <c r="I1299" s="235">
        <v>99</v>
      </c>
      <c r="K1299" s="250">
        <f>1.24*50</f>
        <v>62</v>
      </c>
      <c r="L1299" s="237">
        <v>41299</v>
      </c>
      <c r="M1299" s="1" t="s">
        <v>4869</v>
      </c>
      <c r="N1299" s="235">
        <f t="shared" si="100"/>
        <v>99</v>
      </c>
      <c r="O1299" s="235">
        <f t="shared" si="103"/>
        <v>0</v>
      </c>
      <c r="P1299" s="238" t="s">
        <v>4877</v>
      </c>
      <c r="Q1299" s="1" t="s">
        <v>4878</v>
      </c>
      <c r="R1299" s="239" t="s">
        <v>4879</v>
      </c>
      <c r="S1299" s="238" t="s">
        <v>4880</v>
      </c>
      <c r="T1299" s="238" t="s">
        <v>4881</v>
      </c>
      <c r="U1299" s="238" t="s">
        <v>4882</v>
      </c>
      <c r="AB1299" s="1" t="s">
        <v>4883</v>
      </c>
    </row>
    <row r="1300" spans="1:28">
      <c r="A1300" s="233">
        <v>41302</v>
      </c>
      <c r="B1300" s="5" t="s">
        <v>4851</v>
      </c>
      <c r="C1300" s="1" t="s">
        <v>4852</v>
      </c>
      <c r="D1300" s="95" t="s">
        <v>5040</v>
      </c>
      <c r="E1300" s="1" t="s">
        <v>2058</v>
      </c>
      <c r="F1300" s="1">
        <v>144</v>
      </c>
      <c r="G1300" s="1" t="s">
        <v>4853</v>
      </c>
      <c r="H1300" s="234">
        <v>16</v>
      </c>
      <c r="I1300" s="235">
        <f>H1300*F1300</f>
        <v>2304</v>
      </c>
      <c r="K1300" s="250">
        <f>9.9*144</f>
        <v>1425.6000000000001</v>
      </c>
      <c r="L1300" s="237">
        <v>41360</v>
      </c>
      <c r="M1300" s="1" t="s">
        <v>167</v>
      </c>
      <c r="N1300" s="235">
        <f t="shared" si="100"/>
        <v>2304</v>
      </c>
      <c r="O1300" s="235">
        <f t="shared" si="103"/>
        <v>0</v>
      </c>
      <c r="P1300" s="238" t="s">
        <v>4854</v>
      </c>
      <c r="Q1300" s="1" t="s">
        <v>4939</v>
      </c>
      <c r="R1300" s="247" t="s">
        <v>4855</v>
      </c>
      <c r="S1300" s="246" t="s">
        <v>4856</v>
      </c>
      <c r="T1300" s="238" t="s">
        <v>5550</v>
      </c>
      <c r="U1300" s="238" t="s">
        <v>4940</v>
      </c>
      <c r="V1300" s="238" t="s">
        <v>5542</v>
      </c>
      <c r="W1300" s="236">
        <v>2824</v>
      </c>
      <c r="X1300" s="233">
        <v>41346</v>
      </c>
      <c r="Y1300" s="238" t="s">
        <v>5588</v>
      </c>
      <c r="AB1300" s="5" t="s">
        <v>4849</v>
      </c>
    </row>
    <row r="1301" spans="1:28">
      <c r="A1301" s="233">
        <v>41302</v>
      </c>
      <c r="B1301" s="5" t="s">
        <v>4851</v>
      </c>
      <c r="C1301" s="1" t="s">
        <v>4857</v>
      </c>
      <c r="D1301" s="5" t="s">
        <v>1227</v>
      </c>
      <c r="E1301" s="1" t="s">
        <v>2059</v>
      </c>
      <c r="F1301" s="1">
        <v>10</v>
      </c>
      <c r="G1301" s="1" t="s">
        <v>4858</v>
      </c>
      <c r="H1301" s="234">
        <v>52</v>
      </c>
      <c r="I1301" s="235">
        <f>H1301*F1301</f>
        <v>520</v>
      </c>
      <c r="K1301" s="250">
        <f>40*10</f>
        <v>400</v>
      </c>
      <c r="L1301" s="237">
        <v>41360</v>
      </c>
      <c r="M1301" s="1" t="s">
        <v>167</v>
      </c>
      <c r="N1301" s="235">
        <f t="shared" si="100"/>
        <v>520</v>
      </c>
      <c r="O1301" s="235">
        <f t="shared" si="103"/>
        <v>0</v>
      </c>
      <c r="P1301" s="238" t="s">
        <v>4854</v>
      </c>
      <c r="Q1301" s="1" t="s">
        <v>4939</v>
      </c>
      <c r="R1301" s="247" t="s">
        <v>4855</v>
      </c>
      <c r="S1301" s="246" t="s">
        <v>4856</v>
      </c>
      <c r="T1301" s="238" t="s">
        <v>5550</v>
      </c>
      <c r="U1301" s="238" t="s">
        <v>4940</v>
      </c>
      <c r="V1301" s="238" t="s">
        <v>5542</v>
      </c>
      <c r="W1301" s="236">
        <v>2824</v>
      </c>
      <c r="X1301" s="233">
        <v>41346</v>
      </c>
      <c r="Y1301" s="238" t="s">
        <v>5588</v>
      </c>
      <c r="AB1301" s="5" t="s">
        <v>4849</v>
      </c>
    </row>
    <row r="1302" spans="1:28">
      <c r="A1302" s="233">
        <v>41302</v>
      </c>
      <c r="B1302" s="1" t="s">
        <v>4884</v>
      </c>
      <c r="C1302" s="1" t="s">
        <v>4860</v>
      </c>
      <c r="D1302" s="5" t="s">
        <v>4865</v>
      </c>
      <c r="E1302" s="1" t="s">
        <v>2062</v>
      </c>
      <c r="F1302" s="1">
        <v>3000</v>
      </c>
      <c r="G1302" s="225" t="s">
        <v>4866</v>
      </c>
      <c r="H1302" s="234">
        <v>1.7</v>
      </c>
      <c r="I1302" s="235">
        <f>F1302*H1302</f>
        <v>5100</v>
      </c>
      <c r="K1302" s="250">
        <f>1.54*3000</f>
        <v>4620</v>
      </c>
      <c r="L1302" s="237">
        <v>41292</v>
      </c>
      <c r="M1302" s="1" t="s">
        <v>4885</v>
      </c>
      <c r="N1302" s="235">
        <f t="shared" si="100"/>
        <v>5100</v>
      </c>
      <c r="O1302" s="235">
        <f t="shared" si="103"/>
        <v>0</v>
      </c>
      <c r="P1302" s="238" t="s">
        <v>4886</v>
      </c>
      <c r="Q1302" s="1" t="s">
        <v>4887</v>
      </c>
      <c r="R1302" s="239" t="s">
        <v>4888</v>
      </c>
      <c r="S1302" s="238" t="s">
        <v>4889</v>
      </c>
      <c r="T1302" s="239" t="s">
        <v>4847</v>
      </c>
      <c r="U1302" s="239" t="s">
        <v>4847</v>
      </c>
      <c r="V1302" s="238" t="s">
        <v>4890</v>
      </c>
      <c r="W1302" s="236">
        <v>6756</v>
      </c>
      <c r="X1302" s="233">
        <v>41295</v>
      </c>
      <c r="Y1302" s="238" t="s">
        <v>4887</v>
      </c>
      <c r="AB1302" s="1" t="s">
        <v>4883</v>
      </c>
    </row>
    <row r="1303" spans="1:28">
      <c r="A1303" s="233">
        <v>41302</v>
      </c>
      <c r="B1303" s="1" t="s">
        <v>4884</v>
      </c>
      <c r="C1303" s="1" t="s">
        <v>4860</v>
      </c>
      <c r="D1303" s="1" t="s">
        <v>241</v>
      </c>
      <c r="E1303" s="1">
        <v>6200</v>
      </c>
      <c r="F1303" s="1">
        <v>30</v>
      </c>
      <c r="G1303" s="1" t="s">
        <v>4858</v>
      </c>
      <c r="H1303" s="234">
        <v>46</v>
      </c>
      <c r="I1303" s="235">
        <f t="shared" si="101"/>
        <v>1380</v>
      </c>
      <c r="K1303" s="250">
        <f>42.5*30</f>
        <v>1275</v>
      </c>
      <c r="L1303" s="237">
        <v>41297</v>
      </c>
      <c r="M1303" s="1" t="s">
        <v>4885</v>
      </c>
      <c r="N1303" s="235">
        <f t="shared" si="100"/>
        <v>1380</v>
      </c>
      <c r="O1303" s="235">
        <f t="shared" si="103"/>
        <v>0</v>
      </c>
      <c r="P1303" s="238" t="s">
        <v>4886</v>
      </c>
      <c r="Q1303" s="1" t="s">
        <v>4887</v>
      </c>
      <c r="R1303" s="239" t="s">
        <v>4888</v>
      </c>
      <c r="S1303" s="238" t="s">
        <v>4889</v>
      </c>
      <c r="T1303" s="239" t="s">
        <v>4847</v>
      </c>
      <c r="U1303" s="239" t="s">
        <v>4847</v>
      </c>
      <c r="AB1303" s="1" t="s">
        <v>4883</v>
      </c>
    </row>
    <row r="1304" spans="1:28">
      <c r="A1304" s="233">
        <v>41302</v>
      </c>
      <c r="B1304" s="1" t="s">
        <v>4891</v>
      </c>
      <c r="C1304" s="1" t="s">
        <v>4860</v>
      </c>
      <c r="D1304" s="225" t="s">
        <v>595</v>
      </c>
      <c r="E1304" s="1">
        <v>3200</v>
      </c>
      <c r="F1304" s="1">
        <v>90</v>
      </c>
      <c r="G1304" s="1" t="s">
        <v>4858</v>
      </c>
      <c r="H1304" s="234">
        <v>26.81</v>
      </c>
      <c r="I1304" s="235">
        <f t="shared" ref="I1304:I1309" si="104">F1304*H1304</f>
        <v>2412.9</v>
      </c>
      <c r="K1304" s="250">
        <f>23.94*90</f>
        <v>2154.6</v>
      </c>
      <c r="L1304" s="237">
        <v>41305</v>
      </c>
      <c r="M1304" s="1" t="s">
        <v>167</v>
      </c>
      <c r="N1304" s="235">
        <f t="shared" si="100"/>
        <v>2412.9</v>
      </c>
      <c r="O1304" s="235">
        <f t="shared" si="103"/>
        <v>0</v>
      </c>
      <c r="P1304" s="238" t="s">
        <v>4892</v>
      </c>
      <c r="Q1304" s="5" t="s">
        <v>4887</v>
      </c>
      <c r="R1304" s="239" t="s">
        <v>4847</v>
      </c>
      <c r="S1304" s="238" t="s">
        <v>4847</v>
      </c>
      <c r="T1304" s="238" t="s">
        <v>4847</v>
      </c>
      <c r="U1304" s="238" t="s">
        <v>4847</v>
      </c>
      <c r="V1304" s="238" t="s">
        <v>5020</v>
      </c>
      <c r="W1304" s="236">
        <v>34207</v>
      </c>
      <c r="X1304" s="233">
        <v>41309</v>
      </c>
      <c r="Y1304" s="238" t="s">
        <v>5329</v>
      </c>
      <c r="AB1304" s="1" t="s">
        <v>4883</v>
      </c>
    </row>
    <row r="1305" spans="1:28">
      <c r="A1305" s="233">
        <v>41302</v>
      </c>
      <c r="B1305" s="1" t="s">
        <v>4891</v>
      </c>
      <c r="C1305" s="1" t="s">
        <v>4860</v>
      </c>
      <c r="D1305" s="5" t="s">
        <v>348</v>
      </c>
      <c r="E1305" s="1">
        <v>3700</v>
      </c>
      <c r="F1305" s="1">
        <v>90</v>
      </c>
      <c r="G1305" s="1" t="s">
        <v>4858</v>
      </c>
      <c r="H1305" s="234">
        <v>3.46</v>
      </c>
      <c r="I1305" s="235">
        <f t="shared" si="104"/>
        <v>311.39999999999998</v>
      </c>
      <c r="K1305" s="250">
        <f>3.09*90</f>
        <v>278.09999999999997</v>
      </c>
      <c r="L1305" s="237">
        <v>41305</v>
      </c>
      <c r="M1305" s="1" t="s">
        <v>167</v>
      </c>
      <c r="N1305" s="235">
        <f t="shared" si="100"/>
        <v>311.39999999999998</v>
      </c>
      <c r="O1305" s="235">
        <f t="shared" si="103"/>
        <v>0</v>
      </c>
      <c r="P1305" s="238" t="s">
        <v>4892</v>
      </c>
      <c r="Q1305" s="5" t="s">
        <v>4887</v>
      </c>
      <c r="R1305" s="239" t="s">
        <v>4847</v>
      </c>
      <c r="S1305" s="238" t="s">
        <v>4847</v>
      </c>
      <c r="T1305" s="238" t="s">
        <v>4847</v>
      </c>
      <c r="U1305" s="238" t="s">
        <v>4847</v>
      </c>
      <c r="V1305" s="238" t="s">
        <v>5020</v>
      </c>
      <c r="W1305" s="236">
        <v>34207</v>
      </c>
      <c r="X1305" s="233">
        <v>41309</v>
      </c>
      <c r="Y1305" s="238" t="s">
        <v>5329</v>
      </c>
      <c r="AB1305" s="1" t="s">
        <v>4883</v>
      </c>
    </row>
    <row r="1306" spans="1:28">
      <c r="A1306" s="233">
        <v>41302</v>
      </c>
      <c r="B1306" s="1" t="s">
        <v>4891</v>
      </c>
      <c r="C1306" s="1" t="s">
        <v>4860</v>
      </c>
      <c r="D1306" s="5" t="s">
        <v>4865</v>
      </c>
      <c r="E1306" s="1" t="s">
        <v>2062</v>
      </c>
      <c r="F1306" s="1">
        <v>90</v>
      </c>
      <c r="G1306" s="1" t="s">
        <v>4866</v>
      </c>
      <c r="H1306" s="234">
        <v>1.73</v>
      </c>
      <c r="I1306" s="235">
        <f t="shared" si="104"/>
        <v>155.69999999999999</v>
      </c>
      <c r="K1306" s="250">
        <f>1.54*90</f>
        <v>138.6</v>
      </c>
      <c r="L1306" s="237">
        <v>41305</v>
      </c>
      <c r="M1306" s="1" t="s">
        <v>167</v>
      </c>
      <c r="N1306" s="235">
        <f t="shared" si="100"/>
        <v>155.69999999999999</v>
      </c>
      <c r="O1306" s="235">
        <f t="shared" si="103"/>
        <v>0</v>
      </c>
      <c r="P1306" s="238" t="s">
        <v>4892</v>
      </c>
      <c r="Q1306" s="5" t="s">
        <v>4887</v>
      </c>
      <c r="R1306" s="239" t="s">
        <v>4847</v>
      </c>
      <c r="S1306" s="238" t="s">
        <v>4847</v>
      </c>
      <c r="T1306" s="238" t="s">
        <v>4847</v>
      </c>
      <c r="U1306" s="238" t="s">
        <v>4847</v>
      </c>
      <c r="V1306" s="238" t="s">
        <v>5020</v>
      </c>
      <c r="W1306" s="236">
        <v>34207</v>
      </c>
      <c r="X1306" s="233">
        <v>41309</v>
      </c>
      <c r="Y1306" s="238" t="s">
        <v>5329</v>
      </c>
      <c r="AB1306" s="1" t="s">
        <v>4883</v>
      </c>
    </row>
    <row r="1307" spans="1:28">
      <c r="A1307" s="233">
        <v>41303</v>
      </c>
      <c r="B1307" s="1" t="s">
        <v>4893</v>
      </c>
      <c r="C1307" s="1" t="s">
        <v>4860</v>
      </c>
      <c r="D1307" s="1" t="s">
        <v>4894</v>
      </c>
      <c r="E1307" s="1" t="s">
        <v>2065</v>
      </c>
      <c r="F1307" s="1">
        <v>12</v>
      </c>
      <c r="G1307" s="1" t="s">
        <v>4866</v>
      </c>
      <c r="H1307" s="234">
        <v>9.42</v>
      </c>
      <c r="I1307" s="235">
        <f t="shared" si="104"/>
        <v>113.03999999999999</v>
      </c>
      <c r="K1307" s="250">
        <f>9.1*12</f>
        <v>109.19999999999999</v>
      </c>
      <c r="L1307" s="237">
        <v>41361</v>
      </c>
      <c r="M1307" s="1" t="s">
        <v>167</v>
      </c>
      <c r="N1307" s="235">
        <f t="shared" si="100"/>
        <v>113.03999999999999</v>
      </c>
      <c r="O1307" s="235">
        <f t="shared" si="103"/>
        <v>0</v>
      </c>
      <c r="P1307" s="238" t="s">
        <v>4895</v>
      </c>
      <c r="Q1307" s="1" t="s">
        <v>4845</v>
      </c>
      <c r="R1307" s="239" t="s">
        <v>4896</v>
      </c>
      <c r="S1307" s="238">
        <v>13368068212</v>
      </c>
      <c r="T1307" s="238" t="s">
        <v>4847</v>
      </c>
      <c r="U1307" s="238" t="s">
        <v>4847</v>
      </c>
      <c r="V1307" s="238" t="s">
        <v>5297</v>
      </c>
      <c r="W1307" s="236">
        <v>4068.78</v>
      </c>
      <c r="X1307" s="233">
        <v>41332</v>
      </c>
      <c r="Y1307" s="238" t="s">
        <v>3895</v>
      </c>
      <c r="AB1307" s="1" t="s">
        <v>4883</v>
      </c>
    </row>
    <row r="1308" spans="1:28">
      <c r="A1308" s="233">
        <v>41303</v>
      </c>
      <c r="B1308" s="1" t="s">
        <v>4893</v>
      </c>
      <c r="C1308" s="1" t="s">
        <v>4860</v>
      </c>
      <c r="D1308" s="5" t="s">
        <v>1838</v>
      </c>
      <c r="E1308" s="1">
        <v>502</v>
      </c>
      <c r="F1308" s="1">
        <v>24</v>
      </c>
      <c r="G1308" s="1" t="s">
        <v>4897</v>
      </c>
      <c r="H1308" s="234">
        <v>14</v>
      </c>
      <c r="I1308" s="235">
        <f t="shared" si="104"/>
        <v>336</v>
      </c>
      <c r="K1308" s="250">
        <f>12.5*24</f>
        <v>300</v>
      </c>
      <c r="L1308" s="237">
        <v>41361</v>
      </c>
      <c r="M1308" s="1" t="s">
        <v>167</v>
      </c>
      <c r="N1308" s="235">
        <f t="shared" si="100"/>
        <v>336</v>
      </c>
      <c r="O1308" s="235">
        <f t="shared" si="103"/>
        <v>0</v>
      </c>
      <c r="P1308" s="238" t="s">
        <v>4895</v>
      </c>
      <c r="Q1308" s="1" t="s">
        <v>4845</v>
      </c>
      <c r="R1308" s="239" t="s">
        <v>4896</v>
      </c>
      <c r="S1308" s="238">
        <v>13368068212</v>
      </c>
      <c r="T1308" s="238" t="s">
        <v>4847</v>
      </c>
      <c r="U1308" s="238" t="s">
        <v>4847</v>
      </c>
      <c r="V1308" s="238" t="s">
        <v>5297</v>
      </c>
      <c r="W1308" s="236">
        <v>4068.78</v>
      </c>
      <c r="X1308" s="233">
        <v>41332</v>
      </c>
      <c r="Y1308" s="238" t="s">
        <v>3895</v>
      </c>
      <c r="AB1308" s="1" t="s">
        <v>4883</v>
      </c>
    </row>
    <row r="1309" spans="1:28">
      <c r="A1309" s="233">
        <v>41303</v>
      </c>
      <c r="B1309" s="1" t="s">
        <v>4893</v>
      </c>
      <c r="C1309" s="1" t="s">
        <v>4860</v>
      </c>
      <c r="D1309" s="1" t="s">
        <v>241</v>
      </c>
      <c r="E1309" s="1" t="s">
        <v>2066</v>
      </c>
      <c r="F1309" s="1">
        <v>2</v>
      </c>
      <c r="G1309" s="1" t="s">
        <v>4897</v>
      </c>
      <c r="H1309" s="234">
        <v>45</v>
      </c>
      <c r="I1309" s="235">
        <f t="shared" si="104"/>
        <v>90</v>
      </c>
      <c r="K1309" s="250">
        <f>42.5*2</f>
        <v>85</v>
      </c>
      <c r="L1309" s="237">
        <v>41361</v>
      </c>
      <c r="M1309" s="1" t="s">
        <v>167</v>
      </c>
      <c r="N1309" s="235">
        <f t="shared" si="100"/>
        <v>90</v>
      </c>
      <c r="O1309" s="235">
        <f t="shared" si="103"/>
        <v>0</v>
      </c>
      <c r="P1309" s="238" t="s">
        <v>4895</v>
      </c>
      <c r="Q1309" s="1" t="s">
        <v>4845</v>
      </c>
      <c r="R1309" s="239" t="s">
        <v>4896</v>
      </c>
      <c r="S1309" s="238">
        <v>13368068212</v>
      </c>
      <c r="T1309" s="238" t="s">
        <v>4847</v>
      </c>
      <c r="U1309" s="238" t="s">
        <v>4847</v>
      </c>
      <c r="V1309" s="238" t="s">
        <v>5297</v>
      </c>
      <c r="W1309" s="236">
        <v>4068.78</v>
      </c>
      <c r="X1309" s="233">
        <v>41332</v>
      </c>
      <c r="Y1309" s="238" t="s">
        <v>3895</v>
      </c>
      <c r="AB1309" s="1" t="s">
        <v>4883</v>
      </c>
    </row>
    <row r="1310" spans="1:28">
      <c r="A1310" s="233">
        <v>41303</v>
      </c>
      <c r="B1310" s="1" t="s">
        <v>4898</v>
      </c>
      <c r="C1310" s="1" t="s">
        <v>4852</v>
      </c>
      <c r="D1310" s="1" t="s">
        <v>4899</v>
      </c>
      <c r="E1310" s="1" t="s">
        <v>2067</v>
      </c>
      <c r="F1310" s="1">
        <v>60</v>
      </c>
      <c r="G1310" s="1" t="s">
        <v>4900</v>
      </c>
      <c r="H1310" s="234">
        <v>3.6</v>
      </c>
      <c r="I1310" s="235">
        <f t="shared" ref="I1310:I1320" si="105">F1310*H1310</f>
        <v>216</v>
      </c>
      <c r="K1310" s="282">
        <v>0</v>
      </c>
      <c r="L1310" s="237">
        <v>41303</v>
      </c>
      <c r="M1310" s="1" t="s">
        <v>4919</v>
      </c>
      <c r="N1310" s="235">
        <f t="shared" si="100"/>
        <v>216</v>
      </c>
      <c r="O1310" s="235">
        <f t="shared" si="103"/>
        <v>0</v>
      </c>
      <c r="P1310" s="238" t="s">
        <v>4901</v>
      </c>
      <c r="Q1310" s="5" t="s">
        <v>4887</v>
      </c>
      <c r="R1310" s="239" t="s">
        <v>1875</v>
      </c>
      <c r="S1310" s="238" t="s">
        <v>1875</v>
      </c>
      <c r="T1310" s="238" t="s">
        <v>1875</v>
      </c>
      <c r="U1310" s="238" t="s">
        <v>1875</v>
      </c>
      <c r="V1310" s="238" t="s">
        <v>5300</v>
      </c>
      <c r="W1310" s="236">
        <v>10793</v>
      </c>
      <c r="X1310" s="233">
        <v>41332</v>
      </c>
      <c r="Y1310" s="238" t="s">
        <v>5284</v>
      </c>
      <c r="Z1310" s="255" t="s">
        <v>6079</v>
      </c>
      <c r="AB1310" s="1" t="s">
        <v>2850</v>
      </c>
    </row>
    <row r="1311" spans="1:28">
      <c r="A1311" s="233">
        <v>41303</v>
      </c>
      <c r="B1311" s="1" t="s">
        <v>4898</v>
      </c>
      <c r="C1311" s="1" t="s">
        <v>4852</v>
      </c>
      <c r="D1311" s="1" t="s">
        <v>4902</v>
      </c>
      <c r="E1311" s="1" t="s">
        <v>2067</v>
      </c>
      <c r="F1311" s="1">
        <v>140</v>
      </c>
      <c r="G1311" s="1" t="s">
        <v>4900</v>
      </c>
      <c r="H1311" s="234">
        <v>3.6</v>
      </c>
      <c r="I1311" s="235">
        <f t="shared" si="105"/>
        <v>504</v>
      </c>
      <c r="K1311" s="282">
        <v>0</v>
      </c>
      <c r="L1311" s="237">
        <v>41303</v>
      </c>
      <c r="M1311" s="1" t="s">
        <v>4919</v>
      </c>
      <c r="N1311" s="235">
        <f t="shared" si="100"/>
        <v>504</v>
      </c>
      <c r="O1311" s="235">
        <f t="shared" si="103"/>
        <v>0</v>
      </c>
      <c r="P1311" s="238" t="s">
        <v>4901</v>
      </c>
      <c r="Q1311" s="5" t="s">
        <v>4887</v>
      </c>
      <c r="R1311" s="239" t="s">
        <v>1875</v>
      </c>
      <c r="S1311" s="238" t="s">
        <v>1875</v>
      </c>
      <c r="T1311" s="238" t="s">
        <v>1875</v>
      </c>
      <c r="U1311" s="238" t="s">
        <v>1875</v>
      </c>
      <c r="V1311" s="238" t="s">
        <v>5300</v>
      </c>
      <c r="W1311" s="236">
        <v>10793</v>
      </c>
      <c r="X1311" s="233">
        <v>41332</v>
      </c>
      <c r="Y1311" s="238" t="s">
        <v>5284</v>
      </c>
      <c r="Z1311" s="255" t="s">
        <v>6079</v>
      </c>
      <c r="AB1311" s="1" t="s">
        <v>2850</v>
      </c>
    </row>
    <row r="1312" spans="1:28">
      <c r="A1312" s="233">
        <v>41303</v>
      </c>
      <c r="B1312" s="136" t="s">
        <v>4903</v>
      </c>
      <c r="C1312" s="1" t="s">
        <v>4860</v>
      </c>
      <c r="D1312" s="5" t="s">
        <v>4904</v>
      </c>
      <c r="E1312" s="1">
        <v>7502</v>
      </c>
      <c r="F1312" s="1">
        <v>15</v>
      </c>
      <c r="G1312" s="1" t="s">
        <v>4858</v>
      </c>
      <c r="H1312" s="234">
        <v>182</v>
      </c>
      <c r="I1312" s="235">
        <f t="shared" si="105"/>
        <v>2730</v>
      </c>
      <c r="K1312" s="250">
        <f>122.8*15</f>
        <v>1842</v>
      </c>
      <c r="L1312" s="237">
        <v>41327</v>
      </c>
      <c r="M1312" s="1" t="s">
        <v>167</v>
      </c>
      <c r="N1312" s="235">
        <f t="shared" si="100"/>
        <v>2730</v>
      </c>
      <c r="O1312" s="235">
        <f t="shared" si="103"/>
        <v>0</v>
      </c>
      <c r="P1312" s="238" t="s">
        <v>4912</v>
      </c>
      <c r="Q1312" s="5" t="s">
        <v>4913</v>
      </c>
      <c r="R1312" s="239" t="s">
        <v>4618</v>
      </c>
      <c r="S1312" s="238" t="s">
        <v>4619</v>
      </c>
      <c r="T1312" s="238" t="s">
        <v>4620</v>
      </c>
      <c r="U1312" s="238" t="s">
        <v>4914</v>
      </c>
      <c r="V1312" s="238" t="s">
        <v>4937</v>
      </c>
      <c r="W1312" s="236">
        <v>9687.5</v>
      </c>
      <c r="X1312" s="233">
        <v>41305</v>
      </c>
      <c r="Y1312" s="238" t="s">
        <v>4973</v>
      </c>
      <c r="AB1312" s="1" t="s">
        <v>4849</v>
      </c>
    </row>
    <row r="1313" spans="1:28">
      <c r="A1313" s="233">
        <v>41303</v>
      </c>
      <c r="B1313" s="136" t="s">
        <v>4903</v>
      </c>
      <c r="C1313" s="1" t="s">
        <v>4860</v>
      </c>
      <c r="D1313" s="5" t="s">
        <v>4905</v>
      </c>
      <c r="E1313" s="225" t="s">
        <v>2068</v>
      </c>
      <c r="F1313" s="1">
        <v>70</v>
      </c>
      <c r="G1313" s="1" t="s">
        <v>4858</v>
      </c>
      <c r="H1313" s="234">
        <v>40.6</v>
      </c>
      <c r="I1313" s="235">
        <f t="shared" si="105"/>
        <v>2842</v>
      </c>
      <c r="K1313" s="250">
        <f>24.2*70</f>
        <v>1694</v>
      </c>
      <c r="L1313" s="237">
        <v>41327</v>
      </c>
      <c r="M1313" s="1" t="s">
        <v>167</v>
      </c>
      <c r="N1313" s="235">
        <f t="shared" si="100"/>
        <v>2842</v>
      </c>
      <c r="O1313" s="235">
        <f t="shared" si="103"/>
        <v>0</v>
      </c>
      <c r="P1313" s="238" t="s">
        <v>4912</v>
      </c>
      <c r="Q1313" s="5" t="s">
        <v>4913</v>
      </c>
      <c r="R1313" s="239" t="s">
        <v>4618</v>
      </c>
      <c r="S1313" s="238" t="s">
        <v>4619</v>
      </c>
      <c r="T1313" s="238" t="s">
        <v>4620</v>
      </c>
      <c r="U1313" s="238" t="s">
        <v>4914</v>
      </c>
      <c r="V1313" s="238" t="s">
        <v>4937</v>
      </c>
      <c r="W1313" s="236">
        <v>9687.5</v>
      </c>
      <c r="X1313" s="233">
        <v>41305</v>
      </c>
      <c r="Y1313" s="238" t="s">
        <v>4973</v>
      </c>
      <c r="AB1313" s="1" t="s">
        <v>4849</v>
      </c>
    </row>
    <row r="1314" spans="1:28">
      <c r="A1314" s="233">
        <v>41303</v>
      </c>
      <c r="B1314" s="136" t="s">
        <v>4903</v>
      </c>
      <c r="C1314" s="1" t="s">
        <v>4860</v>
      </c>
      <c r="D1314" s="5" t="s">
        <v>1227</v>
      </c>
      <c r="E1314" s="1" t="s">
        <v>2059</v>
      </c>
      <c r="F1314" s="1">
        <v>20</v>
      </c>
      <c r="G1314" s="1" t="s">
        <v>4858</v>
      </c>
      <c r="H1314" s="234">
        <v>45</v>
      </c>
      <c r="I1314" s="235">
        <f t="shared" si="105"/>
        <v>900</v>
      </c>
      <c r="K1314" s="250">
        <f>40*20</f>
        <v>800</v>
      </c>
      <c r="L1314" s="237">
        <v>41327</v>
      </c>
      <c r="M1314" s="1" t="s">
        <v>167</v>
      </c>
      <c r="N1314" s="235">
        <f t="shared" si="100"/>
        <v>900</v>
      </c>
      <c r="O1314" s="235">
        <f t="shared" si="103"/>
        <v>0</v>
      </c>
      <c r="P1314" s="238" t="s">
        <v>4912</v>
      </c>
      <c r="Q1314" s="5" t="s">
        <v>4993</v>
      </c>
      <c r="R1314" s="239" t="s">
        <v>4618</v>
      </c>
      <c r="S1314" s="238" t="s">
        <v>4619</v>
      </c>
      <c r="T1314" s="238" t="s">
        <v>4620</v>
      </c>
      <c r="U1314" s="238" t="s">
        <v>4994</v>
      </c>
      <c r="V1314" s="238" t="s">
        <v>4937</v>
      </c>
      <c r="W1314" s="236">
        <v>9687.5</v>
      </c>
      <c r="X1314" s="233">
        <v>41305</v>
      </c>
      <c r="Y1314" s="238" t="s">
        <v>4973</v>
      </c>
      <c r="AB1314" s="1" t="s">
        <v>4849</v>
      </c>
    </row>
    <row r="1315" spans="1:28">
      <c r="A1315" s="233">
        <v>41303</v>
      </c>
      <c r="B1315" s="136" t="s">
        <v>4903</v>
      </c>
      <c r="C1315" s="1" t="s">
        <v>4860</v>
      </c>
      <c r="D1315" s="5" t="s">
        <v>4906</v>
      </c>
      <c r="E1315" s="1" t="s">
        <v>2069</v>
      </c>
      <c r="F1315" s="1">
        <v>100</v>
      </c>
      <c r="G1315" s="1" t="s">
        <v>4866</v>
      </c>
      <c r="H1315" s="234">
        <v>6.61</v>
      </c>
      <c r="I1315" s="235">
        <f t="shared" si="105"/>
        <v>661</v>
      </c>
      <c r="K1315" s="250">
        <f>4.98*100</f>
        <v>498.00000000000006</v>
      </c>
      <c r="L1315" s="237">
        <v>41327</v>
      </c>
      <c r="M1315" s="1" t="s">
        <v>167</v>
      </c>
      <c r="N1315" s="235">
        <f t="shared" si="100"/>
        <v>661</v>
      </c>
      <c r="O1315" s="235">
        <f t="shared" si="103"/>
        <v>0</v>
      </c>
      <c r="P1315" s="238" t="s">
        <v>4912</v>
      </c>
      <c r="Q1315" s="5" t="s">
        <v>4913</v>
      </c>
      <c r="R1315" s="239" t="s">
        <v>4618</v>
      </c>
      <c r="S1315" s="238" t="s">
        <v>4619</v>
      </c>
      <c r="T1315" s="238" t="s">
        <v>4620</v>
      </c>
      <c r="U1315" s="238" t="s">
        <v>4914</v>
      </c>
      <c r="V1315" s="238" t="s">
        <v>4937</v>
      </c>
      <c r="W1315" s="236">
        <v>9687.5</v>
      </c>
      <c r="X1315" s="233">
        <v>41305</v>
      </c>
      <c r="Y1315" s="238" t="s">
        <v>4973</v>
      </c>
      <c r="AB1315" s="1" t="s">
        <v>4849</v>
      </c>
    </row>
    <row r="1316" spans="1:28">
      <c r="A1316" s="233">
        <v>41303</v>
      </c>
      <c r="B1316" s="136" t="s">
        <v>4903</v>
      </c>
      <c r="C1316" s="1" t="s">
        <v>4860</v>
      </c>
      <c r="D1316" s="5" t="s">
        <v>4907</v>
      </c>
      <c r="E1316" s="1" t="s">
        <v>2070</v>
      </c>
      <c r="F1316" s="1">
        <v>50</v>
      </c>
      <c r="G1316" s="1" t="s">
        <v>4866</v>
      </c>
      <c r="H1316" s="234">
        <v>1.91</v>
      </c>
      <c r="I1316" s="235">
        <f t="shared" si="105"/>
        <v>95.5</v>
      </c>
      <c r="K1316" s="250">
        <f>1.17*50</f>
        <v>58.5</v>
      </c>
      <c r="L1316" s="237">
        <v>41327</v>
      </c>
      <c r="M1316" s="1" t="s">
        <v>167</v>
      </c>
      <c r="N1316" s="235">
        <f t="shared" si="100"/>
        <v>95.5</v>
      </c>
      <c r="O1316" s="235">
        <f t="shared" si="103"/>
        <v>0</v>
      </c>
      <c r="P1316" s="238" t="s">
        <v>4912</v>
      </c>
      <c r="Q1316" s="5" t="s">
        <v>4913</v>
      </c>
      <c r="R1316" s="239" t="s">
        <v>4618</v>
      </c>
      <c r="S1316" s="238" t="s">
        <v>4619</v>
      </c>
      <c r="T1316" s="238" t="s">
        <v>4620</v>
      </c>
      <c r="U1316" s="238" t="s">
        <v>4914</v>
      </c>
      <c r="V1316" s="238" t="s">
        <v>4937</v>
      </c>
      <c r="W1316" s="236">
        <v>9687.5</v>
      </c>
      <c r="X1316" s="233">
        <v>41305</v>
      </c>
      <c r="Y1316" s="238" t="s">
        <v>4973</v>
      </c>
      <c r="AB1316" s="1" t="s">
        <v>4849</v>
      </c>
    </row>
    <row r="1317" spans="1:28">
      <c r="A1317" s="233">
        <v>41303</v>
      </c>
      <c r="B1317" s="136" t="s">
        <v>4903</v>
      </c>
      <c r="C1317" s="1" t="s">
        <v>4860</v>
      </c>
      <c r="D1317" s="5" t="s">
        <v>264</v>
      </c>
      <c r="E1317" s="1" t="s">
        <v>2134</v>
      </c>
      <c r="F1317" s="1">
        <v>50</v>
      </c>
      <c r="G1317" s="1" t="s">
        <v>2101</v>
      </c>
      <c r="H1317" s="234">
        <v>2.58</v>
      </c>
      <c r="I1317" s="235">
        <f t="shared" si="105"/>
        <v>129</v>
      </c>
      <c r="K1317" s="250">
        <f>1.58*50</f>
        <v>79</v>
      </c>
      <c r="L1317" s="237">
        <v>41327</v>
      </c>
      <c r="M1317" s="1" t="s">
        <v>167</v>
      </c>
      <c r="N1317" s="235">
        <f t="shared" si="100"/>
        <v>129</v>
      </c>
      <c r="O1317" s="235">
        <f t="shared" si="103"/>
        <v>0</v>
      </c>
      <c r="P1317" s="238" t="s">
        <v>4912</v>
      </c>
      <c r="Q1317" s="5" t="s">
        <v>4913</v>
      </c>
      <c r="R1317" s="239" t="s">
        <v>4618</v>
      </c>
      <c r="S1317" s="238" t="s">
        <v>4619</v>
      </c>
      <c r="T1317" s="238" t="s">
        <v>4620</v>
      </c>
      <c r="U1317" s="238" t="s">
        <v>4914</v>
      </c>
      <c r="V1317" s="238" t="s">
        <v>4937</v>
      </c>
      <c r="W1317" s="236">
        <v>9687.5</v>
      </c>
      <c r="X1317" s="233">
        <v>41305</v>
      </c>
      <c r="Y1317" s="238" t="s">
        <v>4973</v>
      </c>
      <c r="AB1317" s="1" t="s">
        <v>2094</v>
      </c>
    </row>
    <row r="1318" spans="1:28">
      <c r="A1318" s="233">
        <v>41303</v>
      </c>
      <c r="B1318" s="136" t="s">
        <v>4091</v>
      </c>
      <c r="C1318" s="1" t="s">
        <v>2095</v>
      </c>
      <c r="D1318" s="1" t="s">
        <v>2024</v>
      </c>
      <c r="E1318" s="1">
        <v>10434</v>
      </c>
      <c r="F1318" s="1">
        <v>80</v>
      </c>
      <c r="G1318" s="1" t="s">
        <v>2420</v>
      </c>
      <c r="H1318" s="234">
        <v>21.5</v>
      </c>
      <c r="I1318" s="235">
        <f t="shared" si="105"/>
        <v>1720</v>
      </c>
      <c r="K1318" s="250">
        <f>13.8*50+14.2*30</f>
        <v>1116</v>
      </c>
      <c r="L1318" s="237">
        <v>41327</v>
      </c>
      <c r="M1318" s="1" t="s">
        <v>167</v>
      </c>
      <c r="N1318" s="235">
        <f t="shared" si="100"/>
        <v>1720</v>
      </c>
      <c r="O1318" s="235">
        <f t="shared" si="103"/>
        <v>0</v>
      </c>
      <c r="P1318" s="238" t="s">
        <v>4912</v>
      </c>
      <c r="Q1318" s="5" t="s">
        <v>4913</v>
      </c>
      <c r="R1318" s="239" t="s">
        <v>4618</v>
      </c>
      <c r="S1318" s="238" t="s">
        <v>4619</v>
      </c>
      <c r="T1318" s="238" t="s">
        <v>4620</v>
      </c>
      <c r="U1318" s="238" t="s">
        <v>4914</v>
      </c>
      <c r="V1318" s="238" t="s">
        <v>4937</v>
      </c>
      <c r="W1318" s="236">
        <v>9687.5</v>
      </c>
      <c r="X1318" s="233">
        <v>41305</v>
      </c>
      <c r="Y1318" s="238" t="s">
        <v>4973</v>
      </c>
      <c r="AB1318" s="1" t="s">
        <v>2094</v>
      </c>
    </row>
    <row r="1319" spans="1:28">
      <c r="A1319" s="233">
        <v>41303</v>
      </c>
      <c r="B1319" s="136" t="s">
        <v>4091</v>
      </c>
      <c r="C1319" s="1" t="s">
        <v>2095</v>
      </c>
      <c r="D1319" s="5" t="s">
        <v>2057</v>
      </c>
      <c r="E1319" s="1">
        <v>10435</v>
      </c>
      <c r="F1319" s="1">
        <v>20</v>
      </c>
      <c r="G1319" s="1" t="s">
        <v>2420</v>
      </c>
      <c r="H1319" s="234">
        <v>21.5</v>
      </c>
      <c r="I1319" s="235">
        <f t="shared" si="105"/>
        <v>430</v>
      </c>
      <c r="K1319" s="282">
        <f>14.8*20</f>
        <v>296</v>
      </c>
      <c r="L1319" s="237">
        <v>41327</v>
      </c>
      <c r="M1319" s="1" t="s">
        <v>167</v>
      </c>
      <c r="N1319" s="235">
        <f t="shared" si="100"/>
        <v>430</v>
      </c>
      <c r="O1319" s="235">
        <f t="shared" si="103"/>
        <v>0</v>
      </c>
      <c r="P1319" s="238" t="s">
        <v>4912</v>
      </c>
      <c r="Q1319" s="5" t="s">
        <v>4913</v>
      </c>
      <c r="R1319" s="239" t="s">
        <v>4618</v>
      </c>
      <c r="S1319" s="238" t="s">
        <v>4619</v>
      </c>
      <c r="T1319" s="238" t="s">
        <v>4620</v>
      </c>
      <c r="U1319" s="238" t="s">
        <v>4914</v>
      </c>
      <c r="V1319" s="238" t="s">
        <v>4937</v>
      </c>
      <c r="W1319" s="236">
        <v>9687.5</v>
      </c>
      <c r="X1319" s="233">
        <v>41305</v>
      </c>
      <c r="Y1319" s="238" t="s">
        <v>4973</v>
      </c>
      <c r="Z1319" s="255" t="s">
        <v>4540</v>
      </c>
      <c r="AB1319" s="1" t="s">
        <v>2094</v>
      </c>
    </row>
    <row r="1320" spans="1:28">
      <c r="A1320" s="233">
        <v>41303</v>
      </c>
      <c r="B1320" s="136" t="s">
        <v>4091</v>
      </c>
      <c r="C1320" s="1" t="s">
        <v>2095</v>
      </c>
      <c r="D1320" s="1" t="s">
        <v>1219</v>
      </c>
      <c r="E1320" s="1" t="s">
        <v>2533</v>
      </c>
      <c r="F1320" s="1">
        <v>10</v>
      </c>
      <c r="G1320" s="1" t="s">
        <v>2420</v>
      </c>
      <c r="H1320" s="234">
        <v>18</v>
      </c>
      <c r="I1320" s="235">
        <f t="shared" si="105"/>
        <v>180</v>
      </c>
      <c r="K1320" s="250">
        <f>12.6*10</f>
        <v>126</v>
      </c>
      <c r="L1320" s="237">
        <v>41327</v>
      </c>
      <c r="M1320" s="1" t="s">
        <v>167</v>
      </c>
      <c r="N1320" s="235">
        <f t="shared" si="100"/>
        <v>180</v>
      </c>
      <c r="O1320" s="235">
        <f t="shared" si="103"/>
        <v>0</v>
      </c>
      <c r="P1320" s="238" t="s">
        <v>4912</v>
      </c>
      <c r="Q1320" s="5" t="s">
        <v>4913</v>
      </c>
      <c r="R1320" s="239" t="s">
        <v>4618</v>
      </c>
      <c r="S1320" s="238" t="s">
        <v>4619</v>
      </c>
      <c r="T1320" s="238" t="s">
        <v>4620</v>
      </c>
      <c r="U1320" s="238" t="s">
        <v>4914</v>
      </c>
      <c r="V1320" s="238" t="s">
        <v>4937</v>
      </c>
      <c r="W1320" s="236">
        <v>9687.5</v>
      </c>
      <c r="X1320" s="233">
        <v>41305</v>
      </c>
      <c r="Y1320" s="238" t="s">
        <v>4973</v>
      </c>
      <c r="AB1320" s="1" t="s">
        <v>2094</v>
      </c>
    </row>
    <row r="1321" spans="1:28">
      <c r="A1321" s="233">
        <v>41304</v>
      </c>
      <c r="B1321" s="1" t="s">
        <v>4636</v>
      </c>
      <c r="C1321" s="1" t="s">
        <v>189</v>
      </c>
      <c r="D1321" s="1" t="s">
        <v>2056</v>
      </c>
      <c r="E1321" s="1" t="s">
        <v>4840</v>
      </c>
      <c r="F1321" s="1">
        <v>-3</v>
      </c>
      <c r="G1321" s="1" t="s">
        <v>4920</v>
      </c>
      <c r="H1321" s="234">
        <v>9</v>
      </c>
      <c r="I1321" s="235">
        <f t="shared" ref="I1321:I1338" si="106">F1321*H1321</f>
        <v>-27</v>
      </c>
      <c r="K1321" s="282">
        <v>0</v>
      </c>
      <c r="L1321" s="237">
        <v>41304</v>
      </c>
      <c r="M1321" s="1" t="s">
        <v>4928</v>
      </c>
      <c r="N1321" s="235">
        <f t="shared" si="100"/>
        <v>-27</v>
      </c>
      <c r="O1321" s="235">
        <f t="shared" si="103"/>
        <v>0</v>
      </c>
      <c r="P1321" s="238" t="s">
        <v>4924</v>
      </c>
      <c r="Q1321" s="1" t="s">
        <v>4924</v>
      </c>
      <c r="R1321" s="239" t="s">
        <v>4924</v>
      </c>
      <c r="S1321" s="238" t="s">
        <v>4924</v>
      </c>
      <c r="T1321" s="238" t="s">
        <v>4924</v>
      </c>
      <c r="U1321" s="238" t="s">
        <v>4925</v>
      </c>
      <c r="V1321" s="238" t="s">
        <v>4924</v>
      </c>
      <c r="W1321" s="236" t="s">
        <v>4924</v>
      </c>
      <c r="X1321" s="233" t="s">
        <v>4924</v>
      </c>
      <c r="Y1321" s="238" t="s">
        <v>4924</v>
      </c>
      <c r="Z1321" s="255" t="s">
        <v>6079</v>
      </c>
      <c r="AB1321" s="1" t="s">
        <v>2079</v>
      </c>
    </row>
    <row r="1322" spans="1:28">
      <c r="A1322" s="233">
        <v>41304</v>
      </c>
      <c r="B1322" s="1" t="s">
        <v>4636</v>
      </c>
      <c r="C1322" s="5" t="s">
        <v>163</v>
      </c>
      <c r="D1322" s="1" t="s">
        <v>1832</v>
      </c>
      <c r="E1322" s="1" t="s">
        <v>4921</v>
      </c>
      <c r="F1322" s="1">
        <v>-1</v>
      </c>
      <c r="G1322" s="1" t="s">
        <v>4922</v>
      </c>
      <c r="H1322" s="234">
        <v>125</v>
      </c>
      <c r="I1322" s="235">
        <f t="shared" si="106"/>
        <v>-125</v>
      </c>
      <c r="K1322" s="250">
        <f>-1*85</f>
        <v>-85</v>
      </c>
      <c r="L1322" s="237">
        <v>41304</v>
      </c>
      <c r="M1322" s="1" t="s">
        <v>4928</v>
      </c>
      <c r="N1322" s="235">
        <f t="shared" si="100"/>
        <v>-125</v>
      </c>
      <c r="O1322" s="235">
        <f t="shared" si="103"/>
        <v>0</v>
      </c>
      <c r="P1322" s="238" t="s">
        <v>4924</v>
      </c>
      <c r="Q1322" s="1" t="s">
        <v>4924</v>
      </c>
      <c r="R1322" s="239" t="s">
        <v>4924</v>
      </c>
      <c r="S1322" s="238" t="s">
        <v>4924</v>
      </c>
      <c r="T1322" s="238" t="s">
        <v>4924</v>
      </c>
      <c r="U1322" s="238" t="s">
        <v>4925</v>
      </c>
      <c r="V1322" s="238" t="s">
        <v>4924</v>
      </c>
      <c r="W1322" s="236" t="s">
        <v>4924</v>
      </c>
      <c r="X1322" s="233" t="s">
        <v>4924</v>
      </c>
      <c r="Y1322" s="238" t="s">
        <v>4924</v>
      </c>
      <c r="AB1322" s="1" t="s">
        <v>2079</v>
      </c>
    </row>
    <row r="1323" spans="1:28">
      <c r="A1323" s="233">
        <v>41304</v>
      </c>
      <c r="B1323" s="1" t="s">
        <v>4636</v>
      </c>
      <c r="C1323" s="5" t="s">
        <v>163</v>
      </c>
      <c r="D1323" s="283" t="s">
        <v>1978</v>
      </c>
      <c r="E1323" s="283" t="s">
        <v>1798</v>
      </c>
      <c r="F1323" s="1">
        <v>-1</v>
      </c>
      <c r="G1323" s="1" t="s">
        <v>4922</v>
      </c>
      <c r="H1323" s="234">
        <v>48</v>
      </c>
      <c r="I1323" s="235">
        <f t="shared" si="106"/>
        <v>-48</v>
      </c>
      <c r="K1323" s="250">
        <f>-1*25</f>
        <v>-25</v>
      </c>
      <c r="L1323" s="237">
        <v>41304</v>
      </c>
      <c r="M1323" s="1" t="s">
        <v>4928</v>
      </c>
      <c r="N1323" s="235">
        <f t="shared" si="100"/>
        <v>-48</v>
      </c>
      <c r="O1323" s="235">
        <f t="shared" si="103"/>
        <v>0</v>
      </c>
      <c r="P1323" s="238" t="s">
        <v>4924</v>
      </c>
      <c r="Q1323" s="1" t="s">
        <v>4924</v>
      </c>
      <c r="R1323" s="239" t="s">
        <v>4924</v>
      </c>
      <c r="S1323" s="238" t="s">
        <v>4924</v>
      </c>
      <c r="T1323" s="238" t="s">
        <v>4924</v>
      </c>
      <c r="U1323" s="238" t="s">
        <v>4925</v>
      </c>
      <c r="V1323" s="238" t="s">
        <v>4924</v>
      </c>
      <c r="W1323" s="236" t="s">
        <v>4924</v>
      </c>
      <c r="X1323" s="233" t="s">
        <v>4924</v>
      </c>
      <c r="Y1323" s="238" t="s">
        <v>4924</v>
      </c>
      <c r="AB1323" s="1" t="s">
        <v>2079</v>
      </c>
    </row>
    <row r="1324" spans="1:28">
      <c r="A1324" s="233">
        <v>41304</v>
      </c>
      <c r="B1324" s="1" t="s">
        <v>4636</v>
      </c>
      <c r="C1324" s="5" t="s">
        <v>163</v>
      </c>
      <c r="D1324" s="5" t="s">
        <v>4646</v>
      </c>
      <c r="E1324" s="1" t="s">
        <v>1622</v>
      </c>
      <c r="F1324" s="1">
        <v>-1</v>
      </c>
      <c r="G1324" s="1" t="s">
        <v>4922</v>
      </c>
      <c r="H1324" s="234">
        <v>45</v>
      </c>
      <c r="I1324" s="235">
        <f t="shared" si="106"/>
        <v>-45</v>
      </c>
      <c r="K1324" s="250">
        <f>-1*19.8</f>
        <v>-19.8</v>
      </c>
      <c r="L1324" s="237">
        <v>41304</v>
      </c>
      <c r="M1324" s="1" t="s">
        <v>4928</v>
      </c>
      <c r="N1324" s="235">
        <f t="shared" si="100"/>
        <v>-45</v>
      </c>
      <c r="O1324" s="235">
        <f t="shared" si="103"/>
        <v>0</v>
      </c>
      <c r="P1324" s="238" t="s">
        <v>4924</v>
      </c>
      <c r="Q1324" s="1" t="s">
        <v>4924</v>
      </c>
      <c r="R1324" s="239" t="s">
        <v>4924</v>
      </c>
      <c r="S1324" s="238" t="s">
        <v>4924</v>
      </c>
      <c r="T1324" s="238" t="s">
        <v>4924</v>
      </c>
      <c r="U1324" s="238" t="s">
        <v>4925</v>
      </c>
      <c r="V1324" s="238" t="s">
        <v>4924</v>
      </c>
      <c r="W1324" s="236" t="s">
        <v>4924</v>
      </c>
      <c r="X1324" s="233" t="s">
        <v>4924</v>
      </c>
      <c r="Y1324" s="238" t="s">
        <v>4924</v>
      </c>
      <c r="AB1324" s="1" t="s">
        <v>2079</v>
      </c>
    </row>
    <row r="1325" spans="1:28">
      <c r="A1325" s="233">
        <v>41304</v>
      </c>
      <c r="B1325" s="1" t="s">
        <v>4636</v>
      </c>
      <c r="C1325" s="5" t="s">
        <v>163</v>
      </c>
      <c r="D1325" s="283" t="s">
        <v>1979</v>
      </c>
      <c r="E1325" s="283" t="s">
        <v>1624</v>
      </c>
      <c r="F1325" s="1">
        <v>-1</v>
      </c>
      <c r="G1325" s="1" t="s">
        <v>1074</v>
      </c>
      <c r="H1325" s="234">
        <v>42</v>
      </c>
      <c r="I1325" s="235">
        <f t="shared" si="106"/>
        <v>-42</v>
      </c>
      <c r="K1325" s="250">
        <f>17.82*-1</f>
        <v>-17.82</v>
      </c>
      <c r="L1325" s="237">
        <v>41304</v>
      </c>
      <c r="M1325" s="1" t="s">
        <v>4928</v>
      </c>
      <c r="N1325" s="235">
        <f t="shared" si="100"/>
        <v>-42</v>
      </c>
      <c r="O1325" s="235">
        <f t="shared" si="103"/>
        <v>0</v>
      </c>
      <c r="P1325" s="238" t="s">
        <v>4924</v>
      </c>
      <c r="Q1325" s="1" t="s">
        <v>4924</v>
      </c>
      <c r="R1325" s="239" t="s">
        <v>4924</v>
      </c>
      <c r="S1325" s="238" t="s">
        <v>4924</v>
      </c>
      <c r="T1325" s="238" t="s">
        <v>4924</v>
      </c>
      <c r="U1325" s="238" t="s">
        <v>4925</v>
      </c>
      <c r="V1325" s="238" t="s">
        <v>4924</v>
      </c>
      <c r="W1325" s="236" t="s">
        <v>4924</v>
      </c>
      <c r="X1325" s="233" t="s">
        <v>4924</v>
      </c>
      <c r="Y1325" s="238" t="s">
        <v>4924</v>
      </c>
      <c r="AB1325" s="1" t="s">
        <v>2079</v>
      </c>
    </row>
    <row r="1326" spans="1:28">
      <c r="A1326" s="233">
        <v>41304</v>
      </c>
      <c r="B1326" s="1" t="s">
        <v>4636</v>
      </c>
      <c r="C1326" s="5" t="s">
        <v>163</v>
      </c>
      <c r="D1326" s="1" t="s">
        <v>4923</v>
      </c>
      <c r="E1326" s="1" t="s">
        <v>4926</v>
      </c>
      <c r="F1326" s="1">
        <v>-1</v>
      </c>
      <c r="G1326" s="1" t="s">
        <v>1635</v>
      </c>
      <c r="H1326" s="234">
        <v>35</v>
      </c>
      <c r="I1326" s="235">
        <f t="shared" si="106"/>
        <v>-35</v>
      </c>
      <c r="K1326" s="250">
        <f>-1*27</f>
        <v>-27</v>
      </c>
      <c r="L1326" s="237">
        <v>41304</v>
      </c>
      <c r="M1326" s="1" t="s">
        <v>4928</v>
      </c>
      <c r="N1326" s="235">
        <f t="shared" si="100"/>
        <v>-35</v>
      </c>
      <c r="O1326" s="235">
        <f t="shared" si="103"/>
        <v>0</v>
      </c>
      <c r="P1326" s="238" t="s">
        <v>4924</v>
      </c>
      <c r="Q1326" s="1" t="s">
        <v>4924</v>
      </c>
      <c r="R1326" s="239" t="s">
        <v>4924</v>
      </c>
      <c r="S1326" s="238" t="s">
        <v>4924</v>
      </c>
      <c r="T1326" s="238" t="s">
        <v>4924</v>
      </c>
      <c r="U1326" s="238" t="s">
        <v>4925</v>
      </c>
      <c r="V1326" s="238" t="s">
        <v>4924</v>
      </c>
      <c r="W1326" s="236" t="s">
        <v>4924</v>
      </c>
      <c r="X1326" s="233" t="s">
        <v>4924</v>
      </c>
      <c r="Y1326" s="238" t="s">
        <v>4924</v>
      </c>
      <c r="AB1326" s="1" t="s">
        <v>2079</v>
      </c>
    </row>
    <row r="1327" spans="1:28">
      <c r="A1327" s="233">
        <v>41304</v>
      </c>
      <c r="B1327" s="1" t="s">
        <v>1578</v>
      </c>
      <c r="C1327" s="5" t="s">
        <v>163</v>
      </c>
      <c r="D1327" s="284" t="s">
        <v>355</v>
      </c>
      <c r="E1327" s="1" t="s">
        <v>4929</v>
      </c>
      <c r="F1327" s="1">
        <v>120</v>
      </c>
      <c r="G1327" s="1" t="s">
        <v>4922</v>
      </c>
      <c r="H1327" s="234">
        <v>12.93</v>
      </c>
      <c r="I1327" s="235">
        <f t="shared" si="106"/>
        <v>1551.6</v>
      </c>
      <c r="K1327" s="250">
        <f>10.94*120</f>
        <v>1312.8</v>
      </c>
      <c r="L1327" s="237">
        <v>41361</v>
      </c>
      <c r="M1327" s="1" t="s">
        <v>167</v>
      </c>
      <c r="N1327" s="235">
        <f t="shared" si="100"/>
        <v>1551.6</v>
      </c>
      <c r="O1327" s="235">
        <f t="shared" si="103"/>
        <v>0</v>
      </c>
      <c r="P1327" s="238" t="s">
        <v>4934</v>
      </c>
      <c r="Q1327" s="1" t="s">
        <v>1580</v>
      </c>
      <c r="R1327" s="239" t="s">
        <v>1579</v>
      </c>
      <c r="S1327" s="238">
        <v>13368068212</v>
      </c>
      <c r="T1327" s="238" t="s">
        <v>168</v>
      </c>
      <c r="U1327" s="238" t="s">
        <v>168</v>
      </c>
      <c r="V1327" s="238" t="s">
        <v>5297</v>
      </c>
      <c r="W1327" s="236">
        <v>4068.78</v>
      </c>
      <c r="X1327" s="233">
        <v>41332</v>
      </c>
      <c r="Y1327" s="238" t="s">
        <v>3895</v>
      </c>
      <c r="AB1327" s="1" t="s">
        <v>1570</v>
      </c>
    </row>
    <row r="1328" spans="1:28">
      <c r="A1328" s="233">
        <v>41304</v>
      </c>
      <c r="B1328" s="1" t="s">
        <v>1578</v>
      </c>
      <c r="C1328" s="5" t="s">
        <v>163</v>
      </c>
      <c r="D1328" s="1" t="s">
        <v>241</v>
      </c>
      <c r="E1328" s="1">
        <v>6200</v>
      </c>
      <c r="F1328" s="1">
        <v>7</v>
      </c>
      <c r="G1328" s="1" t="s">
        <v>4922</v>
      </c>
      <c r="H1328" s="234">
        <v>45</v>
      </c>
      <c r="I1328" s="235">
        <f t="shared" si="106"/>
        <v>315</v>
      </c>
      <c r="K1328" s="250">
        <f>42.5*7</f>
        <v>297.5</v>
      </c>
      <c r="L1328" s="237">
        <v>41361</v>
      </c>
      <c r="M1328" s="1" t="s">
        <v>167</v>
      </c>
      <c r="N1328" s="235">
        <f t="shared" si="100"/>
        <v>315</v>
      </c>
      <c r="O1328" s="235">
        <f t="shared" si="103"/>
        <v>0</v>
      </c>
      <c r="P1328" s="238" t="s">
        <v>4934</v>
      </c>
      <c r="Q1328" s="1" t="s">
        <v>1580</v>
      </c>
      <c r="R1328" s="239" t="s">
        <v>1579</v>
      </c>
      <c r="S1328" s="238">
        <v>13368068212</v>
      </c>
      <c r="T1328" s="238" t="s">
        <v>168</v>
      </c>
      <c r="U1328" s="238" t="s">
        <v>168</v>
      </c>
      <c r="V1328" s="238" t="s">
        <v>5297</v>
      </c>
      <c r="W1328" s="236">
        <v>4068.78</v>
      </c>
      <c r="X1328" s="233">
        <v>41332</v>
      </c>
      <c r="Y1328" s="238" t="s">
        <v>3895</v>
      </c>
      <c r="AB1328" s="1" t="s">
        <v>1570</v>
      </c>
    </row>
    <row r="1329" spans="1:28">
      <c r="A1329" s="233">
        <v>41304</v>
      </c>
      <c r="B1329" s="1" t="s">
        <v>1578</v>
      </c>
      <c r="C1329" s="5" t="s">
        <v>163</v>
      </c>
      <c r="D1329" s="284" t="s">
        <v>4933</v>
      </c>
      <c r="E1329" s="1">
        <v>501</v>
      </c>
      <c r="F1329" s="1">
        <v>18</v>
      </c>
      <c r="G1329" s="1" t="s">
        <v>4922</v>
      </c>
      <c r="H1329" s="234">
        <v>1.53</v>
      </c>
      <c r="I1329" s="235">
        <f t="shared" si="106"/>
        <v>27.54</v>
      </c>
      <c r="K1329" s="250">
        <f>1.4*18</f>
        <v>25.2</v>
      </c>
      <c r="L1329" s="237">
        <v>41361</v>
      </c>
      <c r="M1329" s="1" t="s">
        <v>167</v>
      </c>
      <c r="N1329" s="235">
        <f t="shared" si="100"/>
        <v>27.54</v>
      </c>
      <c r="O1329" s="235">
        <f t="shared" si="103"/>
        <v>0</v>
      </c>
      <c r="P1329" s="238" t="s">
        <v>4934</v>
      </c>
      <c r="Q1329" s="1" t="s">
        <v>1580</v>
      </c>
      <c r="R1329" s="239" t="s">
        <v>1579</v>
      </c>
      <c r="S1329" s="238">
        <v>13368068212</v>
      </c>
      <c r="T1329" s="238" t="s">
        <v>168</v>
      </c>
      <c r="U1329" s="238" t="s">
        <v>168</v>
      </c>
      <c r="V1329" s="238" t="s">
        <v>5297</v>
      </c>
      <c r="W1329" s="236">
        <v>4068.78</v>
      </c>
      <c r="X1329" s="233">
        <v>41332</v>
      </c>
      <c r="Y1329" s="238" t="s">
        <v>3895</v>
      </c>
      <c r="AB1329" s="1" t="s">
        <v>1570</v>
      </c>
    </row>
    <row r="1330" spans="1:28">
      <c r="A1330" s="233">
        <v>41304</v>
      </c>
      <c r="B1330" s="1" t="s">
        <v>1578</v>
      </c>
      <c r="C1330" s="5" t="s">
        <v>163</v>
      </c>
      <c r="D1330" s="5" t="s">
        <v>183</v>
      </c>
      <c r="E1330" s="1" t="s">
        <v>4930</v>
      </c>
      <c r="F1330" s="1">
        <v>18</v>
      </c>
      <c r="G1330" s="1" t="s">
        <v>4931</v>
      </c>
      <c r="H1330" s="234">
        <v>5.2</v>
      </c>
      <c r="I1330" s="235">
        <f t="shared" si="106"/>
        <v>93.600000000000009</v>
      </c>
      <c r="K1330" s="250">
        <f>4.75*18</f>
        <v>85.5</v>
      </c>
      <c r="L1330" s="237">
        <v>41361</v>
      </c>
      <c r="M1330" s="1" t="s">
        <v>167</v>
      </c>
      <c r="N1330" s="235">
        <f t="shared" si="100"/>
        <v>93.600000000000009</v>
      </c>
      <c r="O1330" s="235">
        <f t="shared" si="103"/>
        <v>0</v>
      </c>
      <c r="P1330" s="238" t="s">
        <v>4934</v>
      </c>
      <c r="Q1330" s="1" t="s">
        <v>1580</v>
      </c>
      <c r="R1330" s="239" t="s">
        <v>1579</v>
      </c>
      <c r="S1330" s="238">
        <v>13368068212</v>
      </c>
      <c r="T1330" s="238" t="s">
        <v>168</v>
      </c>
      <c r="U1330" s="238" t="s">
        <v>168</v>
      </c>
      <c r="V1330" s="238" t="s">
        <v>5297</v>
      </c>
      <c r="W1330" s="236">
        <v>4068.78</v>
      </c>
      <c r="X1330" s="233">
        <v>41332</v>
      </c>
      <c r="Y1330" s="238" t="s">
        <v>3895</v>
      </c>
      <c r="AB1330" s="1" t="s">
        <v>1570</v>
      </c>
    </row>
    <row r="1331" spans="1:28">
      <c r="A1331" s="233">
        <v>41304</v>
      </c>
      <c r="B1331" s="1" t="s">
        <v>1578</v>
      </c>
      <c r="C1331" s="5" t="s">
        <v>163</v>
      </c>
      <c r="D1331" s="5" t="s">
        <v>1895</v>
      </c>
      <c r="E1331" s="1" t="s">
        <v>146</v>
      </c>
      <c r="F1331" s="1">
        <v>18</v>
      </c>
      <c r="G1331" s="1" t="s">
        <v>4922</v>
      </c>
      <c r="H1331" s="234">
        <v>18</v>
      </c>
      <c r="I1331" s="235">
        <f t="shared" si="106"/>
        <v>324</v>
      </c>
      <c r="K1331" s="250">
        <f>16.5*H1331</f>
        <v>297</v>
      </c>
      <c r="L1331" s="237">
        <v>41361</v>
      </c>
      <c r="M1331" s="1" t="s">
        <v>167</v>
      </c>
      <c r="N1331" s="235">
        <f t="shared" si="100"/>
        <v>324</v>
      </c>
      <c r="O1331" s="235">
        <f t="shared" si="103"/>
        <v>0</v>
      </c>
      <c r="P1331" s="238" t="s">
        <v>4934</v>
      </c>
      <c r="Q1331" s="1" t="s">
        <v>1580</v>
      </c>
      <c r="R1331" s="239" t="s">
        <v>1579</v>
      </c>
      <c r="S1331" s="238">
        <v>13368068212</v>
      </c>
      <c r="T1331" s="238" t="s">
        <v>168</v>
      </c>
      <c r="U1331" s="238" t="s">
        <v>168</v>
      </c>
      <c r="V1331" s="238" t="s">
        <v>5297</v>
      </c>
      <c r="W1331" s="236">
        <v>4068.78</v>
      </c>
      <c r="X1331" s="233">
        <v>41332</v>
      </c>
      <c r="Y1331" s="238" t="s">
        <v>3895</v>
      </c>
      <c r="AB1331" s="1" t="s">
        <v>1570</v>
      </c>
    </row>
    <row r="1332" spans="1:28">
      <c r="A1332" s="233">
        <v>41304</v>
      </c>
      <c r="B1332" s="1" t="s">
        <v>1578</v>
      </c>
      <c r="C1332" s="5" t="s">
        <v>163</v>
      </c>
      <c r="D1332" s="284" t="s">
        <v>595</v>
      </c>
      <c r="E1332" s="1">
        <v>3200</v>
      </c>
      <c r="F1332" s="1">
        <v>40</v>
      </c>
      <c r="G1332" s="1" t="s">
        <v>4922</v>
      </c>
      <c r="H1332" s="234">
        <v>27</v>
      </c>
      <c r="I1332" s="235">
        <f t="shared" si="106"/>
        <v>1080</v>
      </c>
      <c r="K1332" s="250">
        <f>23.94*40</f>
        <v>957.6</v>
      </c>
      <c r="L1332" s="237">
        <v>41361</v>
      </c>
      <c r="M1332" s="1" t="s">
        <v>167</v>
      </c>
      <c r="N1332" s="235">
        <f t="shared" si="100"/>
        <v>1080</v>
      </c>
      <c r="O1332" s="235">
        <f t="shared" si="103"/>
        <v>0</v>
      </c>
      <c r="P1332" s="238" t="s">
        <v>4934</v>
      </c>
      <c r="Q1332" s="1" t="s">
        <v>1580</v>
      </c>
      <c r="R1332" s="239" t="s">
        <v>1579</v>
      </c>
      <c r="S1332" s="238">
        <v>13368068212</v>
      </c>
      <c r="T1332" s="238" t="s">
        <v>168</v>
      </c>
      <c r="U1332" s="238" t="s">
        <v>168</v>
      </c>
      <c r="V1332" s="238" t="s">
        <v>5297</v>
      </c>
      <c r="W1332" s="236">
        <v>4068.78</v>
      </c>
      <c r="X1332" s="233">
        <v>41332</v>
      </c>
      <c r="Y1332" s="238" t="s">
        <v>3895</v>
      </c>
      <c r="AB1332" s="1" t="s">
        <v>1570</v>
      </c>
    </row>
    <row r="1333" spans="1:28">
      <c r="A1333" s="233">
        <v>41304</v>
      </c>
      <c r="B1333" s="1" t="s">
        <v>4087</v>
      </c>
      <c r="C1333" s="5" t="s">
        <v>163</v>
      </c>
      <c r="D1333" s="5" t="s">
        <v>1905</v>
      </c>
      <c r="E1333" s="1">
        <v>9032</v>
      </c>
      <c r="F1333" s="1">
        <v>100</v>
      </c>
      <c r="G1333" s="1" t="s">
        <v>171</v>
      </c>
      <c r="H1333" s="234">
        <v>2.7</v>
      </c>
      <c r="I1333" s="235">
        <f t="shared" si="106"/>
        <v>270</v>
      </c>
      <c r="K1333" s="250">
        <f>1.4929*100</f>
        <v>149.29</v>
      </c>
      <c r="N1333" s="235">
        <v>0</v>
      </c>
      <c r="O1333" s="235">
        <f t="shared" si="103"/>
        <v>270</v>
      </c>
      <c r="P1333" s="238" t="s">
        <v>4935</v>
      </c>
      <c r="Q1333" s="1" t="s">
        <v>2529</v>
      </c>
      <c r="R1333" s="239" t="s">
        <v>5516</v>
      </c>
      <c r="S1333" s="238" t="s">
        <v>5517</v>
      </c>
      <c r="T1333" s="238" t="s">
        <v>3953</v>
      </c>
      <c r="U1333" s="238" t="s">
        <v>168</v>
      </c>
      <c r="V1333" s="238" t="s">
        <v>5545</v>
      </c>
      <c r="W1333" s="236">
        <v>4580</v>
      </c>
      <c r="X1333" s="233">
        <v>41346</v>
      </c>
      <c r="AB1333" s="1" t="s">
        <v>2079</v>
      </c>
    </row>
    <row r="1334" spans="1:28">
      <c r="A1334" s="233">
        <v>41304</v>
      </c>
      <c r="B1334" s="1" t="s">
        <v>4087</v>
      </c>
      <c r="C1334" s="5" t="s">
        <v>163</v>
      </c>
      <c r="D1334" s="1" t="s">
        <v>2024</v>
      </c>
      <c r="E1334" s="1">
        <v>10434</v>
      </c>
      <c r="F1334" s="1">
        <v>20</v>
      </c>
      <c r="G1334" s="1" t="s">
        <v>173</v>
      </c>
      <c r="H1334" s="234">
        <v>23</v>
      </c>
      <c r="I1334" s="235">
        <f t="shared" si="106"/>
        <v>460</v>
      </c>
      <c r="K1334" s="250">
        <f>14.88*20</f>
        <v>297.60000000000002</v>
      </c>
      <c r="N1334" s="235">
        <v>0</v>
      </c>
      <c r="O1334" s="235">
        <f t="shared" si="103"/>
        <v>460</v>
      </c>
      <c r="P1334" s="238" t="s">
        <v>4935</v>
      </c>
      <c r="Q1334" s="1" t="s">
        <v>2529</v>
      </c>
      <c r="R1334" s="239" t="s">
        <v>5516</v>
      </c>
      <c r="S1334" s="238" t="s">
        <v>5517</v>
      </c>
      <c r="T1334" s="238" t="s">
        <v>3953</v>
      </c>
      <c r="U1334" s="238" t="s">
        <v>168</v>
      </c>
      <c r="V1334" s="238" t="s">
        <v>5545</v>
      </c>
      <c r="W1334" s="236">
        <v>4580</v>
      </c>
      <c r="X1334" s="233">
        <v>41346</v>
      </c>
      <c r="AB1334" s="1" t="s">
        <v>2079</v>
      </c>
    </row>
    <row r="1335" spans="1:28">
      <c r="A1335" s="233">
        <v>41304</v>
      </c>
      <c r="B1335" s="1" t="s">
        <v>3544</v>
      </c>
      <c r="C1335" s="5" t="s">
        <v>163</v>
      </c>
      <c r="D1335" s="5" t="s">
        <v>1915</v>
      </c>
      <c r="E1335" s="1">
        <v>1270</v>
      </c>
      <c r="F1335" s="1">
        <v>200</v>
      </c>
      <c r="G1335" s="1" t="s">
        <v>173</v>
      </c>
      <c r="H1335" s="234">
        <v>6.5</v>
      </c>
      <c r="I1335" s="235">
        <f t="shared" si="106"/>
        <v>1300</v>
      </c>
      <c r="K1335" s="250">
        <f>4.31*200</f>
        <v>861.99999999999989</v>
      </c>
      <c r="N1335" s="235">
        <v>0</v>
      </c>
      <c r="O1335" s="235">
        <f t="shared" si="103"/>
        <v>1300</v>
      </c>
      <c r="P1335" s="238" t="s">
        <v>4936</v>
      </c>
      <c r="Q1335" s="1" t="s">
        <v>2529</v>
      </c>
      <c r="R1335" s="239" t="s">
        <v>3887</v>
      </c>
      <c r="S1335" s="238" t="s">
        <v>3888</v>
      </c>
      <c r="T1335" s="238" t="s">
        <v>3953</v>
      </c>
      <c r="U1335" s="238" t="s">
        <v>168</v>
      </c>
      <c r="V1335" s="238" t="s">
        <v>5856</v>
      </c>
      <c r="W1335" s="236">
        <v>5100</v>
      </c>
      <c r="X1335" s="233">
        <v>41360</v>
      </c>
      <c r="Y1335" s="238" t="s">
        <v>5857</v>
      </c>
      <c r="AB1335" s="1" t="s">
        <v>2079</v>
      </c>
    </row>
    <row r="1336" spans="1:28">
      <c r="A1336" s="233">
        <v>41304</v>
      </c>
      <c r="B1336" s="1" t="s">
        <v>3544</v>
      </c>
      <c r="C1336" s="5" t="s">
        <v>163</v>
      </c>
      <c r="D1336" s="1" t="s">
        <v>2024</v>
      </c>
      <c r="E1336" s="1">
        <v>10434</v>
      </c>
      <c r="F1336" s="1">
        <v>100</v>
      </c>
      <c r="G1336" s="1" t="s">
        <v>173</v>
      </c>
      <c r="H1336" s="234">
        <v>23</v>
      </c>
      <c r="I1336" s="235">
        <f t="shared" si="106"/>
        <v>2300</v>
      </c>
      <c r="K1336" s="250">
        <f>14.88*100</f>
        <v>1488</v>
      </c>
      <c r="N1336" s="235">
        <v>0</v>
      </c>
      <c r="O1336" s="235">
        <f t="shared" si="103"/>
        <v>2300</v>
      </c>
      <c r="P1336" s="238" t="s">
        <v>4936</v>
      </c>
      <c r="Q1336" s="1" t="s">
        <v>2529</v>
      </c>
      <c r="R1336" s="239" t="s">
        <v>3887</v>
      </c>
      <c r="S1336" s="238" t="s">
        <v>3888</v>
      </c>
      <c r="T1336" s="238" t="s">
        <v>3953</v>
      </c>
      <c r="U1336" s="238" t="s">
        <v>168</v>
      </c>
      <c r="V1336" s="238" t="s">
        <v>5856</v>
      </c>
      <c r="W1336" s="236">
        <v>5100</v>
      </c>
      <c r="X1336" s="233">
        <v>41360</v>
      </c>
      <c r="Y1336" s="238" t="s">
        <v>5857</v>
      </c>
      <c r="AB1336" s="1" t="s">
        <v>2079</v>
      </c>
    </row>
    <row r="1337" spans="1:28">
      <c r="A1337" s="233">
        <v>41304</v>
      </c>
      <c r="B1337" s="1" t="s">
        <v>3544</v>
      </c>
      <c r="C1337" s="5" t="s">
        <v>163</v>
      </c>
      <c r="D1337" s="1" t="s">
        <v>1720</v>
      </c>
      <c r="E1337" s="1">
        <v>8210</v>
      </c>
      <c r="F1337" s="1">
        <v>100</v>
      </c>
      <c r="G1337" s="1" t="s">
        <v>171</v>
      </c>
      <c r="H1337" s="234">
        <v>6.9</v>
      </c>
      <c r="I1337" s="235">
        <f t="shared" si="106"/>
        <v>690</v>
      </c>
      <c r="K1337" s="250">
        <f>3.63*100</f>
        <v>363</v>
      </c>
      <c r="N1337" s="235">
        <v>0</v>
      </c>
      <c r="O1337" s="235">
        <f t="shared" si="103"/>
        <v>690</v>
      </c>
      <c r="P1337" s="238" t="s">
        <v>4936</v>
      </c>
      <c r="Q1337" s="1" t="s">
        <v>2529</v>
      </c>
      <c r="R1337" s="239" t="s">
        <v>3887</v>
      </c>
      <c r="S1337" s="238" t="s">
        <v>3888</v>
      </c>
      <c r="T1337" s="238" t="s">
        <v>3953</v>
      </c>
      <c r="U1337" s="238" t="s">
        <v>168</v>
      </c>
      <c r="V1337" s="238" t="s">
        <v>5856</v>
      </c>
      <c r="W1337" s="236">
        <v>5100</v>
      </c>
      <c r="X1337" s="233">
        <v>41360</v>
      </c>
      <c r="Y1337" s="238" t="s">
        <v>5857</v>
      </c>
      <c r="AB1337" s="1" t="s">
        <v>2079</v>
      </c>
    </row>
    <row r="1338" spans="1:28">
      <c r="A1338" s="233">
        <v>41304</v>
      </c>
      <c r="B1338" s="1" t="s">
        <v>3544</v>
      </c>
      <c r="C1338" s="5" t="s">
        <v>163</v>
      </c>
      <c r="D1338" s="5" t="s">
        <v>857</v>
      </c>
      <c r="E1338" s="1">
        <v>9032</v>
      </c>
      <c r="F1338" s="1">
        <v>300</v>
      </c>
      <c r="G1338" s="1" t="s">
        <v>171</v>
      </c>
      <c r="H1338" s="234">
        <v>2.7</v>
      </c>
      <c r="I1338" s="235">
        <f t="shared" si="106"/>
        <v>810</v>
      </c>
      <c r="K1338" s="250">
        <f>1.4929*300</f>
        <v>447.86999999999995</v>
      </c>
      <c r="N1338" s="235">
        <v>0</v>
      </c>
      <c r="O1338" s="235">
        <f t="shared" si="103"/>
        <v>810</v>
      </c>
      <c r="P1338" s="238" t="s">
        <v>4936</v>
      </c>
      <c r="Q1338" s="1" t="s">
        <v>2529</v>
      </c>
      <c r="R1338" s="239" t="s">
        <v>3887</v>
      </c>
      <c r="S1338" s="238" t="s">
        <v>3888</v>
      </c>
      <c r="T1338" s="238" t="s">
        <v>3953</v>
      </c>
      <c r="U1338" s="238" t="s">
        <v>168</v>
      </c>
      <c r="V1338" s="238" t="s">
        <v>5856</v>
      </c>
      <c r="W1338" s="236">
        <v>5100</v>
      </c>
      <c r="X1338" s="233">
        <v>41360</v>
      </c>
      <c r="Y1338" s="238" t="s">
        <v>5857</v>
      </c>
      <c r="AB1338" s="1" t="s">
        <v>2079</v>
      </c>
    </row>
    <row r="1339" spans="1:28">
      <c r="A1339" s="233">
        <v>41305</v>
      </c>
      <c r="B1339" s="1" t="s">
        <v>2733</v>
      </c>
      <c r="C1339" s="1" t="s">
        <v>2095</v>
      </c>
      <c r="D1339" s="5" t="s">
        <v>986</v>
      </c>
      <c r="E1339" s="1">
        <v>6800</v>
      </c>
      <c r="F1339" s="1">
        <v>26</v>
      </c>
      <c r="G1339" s="1" t="s">
        <v>2101</v>
      </c>
      <c r="H1339" s="234">
        <v>440</v>
      </c>
      <c r="I1339" s="235">
        <f>F1339*H1339</f>
        <v>11440</v>
      </c>
      <c r="K1339" s="250">
        <f>418*8+434*18</f>
        <v>11156</v>
      </c>
      <c r="L1339" s="237">
        <v>41305</v>
      </c>
      <c r="M1339" s="1" t="s">
        <v>167</v>
      </c>
      <c r="N1339" s="235">
        <f t="shared" si="100"/>
        <v>11440</v>
      </c>
      <c r="O1339" s="235">
        <f t="shared" ref="O1339:O1350" si="107">I1339-N1339</f>
        <v>0</v>
      </c>
      <c r="P1339" s="238" t="s">
        <v>4964</v>
      </c>
      <c r="Q1339" s="5" t="s">
        <v>1571</v>
      </c>
      <c r="R1339" s="239" t="s">
        <v>168</v>
      </c>
      <c r="S1339" s="238" t="s">
        <v>168</v>
      </c>
      <c r="T1339" s="238" t="s">
        <v>168</v>
      </c>
      <c r="U1339" s="238" t="s">
        <v>168</v>
      </c>
      <c r="V1339" s="238" t="s">
        <v>5020</v>
      </c>
      <c r="W1339" s="236">
        <v>34207</v>
      </c>
      <c r="X1339" s="233">
        <v>41309</v>
      </c>
      <c r="Y1339" s="238" t="s">
        <v>5329</v>
      </c>
      <c r="AB1339" s="1" t="s">
        <v>2551</v>
      </c>
    </row>
    <row r="1340" spans="1:28">
      <c r="A1340" s="233">
        <v>41305</v>
      </c>
      <c r="B1340" s="1" t="s">
        <v>2733</v>
      </c>
      <c r="C1340" s="1" t="s">
        <v>2095</v>
      </c>
      <c r="D1340" s="1" t="s">
        <v>241</v>
      </c>
      <c r="E1340" s="1">
        <v>6200</v>
      </c>
      <c r="F1340" s="1">
        <v>40</v>
      </c>
      <c r="G1340" s="1" t="s">
        <v>2101</v>
      </c>
      <c r="H1340" s="234">
        <v>45.7</v>
      </c>
      <c r="I1340" s="235">
        <f t="shared" ref="I1340:I1350" si="108">F1340*H1340</f>
        <v>1828</v>
      </c>
      <c r="K1340" s="250">
        <f>42.5*40</f>
        <v>1700</v>
      </c>
      <c r="L1340" s="237">
        <v>41305</v>
      </c>
      <c r="M1340" s="1" t="s">
        <v>167</v>
      </c>
      <c r="N1340" s="235">
        <f t="shared" si="100"/>
        <v>1828</v>
      </c>
      <c r="O1340" s="235">
        <f t="shared" si="107"/>
        <v>0</v>
      </c>
      <c r="P1340" s="238" t="s">
        <v>4964</v>
      </c>
      <c r="Q1340" s="5" t="s">
        <v>1571</v>
      </c>
      <c r="R1340" s="239" t="s">
        <v>168</v>
      </c>
      <c r="S1340" s="238" t="s">
        <v>168</v>
      </c>
      <c r="T1340" s="238" t="s">
        <v>168</v>
      </c>
      <c r="U1340" s="238" t="s">
        <v>168</v>
      </c>
      <c r="V1340" s="238" t="s">
        <v>5020</v>
      </c>
      <c r="W1340" s="236">
        <v>34207</v>
      </c>
      <c r="X1340" s="233">
        <v>41309</v>
      </c>
      <c r="Y1340" s="238" t="s">
        <v>5329</v>
      </c>
      <c r="AB1340" s="1" t="s">
        <v>2551</v>
      </c>
    </row>
    <row r="1341" spans="1:28">
      <c r="A1341" s="233">
        <v>41305</v>
      </c>
      <c r="B1341" s="1" t="s">
        <v>2333</v>
      </c>
      <c r="C1341" s="1" t="s">
        <v>163</v>
      </c>
      <c r="D1341" s="1" t="s">
        <v>241</v>
      </c>
      <c r="E1341" s="1">
        <v>6200</v>
      </c>
      <c r="F1341" s="1">
        <v>10</v>
      </c>
      <c r="G1341" s="1" t="s">
        <v>171</v>
      </c>
      <c r="H1341" s="234">
        <v>45.7</v>
      </c>
      <c r="I1341" s="235">
        <f t="shared" si="108"/>
        <v>457</v>
      </c>
      <c r="K1341" s="250">
        <f>42.5*10</f>
        <v>425</v>
      </c>
      <c r="L1341" s="237">
        <v>41309</v>
      </c>
      <c r="M1341" s="1" t="s">
        <v>167</v>
      </c>
      <c r="N1341" s="235">
        <f t="shared" si="100"/>
        <v>457</v>
      </c>
      <c r="O1341" s="235">
        <f t="shared" si="107"/>
        <v>0</v>
      </c>
      <c r="P1341" s="238" t="s">
        <v>4964</v>
      </c>
      <c r="Q1341" s="5" t="s">
        <v>1571</v>
      </c>
      <c r="R1341" s="239" t="s">
        <v>168</v>
      </c>
      <c r="S1341" s="238" t="s">
        <v>168</v>
      </c>
      <c r="T1341" s="238" t="s">
        <v>168</v>
      </c>
      <c r="U1341" s="238" t="s">
        <v>168</v>
      </c>
      <c r="V1341" s="238" t="s">
        <v>5020</v>
      </c>
      <c r="W1341" s="236">
        <v>34207</v>
      </c>
      <c r="X1341" s="233">
        <v>41309</v>
      </c>
      <c r="Y1341" s="238" t="s">
        <v>5329</v>
      </c>
      <c r="AB1341" s="1" t="s">
        <v>1570</v>
      </c>
    </row>
    <row r="1342" spans="1:28">
      <c r="A1342" s="233">
        <v>41305</v>
      </c>
      <c r="B1342" s="1" t="s">
        <v>2733</v>
      </c>
      <c r="C1342" s="1" t="s">
        <v>2095</v>
      </c>
      <c r="D1342" s="225" t="s">
        <v>274</v>
      </c>
      <c r="E1342" s="1" t="s">
        <v>2126</v>
      </c>
      <c r="F1342" s="1">
        <v>170</v>
      </c>
      <c r="G1342" s="1" t="s">
        <v>2101</v>
      </c>
      <c r="H1342" s="234">
        <v>31.5</v>
      </c>
      <c r="I1342" s="235">
        <f t="shared" si="108"/>
        <v>5355</v>
      </c>
      <c r="K1342" s="250">
        <f>29*170</f>
        <v>4930</v>
      </c>
      <c r="L1342" s="237">
        <v>41305</v>
      </c>
      <c r="M1342" s="1" t="s">
        <v>167</v>
      </c>
      <c r="N1342" s="235">
        <f t="shared" si="100"/>
        <v>5355</v>
      </c>
      <c r="O1342" s="235">
        <f t="shared" si="107"/>
        <v>0</v>
      </c>
      <c r="P1342" s="238" t="s">
        <v>4964</v>
      </c>
      <c r="Q1342" s="5" t="s">
        <v>1571</v>
      </c>
      <c r="R1342" s="239" t="s">
        <v>168</v>
      </c>
      <c r="S1342" s="238" t="s">
        <v>168</v>
      </c>
      <c r="T1342" s="238" t="s">
        <v>168</v>
      </c>
      <c r="U1342" s="238" t="s">
        <v>168</v>
      </c>
      <c r="V1342" s="238" t="s">
        <v>5020</v>
      </c>
      <c r="W1342" s="236">
        <v>34207</v>
      </c>
      <c r="X1342" s="233">
        <v>41309</v>
      </c>
      <c r="Y1342" s="238" t="s">
        <v>5329</v>
      </c>
      <c r="AB1342" s="1" t="s">
        <v>2551</v>
      </c>
    </row>
    <row r="1343" spans="1:28">
      <c r="A1343" s="233">
        <v>41305</v>
      </c>
      <c r="B1343" s="1" t="s">
        <v>2733</v>
      </c>
      <c r="C1343" s="1" t="s">
        <v>2095</v>
      </c>
      <c r="D1343" s="1" t="s">
        <v>1224</v>
      </c>
      <c r="E1343" s="1">
        <v>6004</v>
      </c>
      <c r="F1343" s="1">
        <v>270</v>
      </c>
      <c r="G1343" s="1" t="s">
        <v>2101</v>
      </c>
      <c r="H1343" s="234">
        <v>43.1</v>
      </c>
      <c r="I1343" s="235">
        <f t="shared" si="108"/>
        <v>11637</v>
      </c>
      <c r="K1343" s="250">
        <f>40*270</f>
        <v>10800</v>
      </c>
      <c r="L1343" s="237">
        <v>41305</v>
      </c>
      <c r="M1343" s="1" t="s">
        <v>167</v>
      </c>
      <c r="N1343" s="235">
        <f t="shared" ref="N1343:N1406" si="109">I1343</f>
        <v>11637</v>
      </c>
      <c r="O1343" s="235">
        <f t="shared" si="107"/>
        <v>0</v>
      </c>
      <c r="P1343" s="238" t="s">
        <v>4964</v>
      </c>
      <c r="Q1343" s="5" t="s">
        <v>1571</v>
      </c>
      <c r="R1343" s="239" t="s">
        <v>168</v>
      </c>
      <c r="S1343" s="238" t="s">
        <v>168</v>
      </c>
      <c r="T1343" s="238" t="s">
        <v>168</v>
      </c>
      <c r="U1343" s="238" t="s">
        <v>168</v>
      </c>
      <c r="V1343" s="238" t="s">
        <v>5020</v>
      </c>
      <c r="W1343" s="236">
        <v>34207</v>
      </c>
      <c r="X1343" s="233">
        <v>41309</v>
      </c>
      <c r="Y1343" s="238" t="s">
        <v>5329</v>
      </c>
      <c r="AB1343" s="1" t="s">
        <v>2551</v>
      </c>
    </row>
    <row r="1344" spans="1:28">
      <c r="A1344" s="233">
        <v>41305</v>
      </c>
      <c r="B1344" s="1" t="s">
        <v>2733</v>
      </c>
      <c r="C1344" s="1" t="s">
        <v>2095</v>
      </c>
      <c r="D1344" s="5" t="s">
        <v>2023</v>
      </c>
      <c r="E1344" s="1" t="s">
        <v>2096</v>
      </c>
      <c r="F1344" s="1">
        <v>20</v>
      </c>
      <c r="G1344" s="1" t="s">
        <v>2420</v>
      </c>
      <c r="H1344" s="234">
        <v>30.5</v>
      </c>
      <c r="I1344" s="235">
        <f t="shared" si="108"/>
        <v>610</v>
      </c>
      <c r="K1344" s="250">
        <f>30.15*10+29.25*10</f>
        <v>594</v>
      </c>
      <c r="L1344" s="237">
        <v>41305</v>
      </c>
      <c r="M1344" s="1" t="s">
        <v>167</v>
      </c>
      <c r="N1344" s="235">
        <f t="shared" si="109"/>
        <v>610</v>
      </c>
      <c r="O1344" s="235">
        <f t="shared" si="107"/>
        <v>0</v>
      </c>
      <c r="P1344" s="238" t="s">
        <v>4964</v>
      </c>
      <c r="Q1344" s="5" t="s">
        <v>1571</v>
      </c>
      <c r="R1344" s="239" t="s">
        <v>168</v>
      </c>
      <c r="S1344" s="238" t="s">
        <v>168</v>
      </c>
      <c r="T1344" s="238" t="s">
        <v>168</v>
      </c>
      <c r="U1344" s="238" t="s">
        <v>168</v>
      </c>
      <c r="V1344" s="238" t="s">
        <v>5020</v>
      </c>
      <c r="W1344" s="236">
        <v>34207</v>
      </c>
      <c r="X1344" s="233">
        <v>41309</v>
      </c>
      <c r="Y1344" s="238" t="s">
        <v>5329</v>
      </c>
      <c r="AB1344" s="1" t="s">
        <v>2551</v>
      </c>
    </row>
    <row r="1345" spans="1:28">
      <c r="A1345" s="233">
        <v>41305</v>
      </c>
      <c r="B1345" s="1" t="s">
        <v>4951</v>
      </c>
      <c r="C1345" s="1" t="s">
        <v>163</v>
      </c>
      <c r="D1345" s="1" t="s">
        <v>4962</v>
      </c>
      <c r="E1345" s="1" t="s">
        <v>4952</v>
      </c>
      <c r="F1345" s="1">
        <v>5</v>
      </c>
      <c r="G1345" s="1" t="s">
        <v>173</v>
      </c>
      <c r="H1345" s="234">
        <v>190</v>
      </c>
      <c r="I1345" s="235">
        <f t="shared" si="108"/>
        <v>950</v>
      </c>
      <c r="K1345" s="250">
        <f>170*5</f>
        <v>850</v>
      </c>
      <c r="L1345" s="237">
        <v>41305</v>
      </c>
      <c r="M1345" s="1" t="s">
        <v>4953</v>
      </c>
      <c r="N1345" s="235">
        <f t="shared" si="109"/>
        <v>950</v>
      </c>
      <c r="O1345" s="235">
        <f t="shared" si="107"/>
        <v>0</v>
      </c>
      <c r="P1345" s="238" t="s">
        <v>4954</v>
      </c>
      <c r="Q1345" s="1" t="s">
        <v>4955</v>
      </c>
      <c r="R1345" s="239" t="s">
        <v>4956</v>
      </c>
      <c r="S1345" s="238" t="s">
        <v>4958</v>
      </c>
      <c r="T1345" s="238" t="s">
        <v>4957</v>
      </c>
      <c r="U1345" s="238" t="s">
        <v>4959</v>
      </c>
      <c r="AB1345" s="1" t="s">
        <v>1570</v>
      </c>
    </row>
    <row r="1346" spans="1:28">
      <c r="A1346" s="233">
        <v>41306</v>
      </c>
      <c r="B1346" s="1" t="s">
        <v>4966</v>
      </c>
      <c r="C1346" s="1" t="s">
        <v>163</v>
      </c>
      <c r="D1346" s="5" t="s">
        <v>183</v>
      </c>
      <c r="E1346" s="1" t="s">
        <v>187</v>
      </c>
      <c r="F1346" s="1">
        <v>2000</v>
      </c>
      <c r="G1346" s="1" t="s">
        <v>4967</v>
      </c>
      <c r="H1346" s="234">
        <v>2</v>
      </c>
      <c r="I1346" s="235">
        <f t="shared" si="108"/>
        <v>4000</v>
      </c>
      <c r="K1346" s="250">
        <f>1.54*2000</f>
        <v>3080</v>
      </c>
      <c r="N1346" s="235">
        <v>0</v>
      </c>
      <c r="O1346" s="235">
        <f t="shared" si="107"/>
        <v>4000</v>
      </c>
      <c r="P1346" s="238" t="s">
        <v>4977</v>
      </c>
      <c r="Q1346" s="1" t="s">
        <v>1580</v>
      </c>
      <c r="R1346" s="239" t="s">
        <v>168</v>
      </c>
      <c r="S1346" s="238" t="s">
        <v>168</v>
      </c>
      <c r="T1346" s="238" t="s">
        <v>5734</v>
      </c>
      <c r="U1346" s="238" t="s">
        <v>168</v>
      </c>
      <c r="V1346" s="238" t="s">
        <v>5733</v>
      </c>
      <c r="W1346" s="236">
        <v>8324</v>
      </c>
      <c r="X1346" s="233">
        <v>41354</v>
      </c>
      <c r="Y1346" s="238" t="s">
        <v>5735</v>
      </c>
      <c r="AB1346" s="1" t="s">
        <v>2079</v>
      </c>
    </row>
    <row r="1347" spans="1:28">
      <c r="A1347" s="233">
        <v>41306</v>
      </c>
      <c r="B1347" s="1" t="s">
        <v>4966</v>
      </c>
      <c r="C1347" s="1" t="s">
        <v>163</v>
      </c>
      <c r="D1347" s="5" t="s">
        <v>2026</v>
      </c>
      <c r="E1347" s="1" t="s">
        <v>4968</v>
      </c>
      <c r="F1347" s="1">
        <v>1000</v>
      </c>
      <c r="G1347" s="1" t="s">
        <v>5002</v>
      </c>
      <c r="H1347" s="234">
        <v>1.72</v>
      </c>
      <c r="I1347" s="235">
        <f t="shared" si="108"/>
        <v>1720</v>
      </c>
      <c r="K1347" s="250">
        <f>1.4*F1347</f>
        <v>1400</v>
      </c>
      <c r="N1347" s="235">
        <v>0</v>
      </c>
      <c r="O1347" s="235">
        <f t="shared" si="107"/>
        <v>1720</v>
      </c>
      <c r="P1347" s="238" t="s">
        <v>4977</v>
      </c>
      <c r="Q1347" s="1" t="s">
        <v>1580</v>
      </c>
      <c r="R1347" s="239" t="s">
        <v>168</v>
      </c>
      <c r="S1347" s="238" t="s">
        <v>168</v>
      </c>
      <c r="T1347" s="238" t="s">
        <v>5734</v>
      </c>
      <c r="U1347" s="238" t="s">
        <v>168</v>
      </c>
      <c r="V1347" s="238" t="s">
        <v>5733</v>
      </c>
      <c r="W1347" s="236">
        <v>8324</v>
      </c>
      <c r="X1347" s="233">
        <v>41354</v>
      </c>
      <c r="Y1347" s="238" t="s">
        <v>5735</v>
      </c>
      <c r="AB1347" s="1" t="s">
        <v>2079</v>
      </c>
    </row>
    <row r="1348" spans="1:28">
      <c r="A1348" s="233">
        <v>41306</v>
      </c>
      <c r="B1348" s="1" t="s">
        <v>4966</v>
      </c>
      <c r="C1348" s="1" t="s">
        <v>163</v>
      </c>
      <c r="D1348" s="1" t="s">
        <v>1216</v>
      </c>
      <c r="E1348" s="1">
        <v>3200</v>
      </c>
      <c r="F1348" s="1">
        <v>70</v>
      </c>
      <c r="G1348" s="1" t="s">
        <v>4969</v>
      </c>
      <c r="H1348" s="234">
        <v>30.5</v>
      </c>
      <c r="I1348" s="235">
        <f t="shared" si="108"/>
        <v>2135</v>
      </c>
      <c r="K1348" s="250">
        <f>20.89*70</f>
        <v>1462.3</v>
      </c>
      <c r="N1348" s="235">
        <v>0</v>
      </c>
      <c r="O1348" s="235">
        <f t="shared" si="107"/>
        <v>2135</v>
      </c>
      <c r="P1348" s="238" t="s">
        <v>4977</v>
      </c>
      <c r="Q1348" s="1" t="s">
        <v>1580</v>
      </c>
      <c r="R1348" s="239" t="s">
        <v>168</v>
      </c>
      <c r="S1348" s="238" t="s">
        <v>168</v>
      </c>
      <c r="T1348" s="238" t="s">
        <v>5734</v>
      </c>
      <c r="U1348" s="238" t="s">
        <v>168</v>
      </c>
      <c r="V1348" s="238" t="s">
        <v>5733</v>
      </c>
      <c r="W1348" s="236">
        <v>8324</v>
      </c>
      <c r="X1348" s="233">
        <v>41354</v>
      </c>
      <c r="Y1348" s="238" t="s">
        <v>5735</v>
      </c>
      <c r="AB1348" s="1" t="s">
        <v>2079</v>
      </c>
    </row>
    <row r="1349" spans="1:28">
      <c r="A1349" s="233">
        <v>41306</v>
      </c>
      <c r="B1349" s="1" t="s">
        <v>4966</v>
      </c>
      <c r="C1349" s="1" t="s">
        <v>163</v>
      </c>
      <c r="D1349" s="5" t="s">
        <v>348</v>
      </c>
      <c r="E1349" s="1">
        <v>3700</v>
      </c>
      <c r="F1349" s="1">
        <v>70</v>
      </c>
      <c r="G1349" s="1" t="s">
        <v>4969</v>
      </c>
      <c r="H1349" s="234">
        <v>4.7</v>
      </c>
      <c r="I1349" s="235">
        <f t="shared" si="108"/>
        <v>329</v>
      </c>
      <c r="K1349" s="250">
        <f>2.865*70</f>
        <v>200.55</v>
      </c>
      <c r="N1349" s="235">
        <v>0</v>
      </c>
      <c r="O1349" s="235">
        <f t="shared" si="107"/>
        <v>329</v>
      </c>
      <c r="P1349" s="238" t="s">
        <v>4977</v>
      </c>
      <c r="Q1349" s="1" t="s">
        <v>1580</v>
      </c>
      <c r="R1349" s="239" t="s">
        <v>168</v>
      </c>
      <c r="S1349" s="238" t="s">
        <v>168</v>
      </c>
      <c r="T1349" s="238" t="s">
        <v>5734</v>
      </c>
      <c r="U1349" s="238" t="s">
        <v>168</v>
      </c>
      <c r="V1349" s="238" t="s">
        <v>5733</v>
      </c>
      <c r="W1349" s="236">
        <v>8324</v>
      </c>
      <c r="X1349" s="233">
        <v>41354</v>
      </c>
      <c r="Y1349" s="238" t="s">
        <v>5735</v>
      </c>
      <c r="AB1349" s="1" t="s">
        <v>2079</v>
      </c>
    </row>
    <row r="1350" spans="1:28">
      <c r="A1350" s="233">
        <v>41306</v>
      </c>
      <c r="B1350" s="1" t="s">
        <v>4966</v>
      </c>
      <c r="C1350" s="1" t="s">
        <v>163</v>
      </c>
      <c r="D1350" s="5" t="s">
        <v>183</v>
      </c>
      <c r="E1350" s="1" t="s">
        <v>187</v>
      </c>
      <c r="F1350" s="1">
        <v>70</v>
      </c>
      <c r="G1350" s="1" t="s">
        <v>4967</v>
      </c>
      <c r="H1350" s="234">
        <v>2</v>
      </c>
      <c r="I1350" s="235">
        <f t="shared" si="108"/>
        <v>140</v>
      </c>
      <c r="K1350" s="250">
        <f>1.54*70</f>
        <v>107.8</v>
      </c>
      <c r="N1350" s="235">
        <v>0</v>
      </c>
      <c r="O1350" s="235">
        <f t="shared" si="107"/>
        <v>140</v>
      </c>
      <c r="P1350" s="238" t="s">
        <v>4977</v>
      </c>
      <c r="Q1350" s="1" t="s">
        <v>1580</v>
      </c>
      <c r="R1350" s="239" t="s">
        <v>168</v>
      </c>
      <c r="S1350" s="238" t="s">
        <v>168</v>
      </c>
      <c r="T1350" s="238" t="s">
        <v>5734</v>
      </c>
      <c r="U1350" s="238" t="s">
        <v>168</v>
      </c>
      <c r="V1350" s="238" t="s">
        <v>5733</v>
      </c>
      <c r="W1350" s="236">
        <v>8324</v>
      </c>
      <c r="X1350" s="233">
        <v>41354</v>
      </c>
      <c r="Y1350" s="238" t="s">
        <v>5735</v>
      </c>
      <c r="AB1350" s="1" t="s">
        <v>2079</v>
      </c>
    </row>
    <row r="1351" spans="1:28">
      <c r="A1351" s="233">
        <v>41306</v>
      </c>
      <c r="B1351" s="1" t="s">
        <v>2191</v>
      </c>
      <c r="C1351" s="1" t="s">
        <v>163</v>
      </c>
      <c r="D1351" s="1" t="s">
        <v>1759</v>
      </c>
      <c r="E1351" s="1">
        <v>1621</v>
      </c>
      <c r="F1351" s="1">
        <v>5</v>
      </c>
      <c r="G1351" s="1" t="s">
        <v>4971</v>
      </c>
      <c r="H1351" s="234">
        <v>14</v>
      </c>
      <c r="I1351" s="235">
        <f t="shared" ref="I1351:I1364" si="110">F1351*H1351</f>
        <v>70</v>
      </c>
      <c r="K1351" s="250">
        <f>8.84*5</f>
        <v>44.2</v>
      </c>
      <c r="L1351" s="237">
        <v>41306</v>
      </c>
      <c r="M1351" s="1" t="s">
        <v>4981</v>
      </c>
      <c r="N1351" s="235">
        <f t="shared" si="109"/>
        <v>70</v>
      </c>
      <c r="O1351" s="235">
        <f t="shared" ref="O1351:O1414" si="111">I1351-N1351</f>
        <v>0</v>
      </c>
      <c r="P1351" s="238" t="s">
        <v>4972</v>
      </c>
      <c r="Q1351" s="1" t="s">
        <v>2529</v>
      </c>
      <c r="R1351" s="239" t="s">
        <v>2193</v>
      </c>
      <c r="S1351" s="238" t="s">
        <v>2194</v>
      </c>
      <c r="T1351" s="238" t="s">
        <v>3562</v>
      </c>
      <c r="U1351" s="238" t="s">
        <v>168</v>
      </c>
      <c r="V1351" s="246" t="s">
        <v>176</v>
      </c>
      <c r="W1351" s="236" t="s">
        <v>168</v>
      </c>
      <c r="X1351" s="233" t="s">
        <v>168</v>
      </c>
      <c r="Y1351" s="238" t="s">
        <v>168</v>
      </c>
      <c r="AB1351" s="5" t="s">
        <v>1570</v>
      </c>
    </row>
    <row r="1352" spans="1:28">
      <c r="A1352" s="233">
        <v>41306</v>
      </c>
      <c r="B1352" s="1" t="s">
        <v>2191</v>
      </c>
      <c r="C1352" s="1" t="s">
        <v>163</v>
      </c>
      <c r="D1352" s="297" t="s">
        <v>1882</v>
      </c>
      <c r="E1352" s="1">
        <v>501</v>
      </c>
      <c r="F1352" s="1">
        <v>20</v>
      </c>
      <c r="G1352" s="1" t="s">
        <v>4969</v>
      </c>
      <c r="H1352" s="234">
        <v>1.49</v>
      </c>
      <c r="I1352" s="235">
        <f t="shared" si="110"/>
        <v>29.8</v>
      </c>
      <c r="K1352" s="250">
        <f>1.39*20</f>
        <v>27.799999999999997</v>
      </c>
      <c r="L1352" s="237">
        <v>41306</v>
      </c>
      <c r="M1352" s="1" t="s">
        <v>4981</v>
      </c>
      <c r="N1352" s="235">
        <f t="shared" si="109"/>
        <v>29.8</v>
      </c>
      <c r="O1352" s="235">
        <f t="shared" si="111"/>
        <v>0</v>
      </c>
      <c r="P1352" s="238" t="s">
        <v>4972</v>
      </c>
      <c r="Q1352" s="1" t="s">
        <v>2529</v>
      </c>
      <c r="R1352" s="239" t="s">
        <v>2193</v>
      </c>
      <c r="S1352" s="238" t="s">
        <v>2194</v>
      </c>
      <c r="T1352" s="238" t="s">
        <v>3562</v>
      </c>
      <c r="U1352" s="238" t="s">
        <v>168</v>
      </c>
      <c r="V1352" s="246" t="s">
        <v>176</v>
      </c>
      <c r="W1352" s="236" t="s">
        <v>168</v>
      </c>
      <c r="X1352" s="233" t="s">
        <v>168</v>
      </c>
      <c r="Y1352" s="238" t="s">
        <v>168</v>
      </c>
      <c r="AB1352" s="5" t="s">
        <v>1570</v>
      </c>
    </row>
    <row r="1353" spans="1:28">
      <c r="A1353" s="233">
        <v>41306</v>
      </c>
      <c r="B1353" s="1" t="s">
        <v>2191</v>
      </c>
      <c r="C1353" s="1" t="s">
        <v>163</v>
      </c>
      <c r="D1353" s="5" t="s">
        <v>1895</v>
      </c>
      <c r="E1353" s="1" t="s">
        <v>146</v>
      </c>
      <c r="F1353" s="1">
        <v>20</v>
      </c>
      <c r="G1353" s="1" t="s">
        <v>4969</v>
      </c>
      <c r="H1353" s="234">
        <v>19.850000000000001</v>
      </c>
      <c r="I1353" s="235">
        <f t="shared" si="110"/>
        <v>397</v>
      </c>
      <c r="K1353" s="250">
        <f>17.2*14+16.5*6</f>
        <v>339.79999999999995</v>
      </c>
      <c r="L1353" s="237">
        <v>41306</v>
      </c>
      <c r="M1353" s="1" t="s">
        <v>4981</v>
      </c>
      <c r="N1353" s="235">
        <f t="shared" si="109"/>
        <v>397</v>
      </c>
      <c r="O1353" s="235">
        <f t="shared" si="111"/>
        <v>0</v>
      </c>
      <c r="P1353" s="238" t="s">
        <v>4972</v>
      </c>
      <c r="Q1353" s="1" t="s">
        <v>2529</v>
      </c>
      <c r="R1353" s="239" t="s">
        <v>2193</v>
      </c>
      <c r="S1353" s="238" t="s">
        <v>2194</v>
      </c>
      <c r="T1353" s="238" t="s">
        <v>3562</v>
      </c>
      <c r="U1353" s="238" t="s">
        <v>168</v>
      </c>
      <c r="V1353" s="246" t="s">
        <v>176</v>
      </c>
      <c r="W1353" s="236" t="s">
        <v>168</v>
      </c>
      <c r="X1353" s="233" t="s">
        <v>168</v>
      </c>
      <c r="Y1353" s="238" t="s">
        <v>168</v>
      </c>
      <c r="AB1353" s="5" t="s">
        <v>1570</v>
      </c>
    </row>
    <row r="1354" spans="1:28">
      <c r="A1354" s="233">
        <v>41306</v>
      </c>
      <c r="B1354" s="1" t="s">
        <v>2191</v>
      </c>
      <c r="C1354" s="1" t="s">
        <v>163</v>
      </c>
      <c r="D1354" s="5" t="s">
        <v>183</v>
      </c>
      <c r="E1354" s="1" t="s">
        <v>4970</v>
      </c>
      <c r="F1354" s="1">
        <v>2</v>
      </c>
      <c r="G1354" s="1" t="s">
        <v>4967</v>
      </c>
      <c r="H1354" s="234">
        <v>6.46</v>
      </c>
      <c r="I1354" s="235">
        <f t="shared" si="110"/>
        <v>12.92</v>
      </c>
      <c r="K1354" s="250">
        <f>4.75*2</f>
        <v>9.5</v>
      </c>
      <c r="L1354" s="237">
        <v>41306</v>
      </c>
      <c r="M1354" s="1" t="s">
        <v>4981</v>
      </c>
      <c r="N1354" s="235">
        <f t="shared" si="109"/>
        <v>12.92</v>
      </c>
      <c r="O1354" s="235">
        <f t="shared" si="111"/>
        <v>0</v>
      </c>
      <c r="P1354" s="238" t="s">
        <v>4972</v>
      </c>
      <c r="Q1354" s="1" t="s">
        <v>2529</v>
      </c>
      <c r="R1354" s="239" t="s">
        <v>2193</v>
      </c>
      <c r="S1354" s="238" t="s">
        <v>2194</v>
      </c>
      <c r="T1354" s="238" t="s">
        <v>3562</v>
      </c>
      <c r="U1354" s="238" t="s">
        <v>168</v>
      </c>
      <c r="V1354" s="246" t="s">
        <v>176</v>
      </c>
      <c r="W1354" s="236" t="s">
        <v>168</v>
      </c>
      <c r="X1354" s="233" t="s">
        <v>168</v>
      </c>
      <c r="Y1354" s="238" t="s">
        <v>168</v>
      </c>
      <c r="AB1354" s="5" t="s">
        <v>1570</v>
      </c>
    </row>
    <row r="1355" spans="1:28">
      <c r="A1355" s="233">
        <v>41306</v>
      </c>
      <c r="B1355" s="1" t="s">
        <v>2191</v>
      </c>
      <c r="C1355" s="1" t="s">
        <v>163</v>
      </c>
      <c r="D1355" s="1" t="s">
        <v>1720</v>
      </c>
      <c r="E1355" s="1">
        <v>8210</v>
      </c>
      <c r="F1355" s="1">
        <v>50</v>
      </c>
      <c r="G1355" s="1" t="s">
        <v>4969</v>
      </c>
      <c r="H1355" s="234">
        <v>4.5</v>
      </c>
      <c r="I1355" s="235">
        <f t="shared" si="110"/>
        <v>225</v>
      </c>
      <c r="K1355" s="250">
        <f>3.36*50</f>
        <v>168</v>
      </c>
      <c r="L1355" s="237">
        <v>41306</v>
      </c>
      <c r="M1355" s="1" t="s">
        <v>4981</v>
      </c>
      <c r="N1355" s="235">
        <f t="shared" si="109"/>
        <v>225</v>
      </c>
      <c r="O1355" s="235">
        <f t="shared" si="111"/>
        <v>0</v>
      </c>
      <c r="P1355" s="238" t="s">
        <v>4972</v>
      </c>
      <c r="Q1355" s="1" t="s">
        <v>2529</v>
      </c>
      <c r="R1355" s="239" t="s">
        <v>2193</v>
      </c>
      <c r="S1355" s="238" t="s">
        <v>2194</v>
      </c>
      <c r="T1355" s="238" t="s">
        <v>3562</v>
      </c>
      <c r="U1355" s="238" t="s">
        <v>168</v>
      </c>
      <c r="V1355" s="246" t="s">
        <v>176</v>
      </c>
      <c r="W1355" s="236" t="s">
        <v>168</v>
      </c>
      <c r="X1355" s="233" t="s">
        <v>168</v>
      </c>
      <c r="Y1355" s="238" t="s">
        <v>168</v>
      </c>
      <c r="AB1355" s="5" t="s">
        <v>1570</v>
      </c>
    </row>
    <row r="1356" spans="1:28">
      <c r="A1356" s="233">
        <v>41306</v>
      </c>
      <c r="B1356" s="1" t="s">
        <v>2191</v>
      </c>
      <c r="C1356" s="1" t="s">
        <v>163</v>
      </c>
      <c r="D1356" s="5" t="s">
        <v>183</v>
      </c>
      <c r="E1356" s="1" t="s">
        <v>4970</v>
      </c>
      <c r="F1356" s="1">
        <v>18</v>
      </c>
      <c r="G1356" s="1" t="s">
        <v>4967</v>
      </c>
      <c r="H1356" s="234">
        <v>6.46</v>
      </c>
      <c r="I1356" s="235">
        <f t="shared" si="110"/>
        <v>116.28</v>
      </c>
      <c r="K1356" s="250">
        <f>4.75*18</f>
        <v>85.5</v>
      </c>
      <c r="L1356" s="237">
        <v>41306</v>
      </c>
      <c r="M1356" s="1" t="s">
        <v>4981</v>
      </c>
      <c r="N1356" s="235">
        <f t="shared" si="109"/>
        <v>116.28</v>
      </c>
      <c r="O1356" s="235">
        <f t="shared" si="111"/>
        <v>0</v>
      </c>
      <c r="P1356" s="238" t="s">
        <v>4980</v>
      </c>
      <c r="Q1356" s="1" t="s">
        <v>2529</v>
      </c>
      <c r="R1356" s="239" t="s">
        <v>2193</v>
      </c>
      <c r="S1356" s="238" t="s">
        <v>2194</v>
      </c>
      <c r="T1356" s="238" t="s">
        <v>3562</v>
      </c>
      <c r="U1356" s="238" t="s">
        <v>168</v>
      </c>
      <c r="V1356" s="246" t="s">
        <v>176</v>
      </c>
      <c r="W1356" s="236" t="s">
        <v>168</v>
      </c>
      <c r="X1356" s="233" t="s">
        <v>168</v>
      </c>
      <c r="Y1356" s="238" t="s">
        <v>168</v>
      </c>
      <c r="AB1356" s="5" t="s">
        <v>1570</v>
      </c>
    </row>
    <row r="1357" spans="1:28">
      <c r="A1357" s="233">
        <v>41306</v>
      </c>
      <c r="B1357" s="1" t="s">
        <v>5063</v>
      </c>
      <c r="C1357" s="1" t="s">
        <v>163</v>
      </c>
      <c r="D1357" s="5" t="s">
        <v>857</v>
      </c>
      <c r="E1357" s="1">
        <v>9032</v>
      </c>
      <c r="F1357" s="1">
        <v>100</v>
      </c>
      <c r="G1357" s="1" t="s">
        <v>171</v>
      </c>
      <c r="H1357" s="234">
        <v>2</v>
      </c>
      <c r="I1357" s="235">
        <f t="shared" si="110"/>
        <v>200</v>
      </c>
      <c r="K1357" s="250">
        <f>1.4929*100</f>
        <v>149.29</v>
      </c>
      <c r="L1357" s="237">
        <v>41306</v>
      </c>
      <c r="M1357" s="1" t="s">
        <v>4981</v>
      </c>
      <c r="N1357" s="235">
        <f t="shared" si="109"/>
        <v>200</v>
      </c>
      <c r="O1357" s="235">
        <f t="shared" si="111"/>
        <v>0</v>
      </c>
      <c r="P1357" s="238" t="s">
        <v>4989</v>
      </c>
      <c r="Q1357" s="1" t="s">
        <v>4990</v>
      </c>
      <c r="R1357" s="239" t="s">
        <v>4965</v>
      </c>
      <c r="S1357" s="238" t="s">
        <v>4992</v>
      </c>
      <c r="T1357" s="238" t="s">
        <v>4965</v>
      </c>
      <c r="U1357" s="238" t="s">
        <v>4965</v>
      </c>
      <c r="V1357" s="238" t="s">
        <v>4965</v>
      </c>
      <c r="W1357" s="236" t="s">
        <v>4965</v>
      </c>
      <c r="X1357" s="233" t="s">
        <v>4965</v>
      </c>
      <c r="Y1357" s="238" t="s">
        <v>4965</v>
      </c>
      <c r="AB1357" s="5" t="s">
        <v>1570</v>
      </c>
    </row>
    <row r="1358" spans="1:28">
      <c r="A1358" s="233">
        <v>41306</v>
      </c>
      <c r="B1358" s="1" t="s">
        <v>4982</v>
      </c>
      <c r="C1358" s="1" t="s">
        <v>163</v>
      </c>
      <c r="D1358" s="5" t="s">
        <v>857</v>
      </c>
      <c r="E1358" s="1">
        <v>9032</v>
      </c>
      <c r="F1358" s="1">
        <v>100</v>
      </c>
      <c r="G1358" s="1" t="s">
        <v>171</v>
      </c>
      <c r="H1358" s="234">
        <v>2.2000000000000002</v>
      </c>
      <c r="I1358" s="235">
        <f t="shared" si="110"/>
        <v>220.00000000000003</v>
      </c>
      <c r="K1358" s="250">
        <f>1.4929*100</f>
        <v>149.29</v>
      </c>
      <c r="L1358" s="237">
        <v>41306</v>
      </c>
      <c r="M1358" s="1" t="s">
        <v>4984</v>
      </c>
      <c r="N1358" s="235">
        <f t="shared" si="109"/>
        <v>220.00000000000003</v>
      </c>
      <c r="O1358" s="235">
        <f t="shared" si="111"/>
        <v>0</v>
      </c>
      <c r="P1358" s="238" t="s">
        <v>4985</v>
      </c>
      <c r="Q1358" s="1" t="s">
        <v>4986</v>
      </c>
      <c r="R1358" s="239" t="s">
        <v>4987</v>
      </c>
      <c r="S1358" s="238" t="s">
        <v>4988</v>
      </c>
      <c r="T1358" s="238" t="s">
        <v>4965</v>
      </c>
      <c r="U1358" s="238" t="s">
        <v>4965</v>
      </c>
      <c r="V1358" s="238" t="s">
        <v>4965</v>
      </c>
      <c r="W1358" s="236" t="s">
        <v>4965</v>
      </c>
      <c r="X1358" s="233" t="s">
        <v>4965</v>
      </c>
      <c r="Y1358" s="238" t="s">
        <v>4965</v>
      </c>
      <c r="AB1358" s="1" t="s">
        <v>2079</v>
      </c>
    </row>
    <row r="1359" spans="1:28">
      <c r="A1359" s="233">
        <v>41306</v>
      </c>
      <c r="B1359" s="1" t="s">
        <v>4982</v>
      </c>
      <c r="C1359" s="1" t="s">
        <v>163</v>
      </c>
      <c r="D1359" s="1" t="s">
        <v>4983</v>
      </c>
      <c r="E1359" s="1">
        <v>11356</v>
      </c>
      <c r="F1359" s="1">
        <v>3</v>
      </c>
      <c r="G1359" s="1" t="s">
        <v>4971</v>
      </c>
      <c r="H1359" s="234">
        <v>150</v>
      </c>
      <c r="I1359" s="235">
        <f t="shared" si="110"/>
        <v>450</v>
      </c>
      <c r="K1359" s="282">
        <v>0</v>
      </c>
      <c r="L1359" s="237">
        <v>41306</v>
      </c>
      <c r="M1359" s="1" t="s">
        <v>4984</v>
      </c>
      <c r="N1359" s="235">
        <f t="shared" si="109"/>
        <v>450</v>
      </c>
      <c r="O1359" s="235">
        <f t="shared" si="111"/>
        <v>0</v>
      </c>
      <c r="P1359" s="238" t="s">
        <v>4985</v>
      </c>
      <c r="Q1359" s="1" t="s">
        <v>4986</v>
      </c>
      <c r="R1359" s="239" t="s">
        <v>4987</v>
      </c>
      <c r="S1359" s="238" t="s">
        <v>4988</v>
      </c>
      <c r="T1359" s="238" t="s">
        <v>4965</v>
      </c>
      <c r="U1359" s="238" t="s">
        <v>4965</v>
      </c>
      <c r="V1359" s="238" t="s">
        <v>4965</v>
      </c>
      <c r="W1359" s="236" t="s">
        <v>4965</v>
      </c>
      <c r="X1359" s="233" t="s">
        <v>4965</v>
      </c>
      <c r="Y1359" s="238" t="s">
        <v>4965</v>
      </c>
      <c r="Z1359" s="255" t="s">
        <v>4991</v>
      </c>
      <c r="AB1359" s="1" t="s">
        <v>2079</v>
      </c>
    </row>
    <row r="1360" spans="1:28">
      <c r="A1360" s="233">
        <v>41309</v>
      </c>
      <c r="B1360" s="1" t="s">
        <v>5004</v>
      </c>
      <c r="C1360" s="1" t="s">
        <v>163</v>
      </c>
      <c r="D1360" s="5" t="s">
        <v>2023</v>
      </c>
      <c r="E1360" s="1" t="s">
        <v>5005</v>
      </c>
      <c r="F1360" s="1">
        <v>60</v>
      </c>
      <c r="G1360" s="1" t="s">
        <v>173</v>
      </c>
      <c r="H1360" s="234">
        <v>31</v>
      </c>
      <c r="I1360" s="235">
        <f t="shared" si="110"/>
        <v>1860</v>
      </c>
      <c r="K1360" s="250">
        <f>29.3*60</f>
        <v>1758</v>
      </c>
      <c r="L1360" s="237">
        <v>41306</v>
      </c>
      <c r="M1360" s="1" t="s">
        <v>167</v>
      </c>
      <c r="N1360" s="235">
        <f t="shared" si="109"/>
        <v>1860</v>
      </c>
      <c r="O1360" s="235">
        <f t="shared" si="111"/>
        <v>0</v>
      </c>
      <c r="P1360" s="238" t="s">
        <v>5013</v>
      </c>
      <c r="Q1360" s="1" t="s">
        <v>5014</v>
      </c>
      <c r="R1360" s="239" t="s">
        <v>5015</v>
      </c>
      <c r="S1360" s="238" t="s">
        <v>5017</v>
      </c>
      <c r="T1360" s="238" t="s">
        <v>5016</v>
      </c>
      <c r="U1360" s="238" t="s">
        <v>5018</v>
      </c>
      <c r="V1360" s="238" t="s">
        <v>5298</v>
      </c>
      <c r="W1360" s="236">
        <v>1860</v>
      </c>
      <c r="X1360" s="233">
        <v>41332</v>
      </c>
      <c r="Y1360" s="238" t="s">
        <v>5299</v>
      </c>
      <c r="AB1360" s="5" t="s">
        <v>1570</v>
      </c>
    </row>
    <row r="1361" spans="1:28">
      <c r="A1361" s="233">
        <v>41310</v>
      </c>
      <c r="B1361" s="1" t="s">
        <v>4728</v>
      </c>
      <c r="C1361" s="1" t="s">
        <v>189</v>
      </c>
      <c r="D1361" s="301" t="s">
        <v>5010</v>
      </c>
      <c r="E1361" s="1" t="s">
        <v>5021</v>
      </c>
      <c r="F1361" s="1">
        <v>100</v>
      </c>
      <c r="G1361" s="1" t="s">
        <v>5023</v>
      </c>
      <c r="H1361" s="234">
        <v>14.5</v>
      </c>
      <c r="I1361" s="235">
        <f t="shared" si="110"/>
        <v>1450</v>
      </c>
      <c r="K1361" s="250">
        <f>13.39*F1361</f>
        <v>1339</v>
      </c>
      <c r="L1361" s="237">
        <v>41331</v>
      </c>
      <c r="M1361" s="1" t="s">
        <v>167</v>
      </c>
      <c r="N1361" s="235">
        <f t="shared" si="109"/>
        <v>1450</v>
      </c>
      <c r="O1361" s="235">
        <f t="shared" si="111"/>
        <v>0</v>
      </c>
      <c r="P1361" s="238" t="s">
        <v>5024</v>
      </c>
      <c r="Q1361" s="5" t="s">
        <v>1571</v>
      </c>
      <c r="R1361" s="239" t="s">
        <v>168</v>
      </c>
      <c r="S1361" s="238" t="s">
        <v>168</v>
      </c>
      <c r="T1361" s="238" t="s">
        <v>168</v>
      </c>
      <c r="U1361" s="238" t="s">
        <v>168</v>
      </c>
      <c r="V1361" s="238" t="s">
        <v>5300</v>
      </c>
      <c r="W1361" s="236">
        <v>10793</v>
      </c>
      <c r="X1361" s="233">
        <v>41332</v>
      </c>
      <c r="Y1361" s="238" t="s">
        <v>5284</v>
      </c>
      <c r="AB1361" s="5" t="s">
        <v>1570</v>
      </c>
    </row>
    <row r="1362" spans="1:28">
      <c r="A1362" s="233">
        <v>41310</v>
      </c>
      <c r="B1362" s="1" t="s">
        <v>4728</v>
      </c>
      <c r="C1362" s="1" t="s">
        <v>7</v>
      </c>
      <c r="D1362" s="301" t="s">
        <v>5009</v>
      </c>
      <c r="E1362" s="1" t="s">
        <v>5022</v>
      </c>
      <c r="F1362" s="1">
        <v>4800</v>
      </c>
      <c r="G1362" s="1" t="s">
        <v>5023</v>
      </c>
      <c r="H1362" s="234">
        <v>1.42</v>
      </c>
      <c r="I1362" s="235">
        <f t="shared" si="110"/>
        <v>6816</v>
      </c>
      <c r="K1362" s="250">
        <f>1.32*F1362</f>
        <v>6336</v>
      </c>
      <c r="L1362" s="237">
        <v>41331</v>
      </c>
      <c r="M1362" s="1" t="s">
        <v>167</v>
      </c>
      <c r="N1362" s="235">
        <f t="shared" si="109"/>
        <v>6816</v>
      </c>
      <c r="O1362" s="235">
        <f t="shared" si="111"/>
        <v>0</v>
      </c>
      <c r="P1362" s="238" t="s">
        <v>5024</v>
      </c>
      <c r="Q1362" s="5" t="s">
        <v>1571</v>
      </c>
      <c r="R1362" s="239" t="s">
        <v>168</v>
      </c>
      <c r="S1362" s="238" t="s">
        <v>168</v>
      </c>
      <c r="T1362" s="238" t="s">
        <v>168</v>
      </c>
      <c r="U1362" s="238" t="s">
        <v>168</v>
      </c>
      <c r="V1362" s="238" t="s">
        <v>5300</v>
      </c>
      <c r="W1362" s="236">
        <v>10793</v>
      </c>
      <c r="X1362" s="233">
        <v>41332</v>
      </c>
      <c r="Y1362" s="238" t="s">
        <v>5284</v>
      </c>
      <c r="AB1362" s="5" t="s">
        <v>1570</v>
      </c>
    </row>
    <row r="1363" spans="1:28">
      <c r="A1363" s="233">
        <v>41310</v>
      </c>
      <c r="B1363" s="1" t="s">
        <v>2191</v>
      </c>
      <c r="C1363" s="1" t="s">
        <v>864</v>
      </c>
      <c r="D1363" s="301" t="s">
        <v>1046</v>
      </c>
      <c r="E1363" s="95" t="s">
        <v>1070</v>
      </c>
      <c r="F1363" s="1">
        <v>5</v>
      </c>
      <c r="G1363" s="1" t="s">
        <v>5025</v>
      </c>
      <c r="H1363" s="234">
        <v>245</v>
      </c>
      <c r="I1363" s="235">
        <f t="shared" si="110"/>
        <v>1225</v>
      </c>
      <c r="K1363" s="250">
        <f>221*F1363</f>
        <v>1105</v>
      </c>
      <c r="L1363" s="237">
        <v>41310</v>
      </c>
      <c r="M1363" s="1" t="s">
        <v>5027</v>
      </c>
      <c r="N1363" s="235">
        <f t="shared" si="109"/>
        <v>1225</v>
      </c>
      <c r="O1363" s="235">
        <f t="shared" si="111"/>
        <v>0</v>
      </c>
      <c r="P1363" s="238" t="s">
        <v>5028</v>
      </c>
      <c r="Q1363" s="1" t="s">
        <v>2529</v>
      </c>
      <c r="R1363" s="239" t="s">
        <v>2193</v>
      </c>
      <c r="S1363" s="238" t="s">
        <v>2194</v>
      </c>
      <c r="T1363" s="238" t="s">
        <v>3562</v>
      </c>
      <c r="U1363" s="238" t="s">
        <v>168</v>
      </c>
      <c r="V1363" s="246" t="s">
        <v>176</v>
      </c>
      <c r="W1363" s="236" t="s">
        <v>168</v>
      </c>
      <c r="X1363" s="233" t="s">
        <v>168</v>
      </c>
      <c r="Y1363" s="238" t="s">
        <v>168</v>
      </c>
      <c r="AB1363" s="5" t="s">
        <v>1570</v>
      </c>
    </row>
    <row r="1364" spans="1:28">
      <c r="A1364" s="233">
        <v>41310</v>
      </c>
      <c r="B1364" s="1" t="s">
        <v>2191</v>
      </c>
      <c r="C1364" s="1" t="s">
        <v>163</v>
      </c>
      <c r="D1364" s="301" t="s">
        <v>1904</v>
      </c>
      <c r="E1364" s="1" t="s">
        <v>5026</v>
      </c>
      <c r="F1364" s="1">
        <v>22</v>
      </c>
      <c r="G1364" s="1" t="s">
        <v>193</v>
      </c>
      <c r="H1364" s="234">
        <v>113</v>
      </c>
      <c r="I1364" s="235">
        <f t="shared" si="110"/>
        <v>2486</v>
      </c>
      <c r="K1364" s="250">
        <f>111.72*F1364</f>
        <v>2457.84</v>
      </c>
      <c r="L1364" s="237">
        <v>41310</v>
      </c>
      <c r="M1364" s="1" t="s">
        <v>5027</v>
      </c>
      <c r="N1364" s="235">
        <f t="shared" si="109"/>
        <v>2486</v>
      </c>
      <c r="O1364" s="235">
        <f t="shared" si="111"/>
        <v>0</v>
      </c>
      <c r="P1364" s="238" t="s">
        <v>5028</v>
      </c>
      <c r="Q1364" s="1" t="s">
        <v>2529</v>
      </c>
      <c r="R1364" s="239" t="s">
        <v>2193</v>
      </c>
      <c r="S1364" s="238" t="s">
        <v>2194</v>
      </c>
      <c r="T1364" s="238" t="s">
        <v>3562</v>
      </c>
      <c r="U1364" s="238" t="s">
        <v>168</v>
      </c>
      <c r="V1364" s="246" t="s">
        <v>176</v>
      </c>
      <c r="W1364" s="236" t="s">
        <v>168</v>
      </c>
      <c r="X1364" s="233" t="s">
        <v>168</v>
      </c>
      <c r="Y1364" s="238" t="s">
        <v>168</v>
      </c>
      <c r="AB1364" s="5" t="s">
        <v>1570</v>
      </c>
    </row>
    <row r="1365" spans="1:28">
      <c r="A1365" s="233">
        <v>41323</v>
      </c>
      <c r="B1365" s="1" t="s">
        <v>4728</v>
      </c>
      <c r="C1365" s="1" t="s">
        <v>163</v>
      </c>
      <c r="D1365" s="1" t="s">
        <v>5064</v>
      </c>
      <c r="E1365" s="1">
        <v>85078</v>
      </c>
      <c r="F1365" s="1">
        <v>10</v>
      </c>
      <c r="G1365" s="1" t="s">
        <v>171</v>
      </c>
      <c r="H1365" s="234">
        <v>28.2</v>
      </c>
      <c r="I1365" s="235">
        <f t="shared" ref="I1365:I1379" si="112">F1365*H1365</f>
        <v>282</v>
      </c>
      <c r="K1365" s="250">
        <f>27*10</f>
        <v>270</v>
      </c>
      <c r="L1365" s="237">
        <v>41331</v>
      </c>
      <c r="M1365" s="1" t="s">
        <v>167</v>
      </c>
      <c r="N1365" s="235">
        <f t="shared" si="109"/>
        <v>282</v>
      </c>
      <c r="O1365" s="235">
        <f t="shared" si="111"/>
        <v>0</v>
      </c>
      <c r="P1365" s="238" t="s">
        <v>5066</v>
      </c>
      <c r="Q1365" s="5" t="s">
        <v>1571</v>
      </c>
      <c r="R1365" s="239" t="s">
        <v>168</v>
      </c>
      <c r="S1365" s="238" t="s">
        <v>168</v>
      </c>
      <c r="T1365" s="238" t="s">
        <v>168</v>
      </c>
      <c r="U1365" s="238" t="s">
        <v>168</v>
      </c>
      <c r="V1365" s="238" t="s">
        <v>5300</v>
      </c>
      <c r="W1365" s="236">
        <v>10793</v>
      </c>
      <c r="X1365" s="233">
        <v>41332</v>
      </c>
      <c r="Y1365" s="238" t="s">
        <v>5284</v>
      </c>
      <c r="AB1365" s="5" t="s">
        <v>1570</v>
      </c>
    </row>
    <row r="1366" spans="1:28">
      <c r="A1366" s="233">
        <v>41323</v>
      </c>
      <c r="B1366" s="1" t="s">
        <v>2333</v>
      </c>
      <c r="C1366" s="1" t="s">
        <v>163</v>
      </c>
      <c r="D1366" s="5" t="s">
        <v>2026</v>
      </c>
      <c r="E1366" s="1" t="s">
        <v>181</v>
      </c>
      <c r="F1366" s="1">
        <v>600</v>
      </c>
      <c r="G1366" s="1" t="s">
        <v>5002</v>
      </c>
      <c r="H1366" s="234">
        <v>1.65</v>
      </c>
      <c r="I1366" s="235">
        <f t="shared" si="112"/>
        <v>990</v>
      </c>
      <c r="K1366" s="250">
        <f>1.4*F1366</f>
        <v>840</v>
      </c>
      <c r="L1366" s="237">
        <v>41309</v>
      </c>
      <c r="M1366" s="1" t="s">
        <v>167</v>
      </c>
      <c r="N1366" s="235">
        <f t="shared" si="109"/>
        <v>990</v>
      </c>
      <c r="O1366" s="235">
        <f t="shared" si="111"/>
        <v>0</v>
      </c>
      <c r="P1366" s="238" t="s">
        <v>5003</v>
      </c>
      <c r="Q1366" s="5" t="s">
        <v>1571</v>
      </c>
      <c r="R1366" s="239" t="s">
        <v>168</v>
      </c>
      <c r="S1366" s="238" t="s">
        <v>168</v>
      </c>
      <c r="T1366" s="238" t="s">
        <v>168</v>
      </c>
      <c r="U1366" s="238" t="s">
        <v>168</v>
      </c>
      <c r="V1366" s="238" t="s">
        <v>5301</v>
      </c>
      <c r="W1366" s="236">
        <v>1920</v>
      </c>
      <c r="X1366" s="233">
        <v>41332</v>
      </c>
      <c r="Y1366" s="238" t="s">
        <v>5333</v>
      </c>
      <c r="AB1366" s="5" t="s">
        <v>1570</v>
      </c>
    </row>
    <row r="1367" spans="1:28">
      <c r="A1367" s="233">
        <v>41323</v>
      </c>
      <c r="B1367" s="1" t="s">
        <v>2333</v>
      </c>
      <c r="C1367" s="1" t="s">
        <v>163</v>
      </c>
      <c r="D1367" s="1" t="s">
        <v>1216</v>
      </c>
      <c r="E1367" s="1">
        <v>3200</v>
      </c>
      <c r="F1367" s="1">
        <v>10</v>
      </c>
      <c r="G1367" s="1" t="s">
        <v>171</v>
      </c>
      <c r="H1367" s="234">
        <v>26.81</v>
      </c>
      <c r="I1367" s="235">
        <f t="shared" si="112"/>
        <v>268.09999999999997</v>
      </c>
      <c r="K1367" s="250">
        <f>23.94*10</f>
        <v>239.4</v>
      </c>
      <c r="L1367" s="237">
        <v>41334</v>
      </c>
      <c r="M1367" s="1" t="s">
        <v>167</v>
      </c>
      <c r="N1367" s="235">
        <f t="shared" si="109"/>
        <v>268.09999999999997</v>
      </c>
      <c r="O1367" s="235">
        <f t="shared" si="111"/>
        <v>0</v>
      </c>
      <c r="P1367" s="238" t="s">
        <v>5078</v>
      </c>
      <c r="Q1367" s="5" t="s">
        <v>1571</v>
      </c>
      <c r="R1367" s="239" t="s">
        <v>168</v>
      </c>
      <c r="S1367" s="238" t="s">
        <v>168</v>
      </c>
      <c r="T1367" s="238" t="s">
        <v>168</v>
      </c>
      <c r="U1367" s="238" t="s">
        <v>168</v>
      </c>
      <c r="V1367" s="238" t="s">
        <v>5301</v>
      </c>
      <c r="W1367" s="236">
        <v>1920</v>
      </c>
      <c r="X1367" s="233">
        <v>41332</v>
      </c>
      <c r="Y1367" s="238" t="s">
        <v>5333</v>
      </c>
      <c r="AB1367" s="5" t="s">
        <v>1570</v>
      </c>
    </row>
    <row r="1368" spans="1:28">
      <c r="A1368" s="233">
        <v>41323</v>
      </c>
      <c r="B1368" s="1" t="s">
        <v>2333</v>
      </c>
      <c r="C1368" s="1" t="s">
        <v>163</v>
      </c>
      <c r="D1368" s="5" t="s">
        <v>348</v>
      </c>
      <c r="E1368" s="1">
        <v>3700</v>
      </c>
      <c r="F1368" s="1">
        <v>10</v>
      </c>
      <c r="G1368" s="1" t="s">
        <v>171</v>
      </c>
      <c r="H1368" s="234">
        <v>3.46</v>
      </c>
      <c r="I1368" s="235">
        <f t="shared" si="112"/>
        <v>34.6</v>
      </c>
      <c r="K1368" s="250">
        <f>3.3*10</f>
        <v>33</v>
      </c>
      <c r="L1368" s="237">
        <v>41334</v>
      </c>
      <c r="M1368" s="1" t="s">
        <v>167</v>
      </c>
      <c r="N1368" s="235">
        <f t="shared" si="109"/>
        <v>34.6</v>
      </c>
      <c r="O1368" s="235">
        <f t="shared" si="111"/>
        <v>0</v>
      </c>
      <c r="P1368" s="238" t="s">
        <v>5078</v>
      </c>
      <c r="Q1368" s="5" t="s">
        <v>1571</v>
      </c>
      <c r="R1368" s="239" t="s">
        <v>168</v>
      </c>
      <c r="S1368" s="238" t="s">
        <v>168</v>
      </c>
      <c r="T1368" s="238" t="s">
        <v>168</v>
      </c>
      <c r="U1368" s="238" t="s">
        <v>168</v>
      </c>
      <c r="V1368" s="238" t="s">
        <v>5301</v>
      </c>
      <c r="W1368" s="236">
        <v>1920</v>
      </c>
      <c r="X1368" s="233">
        <v>41332</v>
      </c>
      <c r="Y1368" s="238" t="s">
        <v>5333</v>
      </c>
      <c r="AB1368" s="5" t="s">
        <v>1570</v>
      </c>
    </row>
    <row r="1369" spans="1:28">
      <c r="A1369" s="233">
        <v>41323</v>
      </c>
      <c r="B1369" s="1" t="s">
        <v>2333</v>
      </c>
      <c r="C1369" s="1" t="s">
        <v>163</v>
      </c>
      <c r="D1369" s="5" t="s">
        <v>183</v>
      </c>
      <c r="E1369" s="1" t="s">
        <v>5076</v>
      </c>
      <c r="F1369" s="1">
        <v>10</v>
      </c>
      <c r="G1369" s="1" t="s">
        <v>5077</v>
      </c>
      <c r="H1369" s="234">
        <v>1.73</v>
      </c>
      <c r="I1369" s="235">
        <f t="shared" si="112"/>
        <v>17.3</v>
      </c>
      <c r="K1369" s="250">
        <f>1.54*10</f>
        <v>15.4</v>
      </c>
      <c r="L1369" s="237">
        <v>41334</v>
      </c>
      <c r="M1369" s="1" t="s">
        <v>167</v>
      </c>
      <c r="N1369" s="235">
        <f t="shared" si="109"/>
        <v>17.3</v>
      </c>
      <c r="O1369" s="235">
        <f t="shared" si="111"/>
        <v>0</v>
      </c>
      <c r="P1369" s="238" t="s">
        <v>5078</v>
      </c>
      <c r="Q1369" s="5" t="s">
        <v>1571</v>
      </c>
      <c r="R1369" s="239" t="s">
        <v>168</v>
      </c>
      <c r="S1369" s="238" t="s">
        <v>168</v>
      </c>
      <c r="T1369" s="238" t="s">
        <v>168</v>
      </c>
      <c r="U1369" s="238" t="s">
        <v>168</v>
      </c>
      <c r="V1369" s="238" t="s">
        <v>5301</v>
      </c>
      <c r="W1369" s="236">
        <v>1920</v>
      </c>
      <c r="X1369" s="233">
        <v>41332</v>
      </c>
      <c r="Y1369" s="238" t="s">
        <v>5333</v>
      </c>
      <c r="AB1369" s="5" t="s">
        <v>1570</v>
      </c>
    </row>
    <row r="1370" spans="1:28">
      <c r="A1370" s="233">
        <v>41324</v>
      </c>
      <c r="B1370" s="1" t="s">
        <v>3079</v>
      </c>
      <c r="C1370" s="1" t="s">
        <v>163</v>
      </c>
      <c r="D1370" s="5" t="s">
        <v>309</v>
      </c>
      <c r="E1370" s="1">
        <v>1110</v>
      </c>
      <c r="F1370" s="1">
        <v>50</v>
      </c>
      <c r="G1370" s="1" t="s">
        <v>5151</v>
      </c>
      <c r="H1370" s="234">
        <v>0.86</v>
      </c>
      <c r="I1370" s="235">
        <f t="shared" si="112"/>
        <v>43</v>
      </c>
      <c r="K1370" s="250">
        <f>0.72*50</f>
        <v>36</v>
      </c>
      <c r="L1370" s="237">
        <v>41324</v>
      </c>
      <c r="M1370" s="1" t="s">
        <v>5154</v>
      </c>
      <c r="N1370" s="235">
        <f t="shared" si="109"/>
        <v>43</v>
      </c>
      <c r="O1370" s="235">
        <f t="shared" si="111"/>
        <v>0</v>
      </c>
      <c r="P1370" s="238" t="s">
        <v>5099</v>
      </c>
      <c r="Q1370" s="5" t="s">
        <v>1571</v>
      </c>
      <c r="R1370" s="239" t="s">
        <v>168</v>
      </c>
      <c r="S1370" s="238" t="s">
        <v>168</v>
      </c>
      <c r="T1370" s="238" t="s">
        <v>168</v>
      </c>
      <c r="U1370" s="238" t="s">
        <v>168</v>
      </c>
      <c r="AB1370" s="5" t="s">
        <v>1570</v>
      </c>
    </row>
    <row r="1371" spans="1:28">
      <c r="A1371" s="233">
        <v>41324</v>
      </c>
      <c r="B1371" s="1" t="s">
        <v>3079</v>
      </c>
      <c r="C1371" s="1" t="s">
        <v>163</v>
      </c>
      <c r="D1371" s="5" t="s">
        <v>2026</v>
      </c>
      <c r="E1371" s="1" t="s">
        <v>5097</v>
      </c>
      <c r="F1371" s="1">
        <v>30</v>
      </c>
      <c r="G1371" s="1" t="s">
        <v>5152</v>
      </c>
      <c r="H1371" s="234">
        <v>1.8</v>
      </c>
      <c r="I1371" s="235">
        <f t="shared" si="112"/>
        <v>54</v>
      </c>
      <c r="K1371" s="250">
        <f>1.4*30</f>
        <v>42</v>
      </c>
      <c r="L1371" s="237">
        <v>41324</v>
      </c>
      <c r="M1371" s="1" t="s">
        <v>5154</v>
      </c>
      <c r="N1371" s="235">
        <f t="shared" si="109"/>
        <v>54</v>
      </c>
      <c r="O1371" s="235">
        <f t="shared" si="111"/>
        <v>0</v>
      </c>
      <c r="P1371" s="238" t="s">
        <v>5099</v>
      </c>
      <c r="Q1371" s="5" t="s">
        <v>1571</v>
      </c>
      <c r="R1371" s="239" t="s">
        <v>168</v>
      </c>
      <c r="S1371" s="238" t="s">
        <v>168</v>
      </c>
      <c r="T1371" s="238" t="s">
        <v>168</v>
      </c>
      <c r="U1371" s="238" t="s">
        <v>168</v>
      </c>
      <c r="AB1371" s="5" t="s">
        <v>1570</v>
      </c>
    </row>
    <row r="1372" spans="1:28">
      <c r="A1372" s="233">
        <v>41324</v>
      </c>
      <c r="B1372" s="1" t="s">
        <v>5150</v>
      </c>
      <c r="C1372" s="1" t="s">
        <v>163</v>
      </c>
      <c r="D1372" s="5" t="s">
        <v>4458</v>
      </c>
      <c r="E1372" s="1" t="s">
        <v>5086</v>
      </c>
      <c r="F1372" s="1">
        <v>1</v>
      </c>
      <c r="G1372" s="1" t="s">
        <v>5087</v>
      </c>
      <c r="H1372" s="234">
        <v>50</v>
      </c>
      <c r="I1372" s="235">
        <f>F1372*H1372</f>
        <v>50</v>
      </c>
      <c r="K1372" s="250">
        <v>33.110999999999997</v>
      </c>
      <c r="L1372" s="237">
        <v>41323</v>
      </c>
      <c r="M1372" s="1" t="s">
        <v>166</v>
      </c>
      <c r="N1372" s="235">
        <f t="shared" si="109"/>
        <v>50</v>
      </c>
      <c r="O1372" s="235">
        <f t="shared" si="111"/>
        <v>0</v>
      </c>
      <c r="P1372" s="238" t="s">
        <v>5088</v>
      </c>
      <c r="Q1372" s="5" t="s">
        <v>4871</v>
      </c>
      <c r="R1372" s="239" t="s">
        <v>5089</v>
      </c>
      <c r="S1372" s="238" t="s">
        <v>5090</v>
      </c>
      <c r="T1372" s="238" t="s">
        <v>5091</v>
      </c>
      <c r="U1372" s="238" t="s">
        <v>5092</v>
      </c>
      <c r="V1372" s="238" t="s">
        <v>5093</v>
      </c>
      <c r="W1372" s="236" t="s">
        <v>168</v>
      </c>
      <c r="X1372" s="233" t="s">
        <v>168</v>
      </c>
      <c r="Y1372" s="238" t="s">
        <v>168</v>
      </c>
      <c r="AB1372" s="5" t="s">
        <v>1570</v>
      </c>
    </row>
    <row r="1373" spans="1:28">
      <c r="A1373" s="233">
        <v>41324</v>
      </c>
      <c r="B1373" s="1" t="s">
        <v>5150</v>
      </c>
      <c r="C1373" s="1" t="s">
        <v>163</v>
      </c>
      <c r="D1373" s="5" t="s">
        <v>2027</v>
      </c>
      <c r="E1373" s="1" t="s">
        <v>1569</v>
      </c>
      <c r="F1373" s="1">
        <v>-1</v>
      </c>
      <c r="G1373" s="1" t="s">
        <v>193</v>
      </c>
      <c r="H1373" s="234">
        <v>50</v>
      </c>
      <c r="I1373" s="235">
        <f>F1373*H1373</f>
        <v>-50</v>
      </c>
      <c r="K1373" s="250">
        <v>-33.110999999999997</v>
      </c>
      <c r="L1373" s="237" t="s">
        <v>5204</v>
      </c>
      <c r="M1373" s="1" t="s">
        <v>5204</v>
      </c>
      <c r="N1373" s="235">
        <f t="shared" si="109"/>
        <v>-50</v>
      </c>
      <c r="O1373" s="235">
        <f t="shared" si="111"/>
        <v>0</v>
      </c>
      <c r="P1373" s="238" t="s">
        <v>5204</v>
      </c>
      <c r="Q1373" s="5" t="s">
        <v>5206</v>
      </c>
      <c r="R1373" s="5" t="s">
        <v>5206</v>
      </c>
      <c r="S1373" s="5" t="s">
        <v>5206</v>
      </c>
      <c r="T1373" s="5" t="s">
        <v>5206</v>
      </c>
      <c r="U1373" s="5" t="s">
        <v>5206</v>
      </c>
      <c r="V1373" s="5" t="s">
        <v>5206</v>
      </c>
      <c r="W1373" s="5" t="s">
        <v>5206</v>
      </c>
      <c r="X1373" s="5" t="s">
        <v>5206</v>
      </c>
      <c r="Y1373" s="5" t="s">
        <v>5206</v>
      </c>
      <c r="AB1373" s="5" t="s">
        <v>1570</v>
      </c>
    </row>
    <row r="1374" spans="1:28">
      <c r="A1374" s="233">
        <v>41324</v>
      </c>
      <c r="B1374" s="1" t="s">
        <v>2191</v>
      </c>
      <c r="C1374" s="1" t="s">
        <v>163</v>
      </c>
      <c r="D1374" s="65" t="s">
        <v>1575</v>
      </c>
      <c r="E1374" s="1" t="s">
        <v>4978</v>
      </c>
      <c r="F1374" s="1">
        <v>4</v>
      </c>
      <c r="G1374" s="1" t="s">
        <v>4979</v>
      </c>
      <c r="H1374" s="234">
        <v>46.27</v>
      </c>
      <c r="I1374" s="235">
        <f>F1374*H1374</f>
        <v>185.08</v>
      </c>
      <c r="K1374" s="250">
        <f>42.939*4</f>
        <v>171.756</v>
      </c>
      <c r="L1374" s="237">
        <v>41330</v>
      </c>
      <c r="M1374" s="1" t="s">
        <v>5331</v>
      </c>
      <c r="N1374" s="235">
        <f t="shared" si="109"/>
        <v>185.08</v>
      </c>
      <c r="O1374" s="235">
        <f t="shared" si="111"/>
        <v>0</v>
      </c>
      <c r="P1374" s="238" t="s">
        <v>5098</v>
      </c>
      <c r="Q1374" s="1" t="s">
        <v>2529</v>
      </c>
      <c r="R1374" s="239" t="s">
        <v>2193</v>
      </c>
      <c r="S1374" s="238" t="s">
        <v>2194</v>
      </c>
      <c r="T1374" s="238" t="s">
        <v>3562</v>
      </c>
      <c r="U1374" s="238" t="s">
        <v>168</v>
      </c>
      <c r="V1374" s="246" t="s">
        <v>176</v>
      </c>
      <c r="W1374" s="236" t="s">
        <v>168</v>
      </c>
      <c r="X1374" s="233" t="s">
        <v>168</v>
      </c>
      <c r="Y1374" s="238" t="s">
        <v>168</v>
      </c>
      <c r="AB1374" s="5" t="s">
        <v>1570</v>
      </c>
    </row>
    <row r="1375" spans="1:28">
      <c r="A1375" s="233">
        <v>41324</v>
      </c>
      <c r="B1375" s="228" t="s">
        <v>1496</v>
      </c>
      <c r="C1375" s="1" t="s">
        <v>7</v>
      </c>
      <c r="D1375" s="95" t="s">
        <v>5040</v>
      </c>
      <c r="E1375" s="1" t="s">
        <v>5030</v>
      </c>
      <c r="F1375" s="1">
        <v>144</v>
      </c>
      <c r="G1375" s="1" t="s">
        <v>5032</v>
      </c>
      <c r="H1375" s="234">
        <v>11</v>
      </c>
      <c r="I1375" s="235">
        <f t="shared" si="112"/>
        <v>1584</v>
      </c>
      <c r="K1375" s="250">
        <f>10*144</f>
        <v>1440</v>
      </c>
      <c r="L1375" s="237">
        <v>41322</v>
      </c>
      <c r="M1375" s="1" t="s">
        <v>167</v>
      </c>
      <c r="N1375" s="235">
        <f t="shared" si="109"/>
        <v>1584</v>
      </c>
      <c r="O1375" s="235">
        <f t="shared" si="111"/>
        <v>0</v>
      </c>
      <c r="P1375" s="238" t="s">
        <v>5035</v>
      </c>
      <c r="Q1375" s="1" t="s">
        <v>5125</v>
      </c>
      <c r="R1375" s="239" t="s">
        <v>4357</v>
      </c>
      <c r="S1375" s="238" t="s">
        <v>4358</v>
      </c>
      <c r="T1375" s="238" t="s">
        <v>1479</v>
      </c>
      <c r="U1375" s="238" t="s">
        <v>6116</v>
      </c>
      <c r="V1375" s="238" t="s">
        <v>5302</v>
      </c>
      <c r="W1375" s="236">
        <v>7268</v>
      </c>
      <c r="X1375" s="233">
        <v>41332</v>
      </c>
      <c r="Y1375" s="238" t="s">
        <v>5303</v>
      </c>
      <c r="AB1375" s="1" t="s">
        <v>1570</v>
      </c>
    </row>
    <row r="1376" spans="1:28">
      <c r="A1376" s="233">
        <v>41324</v>
      </c>
      <c r="B1376" s="228" t="s">
        <v>1496</v>
      </c>
      <c r="C1376" s="1" t="s">
        <v>163</v>
      </c>
      <c r="D1376" s="1" t="s">
        <v>5081</v>
      </c>
      <c r="E1376" s="1">
        <v>8210</v>
      </c>
      <c r="F1376" s="1">
        <v>200</v>
      </c>
      <c r="G1376" s="1" t="s">
        <v>5033</v>
      </c>
      <c r="H1376" s="234">
        <v>4.5999999999999996</v>
      </c>
      <c r="I1376" s="235">
        <f t="shared" si="112"/>
        <v>919.99999999999989</v>
      </c>
      <c r="K1376" s="250">
        <f>3.63*130+4.45*70</f>
        <v>783.4</v>
      </c>
      <c r="L1376" s="237">
        <v>41322</v>
      </c>
      <c r="M1376" s="1" t="s">
        <v>167</v>
      </c>
      <c r="N1376" s="235">
        <f t="shared" si="109"/>
        <v>919.99999999999989</v>
      </c>
      <c r="O1376" s="235">
        <f t="shared" si="111"/>
        <v>0</v>
      </c>
      <c r="P1376" s="238" t="s">
        <v>5035</v>
      </c>
      <c r="Q1376" s="1" t="s">
        <v>5125</v>
      </c>
      <c r="R1376" s="239" t="s">
        <v>4357</v>
      </c>
      <c r="S1376" s="238" t="s">
        <v>4358</v>
      </c>
      <c r="T1376" s="238" t="s">
        <v>1479</v>
      </c>
      <c r="U1376" s="238" t="s">
        <v>6116</v>
      </c>
      <c r="V1376" s="238" t="s">
        <v>5302</v>
      </c>
      <c r="W1376" s="236">
        <v>7268</v>
      </c>
      <c r="X1376" s="233">
        <v>41332</v>
      </c>
      <c r="Y1376" s="238" t="s">
        <v>5303</v>
      </c>
      <c r="AB1376" s="1" t="s">
        <v>1570</v>
      </c>
    </row>
    <row r="1377" spans="1:28">
      <c r="A1377" s="233">
        <v>41324</v>
      </c>
      <c r="B1377" s="228" t="s">
        <v>1496</v>
      </c>
      <c r="C1377" s="1" t="s">
        <v>163</v>
      </c>
      <c r="D1377" s="5" t="s">
        <v>2026</v>
      </c>
      <c r="E1377" s="1" t="s">
        <v>5031</v>
      </c>
      <c r="F1377" s="1">
        <v>1500</v>
      </c>
      <c r="G1377" s="1" t="s">
        <v>5033</v>
      </c>
      <c r="H1377" s="234">
        <v>1.7</v>
      </c>
      <c r="I1377" s="235">
        <f t="shared" si="112"/>
        <v>2550</v>
      </c>
      <c r="K1377" s="250">
        <f>1.4*1000+1.55*500</f>
        <v>2175</v>
      </c>
      <c r="L1377" s="237">
        <v>41322</v>
      </c>
      <c r="M1377" s="1" t="s">
        <v>167</v>
      </c>
      <c r="N1377" s="235">
        <f t="shared" si="109"/>
        <v>2550</v>
      </c>
      <c r="O1377" s="235">
        <f t="shared" si="111"/>
        <v>0</v>
      </c>
      <c r="P1377" s="238" t="s">
        <v>5035</v>
      </c>
      <c r="Q1377" s="1" t="s">
        <v>5125</v>
      </c>
      <c r="R1377" s="239" t="s">
        <v>4357</v>
      </c>
      <c r="S1377" s="238" t="s">
        <v>4358</v>
      </c>
      <c r="T1377" s="238" t="s">
        <v>1479</v>
      </c>
      <c r="U1377" s="238" t="s">
        <v>6116</v>
      </c>
      <c r="V1377" s="238" t="s">
        <v>5302</v>
      </c>
      <c r="W1377" s="236">
        <v>7268</v>
      </c>
      <c r="X1377" s="233">
        <v>41332</v>
      </c>
      <c r="Y1377" s="238" t="s">
        <v>5303</v>
      </c>
      <c r="AB1377" s="1" t="s">
        <v>1570</v>
      </c>
    </row>
    <row r="1378" spans="1:28">
      <c r="A1378" s="233">
        <v>41324</v>
      </c>
      <c r="B1378" s="228" t="s">
        <v>1496</v>
      </c>
      <c r="C1378" s="1" t="s">
        <v>7</v>
      </c>
      <c r="D1378" s="95" t="s">
        <v>5040</v>
      </c>
      <c r="E1378" s="1" t="s">
        <v>858</v>
      </c>
      <c r="F1378" s="1">
        <v>144</v>
      </c>
      <c r="G1378" s="1" t="s">
        <v>830</v>
      </c>
      <c r="H1378" s="234">
        <v>11</v>
      </c>
      <c r="I1378" s="235">
        <f t="shared" si="112"/>
        <v>1584</v>
      </c>
      <c r="K1378" s="250">
        <f>10*144</f>
        <v>1440</v>
      </c>
      <c r="L1378" s="237">
        <v>41324</v>
      </c>
      <c r="M1378" s="1" t="s">
        <v>167</v>
      </c>
      <c r="N1378" s="235">
        <f t="shared" si="109"/>
        <v>1584</v>
      </c>
      <c r="O1378" s="235">
        <f t="shared" si="111"/>
        <v>0</v>
      </c>
      <c r="P1378" s="238" t="s">
        <v>5111</v>
      </c>
      <c r="Q1378" s="1" t="s">
        <v>5125</v>
      </c>
      <c r="R1378" s="239" t="s">
        <v>4357</v>
      </c>
      <c r="S1378" s="238" t="s">
        <v>4358</v>
      </c>
      <c r="T1378" s="238" t="s">
        <v>1479</v>
      </c>
      <c r="U1378" s="238" t="s">
        <v>6116</v>
      </c>
      <c r="V1378" s="238" t="s">
        <v>5302</v>
      </c>
      <c r="W1378" s="236">
        <v>7268</v>
      </c>
      <c r="X1378" s="233">
        <v>41332</v>
      </c>
      <c r="Y1378" s="238" t="s">
        <v>5303</v>
      </c>
      <c r="AB1378" s="1" t="s">
        <v>1570</v>
      </c>
    </row>
    <row r="1379" spans="1:28">
      <c r="A1379" s="233">
        <v>41324</v>
      </c>
      <c r="B1379" s="228" t="s">
        <v>1496</v>
      </c>
      <c r="C1379" s="1" t="s">
        <v>163</v>
      </c>
      <c r="D1379" s="5" t="s">
        <v>5102</v>
      </c>
      <c r="E1379" s="1" t="s">
        <v>5101</v>
      </c>
      <c r="F1379" s="1">
        <v>50</v>
      </c>
      <c r="G1379" s="1" t="s">
        <v>5096</v>
      </c>
      <c r="H1379" s="234">
        <v>12.6</v>
      </c>
      <c r="I1379" s="235">
        <f t="shared" si="112"/>
        <v>630</v>
      </c>
      <c r="K1379" s="282">
        <f>11.7*8+42*12.06</f>
        <v>600.12</v>
      </c>
      <c r="L1379" s="237">
        <v>41324</v>
      </c>
      <c r="M1379" s="1" t="s">
        <v>167</v>
      </c>
      <c r="N1379" s="235">
        <f t="shared" si="109"/>
        <v>630</v>
      </c>
      <c r="O1379" s="235">
        <f t="shared" si="111"/>
        <v>0</v>
      </c>
      <c r="P1379" s="238" t="s">
        <v>5111</v>
      </c>
      <c r="Q1379" s="1" t="s">
        <v>5125</v>
      </c>
      <c r="R1379" s="239" t="s">
        <v>4357</v>
      </c>
      <c r="S1379" s="238" t="s">
        <v>4358</v>
      </c>
      <c r="T1379" s="238" t="s">
        <v>1479</v>
      </c>
      <c r="U1379" s="238" t="s">
        <v>6116</v>
      </c>
      <c r="V1379" s="238" t="s">
        <v>5302</v>
      </c>
      <c r="W1379" s="236">
        <v>7268</v>
      </c>
      <c r="X1379" s="233">
        <v>41332</v>
      </c>
      <c r="Y1379" s="238" t="s">
        <v>5303</v>
      </c>
      <c r="Z1379" s="255" t="s">
        <v>5103</v>
      </c>
      <c r="AB1379" s="1" t="s">
        <v>1570</v>
      </c>
    </row>
    <row r="1380" spans="1:28">
      <c r="A1380" s="233">
        <v>41324</v>
      </c>
      <c r="B1380" s="1" t="s">
        <v>2486</v>
      </c>
      <c r="C1380" s="1" t="s">
        <v>163</v>
      </c>
      <c r="D1380" s="1" t="s">
        <v>1219</v>
      </c>
      <c r="E1380" s="1" t="s">
        <v>5071</v>
      </c>
      <c r="F1380" s="1">
        <v>50</v>
      </c>
      <c r="G1380" s="1" t="s">
        <v>5072</v>
      </c>
      <c r="H1380" s="234">
        <v>14.47</v>
      </c>
      <c r="I1380" s="235">
        <f>F1380*H1380</f>
        <v>723.5</v>
      </c>
      <c r="K1380" s="250">
        <f>12.6*50</f>
        <v>630</v>
      </c>
      <c r="L1380" s="237">
        <v>41323</v>
      </c>
      <c r="M1380" s="1" t="s">
        <v>5082</v>
      </c>
      <c r="N1380" s="235">
        <f t="shared" si="109"/>
        <v>723.5</v>
      </c>
      <c r="O1380" s="235">
        <f t="shared" si="111"/>
        <v>0</v>
      </c>
      <c r="P1380" s="238" t="s">
        <v>5100</v>
      </c>
      <c r="Q1380" s="1" t="s">
        <v>5124</v>
      </c>
      <c r="R1380" s="239" t="s">
        <v>2490</v>
      </c>
      <c r="S1380" s="238" t="s">
        <v>735</v>
      </c>
      <c r="T1380" s="238" t="s">
        <v>736</v>
      </c>
      <c r="V1380" s="238" t="s">
        <v>5781</v>
      </c>
      <c r="W1380" s="236">
        <v>1247.5</v>
      </c>
      <c r="X1380" s="233">
        <v>41347</v>
      </c>
      <c r="Y1380" s="238" t="s">
        <v>5782</v>
      </c>
      <c r="AA1380" s="334" t="s">
        <v>5624</v>
      </c>
      <c r="AB1380" s="1" t="s">
        <v>1570</v>
      </c>
    </row>
    <row r="1381" spans="1:28">
      <c r="A1381" s="233">
        <v>41324</v>
      </c>
      <c r="B1381" s="1" t="s">
        <v>2486</v>
      </c>
      <c r="C1381" s="1" t="s">
        <v>163</v>
      </c>
      <c r="D1381" s="1" t="s">
        <v>1192</v>
      </c>
      <c r="E1381" s="1">
        <v>8247</v>
      </c>
      <c r="F1381" s="1">
        <v>40</v>
      </c>
      <c r="G1381" s="1" t="s">
        <v>5073</v>
      </c>
      <c r="H1381" s="234">
        <v>13.1</v>
      </c>
      <c r="I1381" s="235">
        <f>F1381*H1381</f>
        <v>524</v>
      </c>
      <c r="K1381" s="250">
        <f>12.35*40</f>
        <v>494</v>
      </c>
      <c r="L1381" s="237">
        <v>41323</v>
      </c>
      <c r="M1381" s="1" t="s">
        <v>5082</v>
      </c>
      <c r="N1381" s="235">
        <f t="shared" si="109"/>
        <v>524</v>
      </c>
      <c r="O1381" s="235">
        <f t="shared" si="111"/>
        <v>0</v>
      </c>
      <c r="P1381" s="238" t="s">
        <v>5100</v>
      </c>
      <c r="Q1381" s="1" t="s">
        <v>5124</v>
      </c>
      <c r="R1381" s="239" t="s">
        <v>2490</v>
      </c>
      <c r="S1381" s="238" t="s">
        <v>735</v>
      </c>
      <c r="T1381" s="238" t="s">
        <v>736</v>
      </c>
      <c r="V1381" s="238" t="s">
        <v>5781</v>
      </c>
      <c r="W1381" s="236">
        <v>1247.5</v>
      </c>
      <c r="X1381" s="233">
        <v>41347</v>
      </c>
      <c r="Y1381" s="238" t="s">
        <v>5782</v>
      </c>
      <c r="AA1381" s="334" t="s">
        <v>5624</v>
      </c>
      <c r="AB1381" s="1" t="s">
        <v>1570</v>
      </c>
    </row>
    <row r="1382" spans="1:28">
      <c r="A1382" s="233">
        <v>41325</v>
      </c>
      <c r="B1382" s="1" t="s">
        <v>5115</v>
      </c>
      <c r="C1382" s="1" t="s">
        <v>163</v>
      </c>
      <c r="D1382" s="1" t="s">
        <v>1192</v>
      </c>
      <c r="E1382" s="1">
        <v>8247</v>
      </c>
      <c r="F1382" s="1">
        <v>3</v>
      </c>
      <c r="G1382" s="1" t="s">
        <v>171</v>
      </c>
      <c r="H1382" s="234">
        <v>20</v>
      </c>
      <c r="I1382" s="235">
        <f>F1382*H1382</f>
        <v>60</v>
      </c>
      <c r="K1382" s="250">
        <f>12.35*3</f>
        <v>37.049999999999997</v>
      </c>
      <c r="L1382" s="237">
        <v>41325</v>
      </c>
      <c r="M1382" s="1" t="s">
        <v>5117</v>
      </c>
      <c r="N1382" s="235">
        <f t="shared" si="109"/>
        <v>60</v>
      </c>
      <c r="O1382" s="235">
        <f t="shared" si="111"/>
        <v>0</v>
      </c>
      <c r="P1382" s="238" t="s">
        <v>5118</v>
      </c>
      <c r="Q1382" s="1" t="s">
        <v>5119</v>
      </c>
      <c r="R1382" s="239" t="s">
        <v>5120</v>
      </c>
      <c r="S1382" s="238" t="s">
        <v>5121</v>
      </c>
      <c r="T1382" s="238" t="s">
        <v>5113</v>
      </c>
      <c r="U1382" s="238" t="s">
        <v>5113</v>
      </c>
      <c r="V1382" s="238" t="s">
        <v>5122</v>
      </c>
      <c r="W1382" s="236" t="s">
        <v>5113</v>
      </c>
      <c r="X1382" s="233" t="s">
        <v>5113</v>
      </c>
      <c r="Y1382" s="238" t="s">
        <v>5113</v>
      </c>
      <c r="AB1382" s="1" t="s">
        <v>2079</v>
      </c>
    </row>
    <row r="1383" spans="1:28">
      <c r="A1383" s="233">
        <v>41325</v>
      </c>
      <c r="B1383" s="1" t="s">
        <v>5115</v>
      </c>
      <c r="C1383" s="1" t="s">
        <v>163</v>
      </c>
      <c r="D1383" s="1" t="s">
        <v>857</v>
      </c>
      <c r="E1383" s="1">
        <v>9031</v>
      </c>
      <c r="F1383" s="1">
        <v>2</v>
      </c>
      <c r="G1383" s="1" t="s">
        <v>171</v>
      </c>
      <c r="H1383" s="234">
        <v>2.5</v>
      </c>
      <c r="I1383" s="235">
        <f>F1383*H1383</f>
        <v>5</v>
      </c>
      <c r="K1383" s="250">
        <f>1.4929*2</f>
        <v>2.9857999999999998</v>
      </c>
      <c r="L1383" s="237">
        <v>41325</v>
      </c>
      <c r="M1383" s="1" t="s">
        <v>5117</v>
      </c>
      <c r="N1383" s="235">
        <f t="shared" si="109"/>
        <v>5</v>
      </c>
      <c r="O1383" s="235">
        <f t="shared" si="111"/>
        <v>0</v>
      </c>
      <c r="P1383" s="238" t="s">
        <v>5118</v>
      </c>
      <c r="Q1383" s="1" t="s">
        <v>5119</v>
      </c>
      <c r="R1383" s="239" t="s">
        <v>5120</v>
      </c>
      <c r="S1383" s="238" t="s">
        <v>5121</v>
      </c>
      <c r="T1383" s="238" t="s">
        <v>5113</v>
      </c>
      <c r="U1383" s="238" t="s">
        <v>5113</v>
      </c>
      <c r="V1383" s="238" t="s">
        <v>5122</v>
      </c>
      <c r="W1383" s="236" t="s">
        <v>5113</v>
      </c>
      <c r="X1383" s="233" t="s">
        <v>5113</v>
      </c>
      <c r="Y1383" s="238" t="s">
        <v>5113</v>
      </c>
      <c r="AB1383" s="1" t="s">
        <v>2079</v>
      </c>
    </row>
    <row r="1384" spans="1:28">
      <c r="A1384" s="233">
        <v>41325</v>
      </c>
      <c r="B1384" s="1" t="s">
        <v>5115</v>
      </c>
      <c r="C1384" s="1" t="s">
        <v>163</v>
      </c>
      <c r="D1384" s="1" t="s">
        <v>1225</v>
      </c>
      <c r="E1384" s="1" t="s">
        <v>5116</v>
      </c>
      <c r="F1384" s="1">
        <v>2</v>
      </c>
      <c r="G1384" s="1" t="s">
        <v>171</v>
      </c>
      <c r="H1384" s="234">
        <v>15</v>
      </c>
      <c r="I1384" s="235">
        <f>F1384*H1384</f>
        <v>30</v>
      </c>
      <c r="K1384" s="250">
        <f>3.6*2</f>
        <v>7.2</v>
      </c>
      <c r="L1384" s="237">
        <v>41325</v>
      </c>
      <c r="M1384" s="1" t="s">
        <v>5117</v>
      </c>
      <c r="N1384" s="235">
        <f t="shared" si="109"/>
        <v>30</v>
      </c>
      <c r="O1384" s="235">
        <f t="shared" si="111"/>
        <v>0</v>
      </c>
      <c r="P1384" s="238" t="s">
        <v>5118</v>
      </c>
      <c r="Q1384" s="1" t="s">
        <v>5119</v>
      </c>
      <c r="R1384" s="239" t="s">
        <v>5120</v>
      </c>
      <c r="S1384" s="238" t="s">
        <v>5121</v>
      </c>
      <c r="T1384" s="238" t="s">
        <v>5113</v>
      </c>
      <c r="U1384" s="238" t="s">
        <v>5113</v>
      </c>
      <c r="V1384" s="238" t="s">
        <v>5122</v>
      </c>
      <c r="W1384" s="236" t="s">
        <v>5113</v>
      </c>
      <c r="X1384" s="233" t="s">
        <v>5113</v>
      </c>
      <c r="Y1384" s="238" t="s">
        <v>5113</v>
      </c>
      <c r="AB1384" s="1" t="s">
        <v>2079</v>
      </c>
    </row>
    <row r="1385" spans="1:28" ht="11.25" customHeight="1">
      <c r="A1385" s="233">
        <v>41325</v>
      </c>
      <c r="B1385" s="1" t="s">
        <v>2121</v>
      </c>
      <c r="C1385" s="1" t="s">
        <v>163</v>
      </c>
      <c r="D1385" s="1" t="s">
        <v>2036</v>
      </c>
      <c r="E1385" s="1" t="s">
        <v>180</v>
      </c>
      <c r="F1385" s="5">
        <v>-1000</v>
      </c>
      <c r="G1385" s="1" t="s">
        <v>232</v>
      </c>
      <c r="H1385" s="234">
        <v>1.6</v>
      </c>
      <c r="I1385" s="236">
        <f>H1385*F1385</f>
        <v>-1600</v>
      </c>
      <c r="K1385" s="241">
        <f>1.5*F1385</f>
        <v>-1500</v>
      </c>
      <c r="L1385" s="237" t="s">
        <v>5126</v>
      </c>
      <c r="M1385" s="1" t="s">
        <v>5126</v>
      </c>
      <c r="N1385" s="235">
        <f t="shared" si="109"/>
        <v>-1600</v>
      </c>
      <c r="O1385" s="235">
        <f t="shared" si="111"/>
        <v>0</v>
      </c>
      <c r="P1385" s="238" t="s">
        <v>4918</v>
      </c>
      <c r="Q1385" s="1" t="s">
        <v>1573</v>
      </c>
      <c r="R1385" s="239" t="s">
        <v>2493</v>
      </c>
      <c r="S1385" s="238" t="s">
        <v>2119</v>
      </c>
      <c r="T1385" s="238" t="s">
        <v>775</v>
      </c>
      <c r="U1385" s="238" t="s">
        <v>2593</v>
      </c>
      <c r="V1385" s="238" t="s">
        <v>176</v>
      </c>
      <c r="Y1385" s="239"/>
      <c r="Z1385" s="239"/>
      <c r="AA1385" s="240" t="s">
        <v>2496</v>
      </c>
      <c r="AB1385" s="1" t="s">
        <v>1570</v>
      </c>
    </row>
    <row r="1386" spans="1:28" ht="11.25" customHeight="1">
      <c r="A1386" s="233">
        <v>41325</v>
      </c>
      <c r="B1386" s="1" t="s">
        <v>2121</v>
      </c>
      <c r="C1386" s="1" t="s">
        <v>163</v>
      </c>
      <c r="D1386" s="5" t="s">
        <v>183</v>
      </c>
      <c r="E1386" s="1" t="s">
        <v>5127</v>
      </c>
      <c r="F1386" s="5">
        <v>200</v>
      </c>
      <c r="G1386" s="1" t="s">
        <v>172</v>
      </c>
      <c r="H1386" s="234">
        <v>2.02</v>
      </c>
      <c r="I1386" s="236">
        <f>H1386*F1386</f>
        <v>404</v>
      </c>
      <c r="K1386" s="241">
        <f>1.24*200</f>
        <v>248</v>
      </c>
      <c r="L1386" s="237">
        <v>41361</v>
      </c>
      <c r="M1386" s="1" t="s">
        <v>166</v>
      </c>
      <c r="N1386" s="235">
        <f t="shared" si="109"/>
        <v>404</v>
      </c>
      <c r="O1386" s="235">
        <f t="shared" si="111"/>
        <v>0</v>
      </c>
      <c r="P1386" s="238" t="s">
        <v>5128</v>
      </c>
      <c r="Q1386" s="1" t="s">
        <v>5153</v>
      </c>
      <c r="R1386" s="239" t="s">
        <v>2493</v>
      </c>
      <c r="S1386" s="238" t="s">
        <v>2119</v>
      </c>
      <c r="T1386" s="238" t="s">
        <v>775</v>
      </c>
      <c r="U1386" s="238" t="s">
        <v>2593</v>
      </c>
      <c r="V1386" s="238" t="s">
        <v>176</v>
      </c>
      <c r="Y1386" s="239"/>
      <c r="Z1386" s="239"/>
      <c r="AA1386" s="240" t="s">
        <v>2496</v>
      </c>
      <c r="AB1386" s="1" t="s">
        <v>1570</v>
      </c>
    </row>
    <row r="1387" spans="1:28" ht="11.25" customHeight="1">
      <c r="A1387" s="233">
        <v>41326</v>
      </c>
      <c r="B1387" s="1" t="s">
        <v>5160</v>
      </c>
      <c r="C1387" s="1" t="s">
        <v>163</v>
      </c>
      <c r="D1387" s="1" t="s">
        <v>1216</v>
      </c>
      <c r="E1387" s="1">
        <v>3200</v>
      </c>
      <c r="F1387" s="5">
        <v>10</v>
      </c>
      <c r="G1387" s="1" t="s">
        <v>171</v>
      </c>
      <c r="H1387" s="234">
        <v>29.51</v>
      </c>
      <c r="I1387" s="236">
        <f t="shared" ref="I1387:I1389" si="113">H1387*F1387</f>
        <v>295.10000000000002</v>
      </c>
      <c r="K1387" s="241">
        <f>23.94*10</f>
        <v>239.4</v>
      </c>
      <c r="L1387" s="237">
        <v>41326</v>
      </c>
      <c r="M1387" s="1" t="s">
        <v>166</v>
      </c>
      <c r="N1387" s="235">
        <f t="shared" si="109"/>
        <v>295.10000000000002</v>
      </c>
      <c r="O1387" s="235">
        <f t="shared" si="111"/>
        <v>0</v>
      </c>
      <c r="P1387" s="238" t="s">
        <v>5161</v>
      </c>
      <c r="Q1387" s="1" t="s">
        <v>5356</v>
      </c>
      <c r="R1387" s="239" t="s">
        <v>5162</v>
      </c>
      <c r="S1387" s="238" t="s">
        <v>5163</v>
      </c>
      <c r="T1387" s="238" t="s">
        <v>2252</v>
      </c>
      <c r="U1387" s="238" t="s">
        <v>5164</v>
      </c>
      <c r="V1387" s="238" t="s">
        <v>176</v>
      </c>
      <c r="W1387" s="236" t="s">
        <v>5358</v>
      </c>
      <c r="X1387" s="233" t="s">
        <v>5358</v>
      </c>
      <c r="Y1387" s="239" t="s">
        <v>5358</v>
      </c>
      <c r="Z1387" s="239"/>
      <c r="AB1387" s="1" t="s">
        <v>1570</v>
      </c>
    </row>
    <row r="1388" spans="1:28" ht="11.25" customHeight="1">
      <c r="A1388" s="233">
        <v>41326</v>
      </c>
      <c r="B1388" s="1" t="s">
        <v>5160</v>
      </c>
      <c r="C1388" s="1" t="s">
        <v>163</v>
      </c>
      <c r="D1388" s="5" t="s">
        <v>348</v>
      </c>
      <c r="E1388" s="1">
        <v>3700</v>
      </c>
      <c r="F1388" s="5">
        <v>10</v>
      </c>
      <c r="G1388" s="1" t="s">
        <v>171</v>
      </c>
      <c r="H1388" s="234">
        <v>3.66</v>
      </c>
      <c r="I1388" s="236">
        <f t="shared" si="113"/>
        <v>36.6</v>
      </c>
      <c r="K1388" s="241">
        <f>3.09*10</f>
        <v>30.9</v>
      </c>
      <c r="L1388" s="237">
        <v>41326</v>
      </c>
      <c r="M1388" s="1" t="s">
        <v>166</v>
      </c>
      <c r="N1388" s="235">
        <f t="shared" si="109"/>
        <v>36.6</v>
      </c>
      <c r="O1388" s="235">
        <f t="shared" si="111"/>
        <v>0</v>
      </c>
      <c r="P1388" s="238" t="s">
        <v>5161</v>
      </c>
      <c r="Q1388" s="1" t="s">
        <v>5356</v>
      </c>
      <c r="R1388" s="239" t="s">
        <v>5162</v>
      </c>
      <c r="S1388" s="238" t="s">
        <v>5163</v>
      </c>
      <c r="T1388" s="238" t="s">
        <v>2252</v>
      </c>
      <c r="U1388" s="238" t="s">
        <v>5164</v>
      </c>
      <c r="V1388" s="238" t="s">
        <v>176</v>
      </c>
      <c r="W1388" s="236" t="s">
        <v>5358</v>
      </c>
      <c r="X1388" s="233" t="s">
        <v>5358</v>
      </c>
      <c r="Y1388" s="239" t="s">
        <v>5358</v>
      </c>
      <c r="Z1388" s="239"/>
      <c r="AB1388" s="1" t="s">
        <v>1570</v>
      </c>
    </row>
    <row r="1389" spans="1:28" ht="11.25" customHeight="1">
      <c r="A1389" s="233">
        <v>41326</v>
      </c>
      <c r="B1389" s="1" t="s">
        <v>5160</v>
      </c>
      <c r="C1389" s="1" t="s">
        <v>163</v>
      </c>
      <c r="D1389" s="5" t="s">
        <v>183</v>
      </c>
      <c r="E1389" s="1" t="s">
        <v>187</v>
      </c>
      <c r="F1389" s="5">
        <v>10</v>
      </c>
      <c r="G1389" s="1" t="s">
        <v>172</v>
      </c>
      <c r="H1389" s="234">
        <v>1.83</v>
      </c>
      <c r="I1389" s="236">
        <f t="shared" si="113"/>
        <v>18.3</v>
      </c>
      <c r="K1389" s="241">
        <f>1.54*10</f>
        <v>15.4</v>
      </c>
      <c r="L1389" s="237">
        <v>41326</v>
      </c>
      <c r="M1389" s="1" t="s">
        <v>166</v>
      </c>
      <c r="N1389" s="235">
        <f t="shared" si="109"/>
        <v>18.3</v>
      </c>
      <c r="O1389" s="235">
        <f t="shared" si="111"/>
        <v>0</v>
      </c>
      <c r="P1389" s="238" t="s">
        <v>5161</v>
      </c>
      <c r="Q1389" s="1" t="s">
        <v>5356</v>
      </c>
      <c r="R1389" s="239" t="s">
        <v>5162</v>
      </c>
      <c r="S1389" s="238" t="s">
        <v>5163</v>
      </c>
      <c r="T1389" s="238" t="s">
        <v>2252</v>
      </c>
      <c r="U1389" s="238" t="s">
        <v>5164</v>
      </c>
      <c r="V1389" s="238" t="s">
        <v>176</v>
      </c>
      <c r="W1389" s="236" t="s">
        <v>5358</v>
      </c>
      <c r="X1389" s="233" t="s">
        <v>5358</v>
      </c>
      <c r="Y1389" s="239" t="s">
        <v>5358</v>
      </c>
      <c r="Z1389" s="239"/>
      <c r="AB1389" s="1" t="s">
        <v>1570</v>
      </c>
    </row>
    <row r="1390" spans="1:28" ht="11.25" customHeight="1">
      <c r="A1390" s="233">
        <v>41327</v>
      </c>
      <c r="B1390" s="1" t="s">
        <v>2139</v>
      </c>
      <c r="C1390" s="1" t="s">
        <v>163</v>
      </c>
      <c r="D1390" s="1" t="s">
        <v>241</v>
      </c>
      <c r="E1390" s="1">
        <v>6200</v>
      </c>
      <c r="F1390" s="5">
        <v>1</v>
      </c>
      <c r="G1390" s="1" t="s">
        <v>171</v>
      </c>
      <c r="H1390" s="234">
        <v>59</v>
      </c>
      <c r="I1390" s="236">
        <f>H1390*F1390</f>
        <v>59</v>
      </c>
      <c r="K1390" s="241">
        <f>42.5*1</f>
        <v>42.5</v>
      </c>
      <c r="L1390" s="237">
        <v>41327</v>
      </c>
      <c r="M1390" s="1" t="s">
        <v>700</v>
      </c>
      <c r="N1390" s="235">
        <f t="shared" si="109"/>
        <v>59</v>
      </c>
      <c r="O1390" s="235">
        <f t="shared" si="111"/>
        <v>0</v>
      </c>
      <c r="P1390" s="238" t="s">
        <v>5165</v>
      </c>
      <c r="Q1390" s="1" t="s">
        <v>393</v>
      </c>
      <c r="R1390" s="239" t="s">
        <v>2137</v>
      </c>
      <c r="S1390" s="238" t="s">
        <v>2680</v>
      </c>
      <c r="T1390" s="238" t="s">
        <v>2681</v>
      </c>
      <c r="V1390" s="238" t="s">
        <v>176</v>
      </c>
      <c r="Y1390" s="239"/>
      <c r="Z1390" s="239"/>
      <c r="AB1390" s="1" t="s">
        <v>1570</v>
      </c>
    </row>
    <row r="1391" spans="1:28" ht="11.25" customHeight="1">
      <c r="A1391" s="233">
        <v>41327</v>
      </c>
      <c r="B1391" s="1" t="s">
        <v>2139</v>
      </c>
      <c r="C1391" s="1" t="s">
        <v>163</v>
      </c>
      <c r="D1391" s="1" t="s">
        <v>355</v>
      </c>
      <c r="E1391" s="1" t="s">
        <v>146</v>
      </c>
      <c r="F1391" s="5">
        <v>2</v>
      </c>
      <c r="G1391" s="1" t="s">
        <v>230</v>
      </c>
      <c r="H1391" s="234">
        <v>22</v>
      </c>
      <c r="I1391" s="236">
        <f>H1391*F1391</f>
        <v>44</v>
      </c>
      <c r="K1391" s="241">
        <f>16.5*2</f>
        <v>33</v>
      </c>
      <c r="L1391" s="237">
        <v>41327</v>
      </c>
      <c r="M1391" s="1" t="s">
        <v>700</v>
      </c>
      <c r="N1391" s="235">
        <f t="shared" si="109"/>
        <v>44</v>
      </c>
      <c r="O1391" s="235">
        <f t="shared" si="111"/>
        <v>0</v>
      </c>
      <c r="P1391" s="238" t="s">
        <v>5165</v>
      </c>
      <c r="Q1391" s="1" t="s">
        <v>393</v>
      </c>
      <c r="R1391" s="239" t="s">
        <v>2137</v>
      </c>
      <c r="S1391" s="238" t="s">
        <v>2680</v>
      </c>
      <c r="T1391" s="238" t="s">
        <v>2681</v>
      </c>
      <c r="V1391" s="238" t="s">
        <v>176</v>
      </c>
      <c r="Y1391" s="239"/>
      <c r="Z1391" s="239"/>
      <c r="AB1391" s="1" t="s">
        <v>1570</v>
      </c>
    </row>
    <row r="1392" spans="1:28" ht="11.25" customHeight="1">
      <c r="A1392" s="233">
        <v>41327</v>
      </c>
      <c r="B1392" s="1" t="s">
        <v>2139</v>
      </c>
      <c r="C1392" s="1" t="s">
        <v>163</v>
      </c>
      <c r="D1392" s="1" t="s">
        <v>233</v>
      </c>
      <c r="E1392" s="1" t="s">
        <v>195</v>
      </c>
      <c r="F1392" s="5">
        <v>2</v>
      </c>
      <c r="G1392" s="1" t="s">
        <v>232</v>
      </c>
      <c r="H1392" s="234">
        <v>7</v>
      </c>
      <c r="I1392" s="236">
        <f t="shared" ref="I1392:I1393" si="114">H1392*F1392</f>
        <v>14</v>
      </c>
      <c r="K1392" s="241">
        <f>4.75*2</f>
        <v>9.5</v>
      </c>
      <c r="L1392" s="237">
        <v>41327</v>
      </c>
      <c r="M1392" s="1" t="s">
        <v>700</v>
      </c>
      <c r="N1392" s="235">
        <f t="shared" si="109"/>
        <v>14</v>
      </c>
      <c r="O1392" s="235">
        <f t="shared" si="111"/>
        <v>0</v>
      </c>
      <c r="P1392" s="238" t="s">
        <v>5165</v>
      </c>
      <c r="Q1392" s="1" t="s">
        <v>393</v>
      </c>
      <c r="R1392" s="239" t="s">
        <v>2137</v>
      </c>
      <c r="S1392" s="238" t="s">
        <v>2680</v>
      </c>
      <c r="T1392" s="238" t="s">
        <v>2681</v>
      </c>
      <c r="V1392" s="238" t="s">
        <v>176</v>
      </c>
      <c r="Y1392" s="239"/>
      <c r="Z1392" s="239"/>
      <c r="AB1392" s="1" t="s">
        <v>1570</v>
      </c>
    </row>
    <row r="1393" spans="1:28" ht="11.25" customHeight="1">
      <c r="A1393" s="233">
        <v>41327</v>
      </c>
      <c r="B1393" s="1" t="s">
        <v>2139</v>
      </c>
      <c r="C1393" s="1" t="s">
        <v>163</v>
      </c>
      <c r="D1393" s="1" t="s">
        <v>264</v>
      </c>
      <c r="E1393" s="1">
        <v>501</v>
      </c>
      <c r="F1393" s="5">
        <v>2</v>
      </c>
      <c r="G1393" s="1" t="s">
        <v>230</v>
      </c>
      <c r="H1393" s="234">
        <v>1.5</v>
      </c>
      <c r="I1393" s="236">
        <f t="shared" si="114"/>
        <v>3</v>
      </c>
      <c r="K1393" s="241">
        <f>1.4*2</f>
        <v>2.8</v>
      </c>
      <c r="L1393" s="237">
        <v>41327</v>
      </c>
      <c r="M1393" s="1" t="s">
        <v>700</v>
      </c>
      <c r="N1393" s="235">
        <f t="shared" si="109"/>
        <v>3</v>
      </c>
      <c r="O1393" s="235">
        <f t="shared" si="111"/>
        <v>0</v>
      </c>
      <c r="P1393" s="238" t="s">
        <v>5165</v>
      </c>
      <c r="Q1393" s="1" t="s">
        <v>393</v>
      </c>
      <c r="R1393" s="239" t="s">
        <v>2137</v>
      </c>
      <c r="S1393" s="238" t="s">
        <v>2680</v>
      </c>
      <c r="T1393" s="238" t="s">
        <v>2681</v>
      </c>
      <c r="V1393" s="238" t="s">
        <v>176</v>
      </c>
      <c r="Y1393" s="239"/>
      <c r="Z1393" s="239"/>
      <c r="AB1393" s="1" t="s">
        <v>1570</v>
      </c>
    </row>
    <row r="1394" spans="1:28">
      <c r="A1394" s="233">
        <v>41327</v>
      </c>
      <c r="B1394" s="1" t="s">
        <v>5112</v>
      </c>
      <c r="C1394" s="1" t="s">
        <v>163</v>
      </c>
      <c r="D1394" s="304" t="s">
        <v>5108</v>
      </c>
      <c r="E1394" s="304">
        <v>52000166497</v>
      </c>
      <c r="F1394" s="1">
        <v>25</v>
      </c>
      <c r="G1394" s="1" t="s">
        <v>5084</v>
      </c>
      <c r="H1394" s="234">
        <v>16.5</v>
      </c>
      <c r="I1394" s="235">
        <f>F1394*H1394</f>
        <v>412.5</v>
      </c>
      <c r="K1394" s="250">
        <f>15.8*25</f>
        <v>395</v>
      </c>
      <c r="L1394" s="237">
        <v>41327</v>
      </c>
      <c r="M1394" s="1" t="s">
        <v>5171</v>
      </c>
      <c r="N1394" s="235">
        <f t="shared" si="109"/>
        <v>412.5</v>
      </c>
      <c r="O1394" s="235">
        <f t="shared" si="111"/>
        <v>0</v>
      </c>
      <c r="P1394" s="238" t="s">
        <v>5172</v>
      </c>
      <c r="Q1394" s="1" t="s">
        <v>393</v>
      </c>
      <c r="R1394" s="265" t="s">
        <v>5173</v>
      </c>
      <c r="S1394" s="265">
        <v>13883590995</v>
      </c>
      <c r="T1394" s="265" t="s">
        <v>5174</v>
      </c>
      <c r="U1394" s="238" t="s">
        <v>5170</v>
      </c>
      <c r="V1394" s="238" t="s">
        <v>5304</v>
      </c>
      <c r="W1394" s="236">
        <v>5347.5</v>
      </c>
      <c r="X1394" s="233">
        <v>41332</v>
      </c>
      <c r="Y1394" s="238" t="s">
        <v>5284</v>
      </c>
      <c r="AB1394" s="1" t="s">
        <v>1570</v>
      </c>
    </row>
    <row r="1395" spans="1:28">
      <c r="A1395" s="233">
        <v>41327</v>
      </c>
      <c r="B1395" s="1" t="s">
        <v>5112</v>
      </c>
      <c r="C1395" s="1" t="s">
        <v>163</v>
      </c>
      <c r="D1395" s="304" t="s">
        <v>5109</v>
      </c>
      <c r="E1395" s="304">
        <v>52000183666</v>
      </c>
      <c r="F1395" s="1">
        <v>50</v>
      </c>
      <c r="G1395" s="1" t="s">
        <v>5084</v>
      </c>
      <c r="H1395" s="234">
        <v>18.2</v>
      </c>
      <c r="I1395" s="235">
        <f>F1395*H1395</f>
        <v>910</v>
      </c>
      <c r="K1395" s="250">
        <f>17.1*50</f>
        <v>855.00000000000011</v>
      </c>
      <c r="L1395" s="237">
        <v>41327</v>
      </c>
      <c r="M1395" s="1" t="s">
        <v>5171</v>
      </c>
      <c r="N1395" s="235">
        <f t="shared" si="109"/>
        <v>910</v>
      </c>
      <c r="O1395" s="235">
        <f t="shared" si="111"/>
        <v>0</v>
      </c>
      <c r="P1395" s="238" t="s">
        <v>5172</v>
      </c>
      <c r="Q1395" s="1" t="s">
        <v>393</v>
      </c>
      <c r="R1395" s="265" t="s">
        <v>5173</v>
      </c>
      <c r="S1395" s="265">
        <v>13883590995</v>
      </c>
      <c r="T1395" s="265" t="s">
        <v>5174</v>
      </c>
      <c r="U1395" s="238" t="s">
        <v>5170</v>
      </c>
      <c r="V1395" s="238" t="s">
        <v>5304</v>
      </c>
      <c r="W1395" s="236">
        <v>5347.5</v>
      </c>
      <c r="X1395" s="233">
        <v>41332</v>
      </c>
      <c r="Y1395" s="238" t="s">
        <v>5284</v>
      </c>
      <c r="AB1395" s="1" t="s">
        <v>1570</v>
      </c>
    </row>
    <row r="1396" spans="1:28">
      <c r="A1396" s="233">
        <v>41327</v>
      </c>
      <c r="B1396" s="1" t="s">
        <v>5112</v>
      </c>
      <c r="C1396" s="1" t="s">
        <v>163</v>
      </c>
      <c r="D1396" s="1" t="s">
        <v>1880</v>
      </c>
      <c r="E1396" s="1">
        <v>6006</v>
      </c>
      <c r="F1396" s="1">
        <v>70</v>
      </c>
      <c r="G1396" s="1" t="s">
        <v>5083</v>
      </c>
      <c r="H1396" s="234">
        <v>57.5</v>
      </c>
      <c r="I1396" s="235">
        <f>F1396*H1396</f>
        <v>4025</v>
      </c>
      <c r="K1396" s="250">
        <f>56*70</f>
        <v>3920</v>
      </c>
      <c r="L1396" s="237">
        <v>41327</v>
      </c>
      <c r="M1396" s="1" t="s">
        <v>5171</v>
      </c>
      <c r="N1396" s="235">
        <f t="shared" si="109"/>
        <v>4025</v>
      </c>
      <c r="O1396" s="235">
        <f t="shared" si="111"/>
        <v>0</v>
      </c>
      <c r="P1396" s="238" t="s">
        <v>5172</v>
      </c>
      <c r="Q1396" s="1" t="s">
        <v>393</v>
      </c>
      <c r="R1396" s="265" t="s">
        <v>5173</v>
      </c>
      <c r="S1396" s="265">
        <v>13883590995</v>
      </c>
      <c r="T1396" s="265" t="s">
        <v>5174</v>
      </c>
      <c r="U1396" s="238" t="s">
        <v>5170</v>
      </c>
      <c r="V1396" s="238" t="s">
        <v>5304</v>
      </c>
      <c r="W1396" s="236">
        <v>5347.5</v>
      </c>
      <c r="X1396" s="233">
        <v>41332</v>
      </c>
      <c r="Y1396" s="238" t="s">
        <v>5284</v>
      </c>
      <c r="AB1396" s="1" t="s">
        <v>1570</v>
      </c>
    </row>
    <row r="1397" spans="1:28">
      <c r="A1397" s="233">
        <v>41327</v>
      </c>
      <c r="B1397" s="1" t="s">
        <v>4369</v>
      </c>
      <c r="C1397" s="5" t="s">
        <v>163</v>
      </c>
      <c r="D1397" s="1" t="s">
        <v>857</v>
      </c>
      <c r="E1397" s="1">
        <v>9031</v>
      </c>
      <c r="F1397" s="1">
        <v>1000</v>
      </c>
      <c r="G1397" s="1" t="s">
        <v>171</v>
      </c>
      <c r="H1397" s="234">
        <v>1.57</v>
      </c>
      <c r="I1397" s="235">
        <f t="shared" ref="I1397" si="115">F1397*H1397</f>
        <v>1570</v>
      </c>
      <c r="K1397" s="250">
        <f>1.4929*1000</f>
        <v>1492.8999999999999</v>
      </c>
      <c r="L1397" s="237">
        <v>41329</v>
      </c>
      <c r="M1397" s="1" t="s">
        <v>166</v>
      </c>
      <c r="N1397" s="235">
        <f t="shared" si="109"/>
        <v>1570</v>
      </c>
      <c r="O1397" s="235">
        <f t="shared" si="111"/>
        <v>0</v>
      </c>
      <c r="P1397" s="238" t="s">
        <v>5175</v>
      </c>
      <c r="Q1397" s="1" t="s">
        <v>5178</v>
      </c>
      <c r="R1397" s="239" t="s">
        <v>4372</v>
      </c>
      <c r="S1397" s="238" t="s">
        <v>4373</v>
      </c>
      <c r="T1397" s="238" t="s">
        <v>2256</v>
      </c>
      <c r="U1397" s="238" t="s">
        <v>5179</v>
      </c>
      <c r="V1397" s="238" t="s">
        <v>5305</v>
      </c>
      <c r="W1397" s="236">
        <v>6698.2</v>
      </c>
      <c r="X1397" s="233">
        <v>41332</v>
      </c>
      <c r="Y1397" s="238" t="s">
        <v>5306</v>
      </c>
      <c r="AB1397" s="1" t="s">
        <v>1570</v>
      </c>
    </row>
    <row r="1398" spans="1:28">
      <c r="A1398" s="233">
        <v>41327</v>
      </c>
      <c r="B1398" s="1" t="s">
        <v>2186</v>
      </c>
      <c r="C1398" s="1" t="s">
        <v>163</v>
      </c>
      <c r="D1398" s="5" t="s">
        <v>1886</v>
      </c>
      <c r="E1398" s="1">
        <v>4941</v>
      </c>
      <c r="F1398" s="5" t="s">
        <v>5070</v>
      </c>
      <c r="G1398" s="1" t="s">
        <v>27</v>
      </c>
      <c r="H1398" s="234">
        <v>400</v>
      </c>
      <c r="I1398" s="235">
        <f>400*10*0.8</f>
        <v>3200</v>
      </c>
      <c r="K1398" s="250">
        <f>359*10*0.8</f>
        <v>2872</v>
      </c>
      <c r="L1398" s="237">
        <v>41359</v>
      </c>
      <c r="M1398" s="1" t="s">
        <v>167</v>
      </c>
      <c r="N1398" s="235">
        <f t="shared" si="109"/>
        <v>3200</v>
      </c>
      <c r="O1398" s="235">
        <f t="shared" si="111"/>
        <v>0</v>
      </c>
      <c r="P1398" s="238" t="s">
        <v>5182</v>
      </c>
      <c r="Q1398" s="1" t="s">
        <v>5176</v>
      </c>
      <c r="R1398" s="239" t="s">
        <v>1566</v>
      </c>
      <c r="S1398" s="238" t="s">
        <v>1567</v>
      </c>
      <c r="T1398" s="238" t="s">
        <v>1568</v>
      </c>
      <c r="U1398" s="238" t="s">
        <v>5177</v>
      </c>
      <c r="V1398" s="238" t="s">
        <v>5736</v>
      </c>
      <c r="W1398" s="236">
        <v>113433.12</v>
      </c>
      <c r="X1398" s="233">
        <v>41354</v>
      </c>
      <c r="Y1398" s="238" t="s">
        <v>5737</v>
      </c>
      <c r="AB1398" s="1" t="s">
        <v>1570</v>
      </c>
    </row>
    <row r="1399" spans="1:28">
      <c r="A1399" s="233">
        <v>41327</v>
      </c>
      <c r="B1399" s="1" t="s">
        <v>2186</v>
      </c>
      <c r="C1399" s="1" t="s">
        <v>163</v>
      </c>
      <c r="D1399" s="1" t="s">
        <v>241</v>
      </c>
      <c r="E1399" s="1">
        <v>6200</v>
      </c>
      <c r="F1399" s="1">
        <v>208</v>
      </c>
      <c r="G1399" s="1" t="s">
        <v>5083</v>
      </c>
      <c r="H1399" s="234">
        <v>48.35</v>
      </c>
      <c r="I1399" s="235">
        <f t="shared" ref="I1399:I1408" si="116">F1399*H1399</f>
        <v>10056.800000000001</v>
      </c>
      <c r="K1399" s="250">
        <f>44.5*208</f>
        <v>9256</v>
      </c>
      <c r="L1399" s="237">
        <v>41359</v>
      </c>
      <c r="M1399" s="1" t="s">
        <v>167</v>
      </c>
      <c r="N1399" s="235">
        <f t="shared" si="109"/>
        <v>10056.800000000001</v>
      </c>
      <c r="O1399" s="235">
        <f t="shared" si="111"/>
        <v>0</v>
      </c>
      <c r="P1399" s="238" t="s">
        <v>5182</v>
      </c>
      <c r="Q1399" s="1" t="s">
        <v>5176</v>
      </c>
      <c r="R1399" s="239" t="s">
        <v>1566</v>
      </c>
      <c r="S1399" s="238" t="s">
        <v>1567</v>
      </c>
      <c r="T1399" s="238" t="s">
        <v>1568</v>
      </c>
      <c r="U1399" s="238" t="s">
        <v>5177</v>
      </c>
      <c r="V1399" s="238" t="s">
        <v>5736</v>
      </c>
      <c r="W1399" s="236">
        <v>113433.12</v>
      </c>
      <c r="X1399" s="233">
        <v>41354</v>
      </c>
      <c r="Y1399" s="238" t="s">
        <v>5737</v>
      </c>
      <c r="AB1399" s="1" t="s">
        <v>1570</v>
      </c>
    </row>
    <row r="1400" spans="1:28">
      <c r="A1400" s="233">
        <v>41327</v>
      </c>
      <c r="B1400" s="1" t="s">
        <v>2186</v>
      </c>
      <c r="C1400" s="1" t="s">
        <v>163</v>
      </c>
      <c r="D1400" s="303" t="s">
        <v>355</v>
      </c>
      <c r="E1400" s="1" t="s">
        <v>5067</v>
      </c>
      <c r="F1400" s="1">
        <v>460</v>
      </c>
      <c r="G1400" s="1" t="s">
        <v>5083</v>
      </c>
      <c r="H1400" s="234">
        <v>19.86</v>
      </c>
      <c r="I1400" s="235">
        <f t="shared" si="116"/>
        <v>9135.6</v>
      </c>
      <c r="K1400" s="250">
        <f>18.37*460</f>
        <v>8450.2000000000007</v>
      </c>
      <c r="L1400" s="237">
        <v>41359</v>
      </c>
      <c r="M1400" s="1" t="s">
        <v>167</v>
      </c>
      <c r="N1400" s="235">
        <f t="shared" si="109"/>
        <v>9135.6</v>
      </c>
      <c r="O1400" s="235">
        <f t="shared" si="111"/>
        <v>0</v>
      </c>
      <c r="P1400" s="238" t="s">
        <v>5182</v>
      </c>
      <c r="Q1400" s="1" t="s">
        <v>5176</v>
      </c>
      <c r="R1400" s="239" t="s">
        <v>1566</v>
      </c>
      <c r="S1400" s="238" t="s">
        <v>1567</v>
      </c>
      <c r="T1400" s="238" t="s">
        <v>1568</v>
      </c>
      <c r="U1400" s="238" t="s">
        <v>5177</v>
      </c>
      <c r="V1400" s="238" t="s">
        <v>5736</v>
      </c>
      <c r="W1400" s="236">
        <v>113433.12</v>
      </c>
      <c r="X1400" s="233">
        <v>41354</v>
      </c>
      <c r="Y1400" s="238" t="s">
        <v>5737</v>
      </c>
      <c r="AB1400" s="1" t="s">
        <v>1570</v>
      </c>
    </row>
    <row r="1401" spans="1:28">
      <c r="A1401" s="233">
        <v>41327</v>
      </c>
      <c r="B1401" s="1" t="s">
        <v>2186</v>
      </c>
      <c r="C1401" s="1" t="s">
        <v>163</v>
      </c>
      <c r="D1401" s="1" t="s">
        <v>233</v>
      </c>
      <c r="E1401" s="1" t="s">
        <v>195</v>
      </c>
      <c r="F1401" s="1">
        <v>2500</v>
      </c>
      <c r="G1401" s="1" t="s">
        <v>5084</v>
      </c>
      <c r="H1401" s="234">
        <v>5.64</v>
      </c>
      <c r="I1401" s="235">
        <f t="shared" si="116"/>
        <v>14100</v>
      </c>
      <c r="K1401" s="250">
        <f>5.06*2500</f>
        <v>12649.999999999998</v>
      </c>
      <c r="L1401" s="237">
        <v>41359</v>
      </c>
      <c r="M1401" s="1" t="s">
        <v>167</v>
      </c>
      <c r="N1401" s="235">
        <f t="shared" si="109"/>
        <v>14100</v>
      </c>
      <c r="O1401" s="235">
        <f t="shared" si="111"/>
        <v>0</v>
      </c>
      <c r="P1401" s="238" t="s">
        <v>5182</v>
      </c>
      <c r="Q1401" s="1" t="s">
        <v>5176</v>
      </c>
      <c r="R1401" s="239" t="s">
        <v>1566</v>
      </c>
      <c r="S1401" s="238" t="s">
        <v>1567</v>
      </c>
      <c r="T1401" s="238" t="s">
        <v>1568</v>
      </c>
      <c r="U1401" s="238" t="s">
        <v>5177</v>
      </c>
      <c r="V1401" s="238" t="s">
        <v>5736</v>
      </c>
      <c r="W1401" s="236">
        <v>113433.12</v>
      </c>
      <c r="X1401" s="233">
        <v>41354</v>
      </c>
      <c r="Y1401" s="238" t="s">
        <v>5737</v>
      </c>
      <c r="AB1401" s="1" t="s">
        <v>1570</v>
      </c>
    </row>
    <row r="1402" spans="1:28">
      <c r="A1402" s="233">
        <v>41327</v>
      </c>
      <c r="B1402" s="1" t="s">
        <v>2186</v>
      </c>
      <c r="C1402" s="1" t="s">
        <v>163</v>
      </c>
      <c r="D1402" s="1" t="s">
        <v>264</v>
      </c>
      <c r="E1402" s="1">
        <v>501</v>
      </c>
      <c r="F1402" s="1">
        <v>220</v>
      </c>
      <c r="G1402" s="1" t="s">
        <v>5083</v>
      </c>
      <c r="H1402" s="234">
        <v>1.47</v>
      </c>
      <c r="I1402" s="235">
        <f t="shared" si="116"/>
        <v>323.39999999999998</v>
      </c>
      <c r="K1402" s="250">
        <f>1.43*220</f>
        <v>314.59999999999997</v>
      </c>
      <c r="L1402" s="237">
        <v>41359</v>
      </c>
      <c r="M1402" s="1" t="s">
        <v>167</v>
      </c>
      <c r="N1402" s="235">
        <f t="shared" si="109"/>
        <v>323.39999999999998</v>
      </c>
      <c r="O1402" s="235">
        <f t="shared" si="111"/>
        <v>0</v>
      </c>
      <c r="P1402" s="238" t="s">
        <v>5182</v>
      </c>
      <c r="Q1402" s="1" t="s">
        <v>5176</v>
      </c>
      <c r="R1402" s="239" t="s">
        <v>1566</v>
      </c>
      <c r="S1402" s="238" t="s">
        <v>1567</v>
      </c>
      <c r="T1402" s="238" t="s">
        <v>1568</v>
      </c>
      <c r="U1402" s="238" t="s">
        <v>5177</v>
      </c>
      <c r="V1402" s="238" t="s">
        <v>5736</v>
      </c>
      <c r="W1402" s="236">
        <v>113433.12</v>
      </c>
      <c r="X1402" s="233">
        <v>41354</v>
      </c>
      <c r="Y1402" s="238" t="s">
        <v>5737</v>
      </c>
      <c r="AB1402" s="1" t="s">
        <v>1570</v>
      </c>
    </row>
    <row r="1403" spans="1:28">
      <c r="A1403" s="233">
        <v>41328</v>
      </c>
      <c r="B1403" s="1" t="s">
        <v>5160</v>
      </c>
      <c r="C1403" s="1" t="s">
        <v>163</v>
      </c>
      <c r="D1403" s="1" t="s">
        <v>1216</v>
      </c>
      <c r="E1403" s="1">
        <v>3200</v>
      </c>
      <c r="F1403" s="1">
        <v>100</v>
      </c>
      <c r="G1403" s="1" t="s">
        <v>171</v>
      </c>
      <c r="H1403" s="234">
        <v>26.81</v>
      </c>
      <c r="I1403" s="235">
        <f t="shared" si="116"/>
        <v>2681</v>
      </c>
      <c r="K1403" s="250">
        <f>23.94*100</f>
        <v>2394</v>
      </c>
      <c r="L1403" s="237">
        <v>41328</v>
      </c>
      <c r="M1403" s="1" t="s">
        <v>166</v>
      </c>
      <c r="N1403" s="235">
        <f t="shared" si="109"/>
        <v>2681</v>
      </c>
      <c r="O1403" s="235">
        <f t="shared" si="111"/>
        <v>0</v>
      </c>
      <c r="P1403" s="238" t="s">
        <v>5183</v>
      </c>
      <c r="Q1403" s="1" t="s">
        <v>5356</v>
      </c>
      <c r="R1403" s="239" t="s">
        <v>5162</v>
      </c>
      <c r="S1403" s="238" t="s">
        <v>5163</v>
      </c>
      <c r="T1403" s="238" t="s">
        <v>2252</v>
      </c>
      <c r="U1403" s="238" t="s">
        <v>5240</v>
      </c>
      <c r="V1403" s="238" t="s">
        <v>176</v>
      </c>
      <c r="W1403" s="236" t="s">
        <v>5358</v>
      </c>
      <c r="X1403" s="233" t="s">
        <v>5358</v>
      </c>
      <c r="Y1403" s="239" t="s">
        <v>5358</v>
      </c>
      <c r="AB1403" s="1" t="s">
        <v>1570</v>
      </c>
    </row>
    <row r="1404" spans="1:28">
      <c r="A1404" s="233">
        <v>41328</v>
      </c>
      <c r="B1404" s="1" t="s">
        <v>5160</v>
      </c>
      <c r="C1404" s="1" t="s">
        <v>163</v>
      </c>
      <c r="D1404" s="5" t="s">
        <v>348</v>
      </c>
      <c r="E1404" s="1">
        <v>3700</v>
      </c>
      <c r="F1404" s="1">
        <v>100</v>
      </c>
      <c r="G1404" s="1" t="s">
        <v>171</v>
      </c>
      <c r="H1404" s="234">
        <v>3.46</v>
      </c>
      <c r="I1404" s="235">
        <f t="shared" si="116"/>
        <v>346</v>
      </c>
      <c r="K1404" s="250">
        <f>3.09*100</f>
        <v>309</v>
      </c>
      <c r="L1404" s="237">
        <v>41328</v>
      </c>
      <c r="M1404" s="1" t="s">
        <v>166</v>
      </c>
      <c r="N1404" s="235">
        <f t="shared" si="109"/>
        <v>346</v>
      </c>
      <c r="O1404" s="235">
        <f t="shared" si="111"/>
        <v>0</v>
      </c>
      <c r="P1404" s="238" t="s">
        <v>5183</v>
      </c>
      <c r="Q1404" s="1" t="s">
        <v>5356</v>
      </c>
      <c r="R1404" s="239" t="s">
        <v>5162</v>
      </c>
      <c r="S1404" s="238" t="s">
        <v>5163</v>
      </c>
      <c r="T1404" s="238" t="s">
        <v>2252</v>
      </c>
      <c r="U1404" s="238" t="s">
        <v>5240</v>
      </c>
      <c r="V1404" s="238" t="s">
        <v>176</v>
      </c>
      <c r="W1404" s="236" t="s">
        <v>5358</v>
      </c>
      <c r="X1404" s="233" t="s">
        <v>5358</v>
      </c>
      <c r="Y1404" s="239" t="s">
        <v>5358</v>
      </c>
      <c r="AB1404" s="1" t="s">
        <v>1570</v>
      </c>
    </row>
    <row r="1405" spans="1:28">
      <c r="A1405" s="233">
        <v>41328</v>
      </c>
      <c r="B1405" s="1" t="s">
        <v>5160</v>
      </c>
      <c r="C1405" s="1" t="s">
        <v>163</v>
      </c>
      <c r="D1405" s="5" t="s">
        <v>183</v>
      </c>
      <c r="E1405" s="1" t="s">
        <v>187</v>
      </c>
      <c r="F1405" s="1">
        <v>100</v>
      </c>
      <c r="G1405" s="1" t="s">
        <v>172</v>
      </c>
      <c r="H1405" s="234">
        <v>1.73</v>
      </c>
      <c r="I1405" s="235">
        <f t="shared" si="116"/>
        <v>173</v>
      </c>
      <c r="K1405" s="250">
        <f>1.54*100</f>
        <v>154</v>
      </c>
      <c r="L1405" s="237">
        <v>41328</v>
      </c>
      <c r="M1405" s="1" t="s">
        <v>166</v>
      </c>
      <c r="N1405" s="235">
        <f t="shared" si="109"/>
        <v>173</v>
      </c>
      <c r="O1405" s="235">
        <f t="shared" si="111"/>
        <v>0</v>
      </c>
      <c r="P1405" s="238" t="s">
        <v>5183</v>
      </c>
      <c r="Q1405" s="1" t="s">
        <v>5356</v>
      </c>
      <c r="R1405" s="239" t="s">
        <v>5162</v>
      </c>
      <c r="S1405" s="238" t="s">
        <v>5163</v>
      </c>
      <c r="T1405" s="238" t="s">
        <v>2252</v>
      </c>
      <c r="U1405" s="238" t="s">
        <v>5240</v>
      </c>
      <c r="V1405" s="238" t="s">
        <v>176</v>
      </c>
      <c r="W1405" s="236" t="s">
        <v>5358</v>
      </c>
      <c r="X1405" s="233" t="s">
        <v>5358</v>
      </c>
      <c r="Y1405" s="239" t="s">
        <v>5358</v>
      </c>
      <c r="AB1405" s="1" t="s">
        <v>1570</v>
      </c>
    </row>
    <row r="1406" spans="1:28">
      <c r="A1406" s="233">
        <v>41330</v>
      </c>
      <c r="B1406" s="1" t="s">
        <v>2191</v>
      </c>
      <c r="C1406" s="1" t="s">
        <v>163</v>
      </c>
      <c r="D1406" s="5" t="s">
        <v>1895</v>
      </c>
      <c r="E1406" s="1" t="s">
        <v>146</v>
      </c>
      <c r="F1406" s="1">
        <v>-4</v>
      </c>
      <c r="G1406" s="1" t="s">
        <v>5275</v>
      </c>
      <c r="H1406" s="234">
        <v>19.850000000000001</v>
      </c>
      <c r="I1406" s="235">
        <f t="shared" si="116"/>
        <v>-79.400000000000006</v>
      </c>
      <c r="K1406" s="250">
        <f>-4*16.5</f>
        <v>-66</v>
      </c>
      <c r="L1406" s="237" t="s">
        <v>5277</v>
      </c>
      <c r="M1406" s="1" t="s">
        <v>5277</v>
      </c>
      <c r="N1406" s="235">
        <f t="shared" si="109"/>
        <v>-79.400000000000006</v>
      </c>
      <c r="O1406" s="235">
        <f t="shared" si="111"/>
        <v>0</v>
      </c>
      <c r="P1406" s="238" t="s">
        <v>5247</v>
      </c>
      <c r="Q1406" s="1" t="s">
        <v>5247</v>
      </c>
      <c r="R1406" s="239" t="s">
        <v>5247</v>
      </c>
      <c r="S1406" s="238" t="s">
        <v>5247</v>
      </c>
      <c r="T1406" s="238" t="s">
        <v>3562</v>
      </c>
      <c r="U1406" s="238" t="s">
        <v>168</v>
      </c>
      <c r="V1406" s="238" t="s">
        <v>5247</v>
      </c>
      <c r="W1406" s="236" t="s">
        <v>168</v>
      </c>
      <c r="X1406" s="233" t="s">
        <v>168</v>
      </c>
      <c r="Y1406" s="238" t="s">
        <v>168</v>
      </c>
      <c r="AB1406" s="5" t="s">
        <v>1570</v>
      </c>
    </row>
    <row r="1407" spans="1:28">
      <c r="A1407" s="233">
        <v>41330</v>
      </c>
      <c r="B1407" s="1" t="s">
        <v>2191</v>
      </c>
      <c r="C1407" s="1" t="s">
        <v>163</v>
      </c>
      <c r="D1407" s="1" t="s">
        <v>1192</v>
      </c>
      <c r="E1407" s="1">
        <v>8247</v>
      </c>
      <c r="F1407" s="1">
        <v>-11</v>
      </c>
      <c r="G1407" s="1" t="s">
        <v>5275</v>
      </c>
      <c r="H1407" s="234">
        <v>13.7</v>
      </c>
      <c r="I1407" s="235">
        <f t="shared" si="116"/>
        <v>-150.69999999999999</v>
      </c>
      <c r="K1407" s="250">
        <f>12.35*-11</f>
        <v>-135.85</v>
      </c>
      <c r="L1407" s="237" t="s">
        <v>5277</v>
      </c>
      <c r="M1407" s="1" t="s">
        <v>5277</v>
      </c>
      <c r="N1407" s="235">
        <f t="shared" ref="N1407:N1472" si="117">I1407</f>
        <v>-150.69999999999999</v>
      </c>
      <c r="O1407" s="235">
        <f t="shared" si="111"/>
        <v>0</v>
      </c>
      <c r="P1407" s="238" t="s">
        <v>5247</v>
      </c>
      <c r="Q1407" s="1" t="s">
        <v>5247</v>
      </c>
      <c r="R1407" s="239" t="s">
        <v>5247</v>
      </c>
      <c r="S1407" s="238" t="s">
        <v>5247</v>
      </c>
      <c r="T1407" s="238" t="s">
        <v>3562</v>
      </c>
      <c r="U1407" s="238" t="s">
        <v>168</v>
      </c>
      <c r="V1407" s="238" t="s">
        <v>5247</v>
      </c>
      <c r="W1407" s="236" t="s">
        <v>168</v>
      </c>
      <c r="X1407" s="233" t="s">
        <v>168</v>
      </c>
      <c r="Y1407" s="238" t="s">
        <v>168</v>
      </c>
      <c r="AB1407" s="5" t="s">
        <v>1570</v>
      </c>
    </row>
    <row r="1408" spans="1:28">
      <c r="A1408" s="233">
        <v>41330</v>
      </c>
      <c r="B1408" s="1" t="s">
        <v>3635</v>
      </c>
      <c r="C1408" s="277" t="s">
        <v>163</v>
      </c>
      <c r="D1408" s="5" t="s">
        <v>2026</v>
      </c>
      <c r="E1408" s="1" t="s">
        <v>181</v>
      </c>
      <c r="F1408" s="1">
        <v>2000</v>
      </c>
      <c r="G1408" s="1" t="s">
        <v>171</v>
      </c>
      <c r="H1408" s="234">
        <v>1.9</v>
      </c>
      <c r="I1408" s="235">
        <f t="shared" si="116"/>
        <v>3800</v>
      </c>
      <c r="K1408" s="250">
        <f>1.55*2000</f>
        <v>3100</v>
      </c>
      <c r="L1408" s="237">
        <v>41330</v>
      </c>
      <c r="M1408" s="1" t="s">
        <v>5193</v>
      </c>
      <c r="N1408" s="235">
        <f t="shared" si="117"/>
        <v>3800</v>
      </c>
      <c r="O1408" s="235">
        <f t="shared" si="111"/>
        <v>0</v>
      </c>
      <c r="P1408" s="238" t="s">
        <v>5191</v>
      </c>
      <c r="Q1408" s="1" t="s">
        <v>1571</v>
      </c>
      <c r="R1408" s="239" t="s">
        <v>2507</v>
      </c>
      <c r="S1408" s="238" t="s">
        <v>2508</v>
      </c>
      <c r="T1408" s="238" t="s">
        <v>168</v>
      </c>
      <c r="V1408" s="238" t="s">
        <v>176</v>
      </c>
      <c r="AB1408" s="1" t="s">
        <v>2079</v>
      </c>
    </row>
    <row r="1409" spans="1:28">
      <c r="A1409" s="233">
        <v>41330</v>
      </c>
      <c r="B1409" s="1" t="s">
        <v>5160</v>
      </c>
      <c r="C1409" s="1" t="s">
        <v>163</v>
      </c>
      <c r="D1409" s="1" t="s">
        <v>1216</v>
      </c>
      <c r="E1409" s="1">
        <v>3200</v>
      </c>
      <c r="F1409" s="1">
        <v>200</v>
      </c>
      <c r="G1409" s="1" t="s">
        <v>171</v>
      </c>
      <c r="H1409" s="234">
        <v>26.81</v>
      </c>
      <c r="I1409" s="235">
        <f t="shared" ref="I1409:I1411" si="118">F1409*H1409</f>
        <v>5362</v>
      </c>
      <c r="K1409" s="250">
        <f>23.94*100</f>
        <v>2394</v>
      </c>
      <c r="L1409" s="237">
        <v>41330</v>
      </c>
      <c r="M1409" s="1" t="s">
        <v>166</v>
      </c>
      <c r="N1409" s="235">
        <f t="shared" si="117"/>
        <v>5362</v>
      </c>
      <c r="O1409" s="235">
        <f t="shared" si="111"/>
        <v>0</v>
      </c>
      <c r="P1409" s="238" t="s">
        <v>5197</v>
      </c>
      <c r="Q1409" s="1" t="s">
        <v>5356</v>
      </c>
      <c r="R1409" s="239" t="s">
        <v>5162</v>
      </c>
      <c r="S1409" s="238" t="s">
        <v>5163</v>
      </c>
      <c r="T1409" s="238" t="s">
        <v>2252</v>
      </c>
      <c r="U1409" s="238" t="s">
        <v>5357</v>
      </c>
      <c r="V1409" s="238" t="s">
        <v>176</v>
      </c>
      <c r="W1409" s="236" t="s">
        <v>5358</v>
      </c>
      <c r="X1409" s="233" t="s">
        <v>5358</v>
      </c>
      <c r="Y1409" s="239" t="s">
        <v>5358</v>
      </c>
      <c r="AB1409" s="1" t="s">
        <v>1570</v>
      </c>
    </row>
    <row r="1410" spans="1:28">
      <c r="A1410" s="233">
        <v>41330</v>
      </c>
      <c r="B1410" s="1" t="s">
        <v>5160</v>
      </c>
      <c r="C1410" s="1" t="s">
        <v>163</v>
      </c>
      <c r="D1410" s="5" t="s">
        <v>348</v>
      </c>
      <c r="E1410" s="1">
        <v>3700</v>
      </c>
      <c r="F1410" s="1">
        <v>200</v>
      </c>
      <c r="G1410" s="1" t="s">
        <v>171</v>
      </c>
      <c r="H1410" s="234">
        <v>3.46</v>
      </c>
      <c r="I1410" s="235">
        <f t="shared" si="118"/>
        <v>692</v>
      </c>
      <c r="K1410" s="250">
        <f>3.09*100</f>
        <v>309</v>
      </c>
      <c r="L1410" s="237">
        <v>41330</v>
      </c>
      <c r="M1410" s="1" t="s">
        <v>166</v>
      </c>
      <c r="N1410" s="235">
        <f t="shared" si="117"/>
        <v>692</v>
      </c>
      <c r="O1410" s="235">
        <f t="shared" si="111"/>
        <v>0</v>
      </c>
      <c r="P1410" s="238" t="s">
        <v>5197</v>
      </c>
      <c r="Q1410" s="1" t="s">
        <v>5356</v>
      </c>
      <c r="R1410" s="239" t="s">
        <v>5162</v>
      </c>
      <c r="S1410" s="238" t="s">
        <v>5163</v>
      </c>
      <c r="T1410" s="238" t="s">
        <v>2252</v>
      </c>
      <c r="U1410" s="238" t="s">
        <v>5357</v>
      </c>
      <c r="V1410" s="238" t="s">
        <v>176</v>
      </c>
      <c r="W1410" s="236" t="s">
        <v>5358</v>
      </c>
      <c r="X1410" s="233" t="s">
        <v>5358</v>
      </c>
      <c r="Y1410" s="239" t="s">
        <v>5358</v>
      </c>
      <c r="AB1410" s="1" t="s">
        <v>1570</v>
      </c>
    </row>
    <row r="1411" spans="1:28">
      <c r="A1411" s="233">
        <v>41330</v>
      </c>
      <c r="B1411" s="1" t="s">
        <v>5160</v>
      </c>
      <c r="C1411" s="1" t="s">
        <v>163</v>
      </c>
      <c r="D1411" s="5" t="s">
        <v>183</v>
      </c>
      <c r="E1411" s="1" t="s">
        <v>187</v>
      </c>
      <c r="F1411" s="1">
        <v>200</v>
      </c>
      <c r="G1411" s="1" t="s">
        <v>172</v>
      </c>
      <c r="H1411" s="234">
        <v>1.73</v>
      </c>
      <c r="I1411" s="235">
        <f t="shared" si="118"/>
        <v>346</v>
      </c>
      <c r="K1411" s="250">
        <f>1.54*100</f>
        <v>154</v>
      </c>
      <c r="L1411" s="237">
        <v>41330</v>
      </c>
      <c r="M1411" s="1" t="s">
        <v>166</v>
      </c>
      <c r="N1411" s="235">
        <f t="shared" si="117"/>
        <v>346</v>
      </c>
      <c r="O1411" s="235">
        <f t="shared" si="111"/>
        <v>0</v>
      </c>
      <c r="P1411" s="238" t="s">
        <v>5197</v>
      </c>
      <c r="Q1411" s="1" t="s">
        <v>5356</v>
      </c>
      <c r="R1411" s="239" t="s">
        <v>5162</v>
      </c>
      <c r="S1411" s="238" t="s">
        <v>5163</v>
      </c>
      <c r="T1411" s="238" t="s">
        <v>2252</v>
      </c>
      <c r="U1411" s="238" t="s">
        <v>5357</v>
      </c>
      <c r="V1411" s="238" t="s">
        <v>176</v>
      </c>
      <c r="W1411" s="236" t="s">
        <v>5358</v>
      </c>
      <c r="X1411" s="233" t="s">
        <v>5358</v>
      </c>
      <c r="Y1411" s="239" t="s">
        <v>5358</v>
      </c>
      <c r="AB1411" s="1" t="s">
        <v>1570</v>
      </c>
    </row>
    <row r="1412" spans="1:28">
      <c r="A1412" s="233">
        <v>41330</v>
      </c>
      <c r="B1412" s="1" t="s">
        <v>2121</v>
      </c>
      <c r="C1412" s="1" t="s">
        <v>163</v>
      </c>
      <c r="D1412" s="5" t="s">
        <v>2027</v>
      </c>
      <c r="E1412" s="1" t="s">
        <v>5203</v>
      </c>
      <c r="F1412" s="1">
        <v>20</v>
      </c>
      <c r="G1412" s="1" t="s">
        <v>5194</v>
      </c>
      <c r="H1412" s="234">
        <v>35</v>
      </c>
      <c r="I1412" s="236">
        <f t="shared" ref="I1412:I1413" si="119">H1412*F1412</f>
        <v>700</v>
      </c>
      <c r="K1412" s="250">
        <f>33.111*20</f>
        <v>662.21999999999991</v>
      </c>
      <c r="L1412" s="237">
        <v>41361</v>
      </c>
      <c r="M1412" s="1" t="s">
        <v>166</v>
      </c>
      <c r="N1412" s="235">
        <f t="shared" si="117"/>
        <v>700</v>
      </c>
      <c r="O1412" s="235">
        <f t="shared" si="111"/>
        <v>0</v>
      </c>
      <c r="P1412" s="238" t="s">
        <v>5196</v>
      </c>
      <c r="Q1412" s="1" t="s">
        <v>5219</v>
      </c>
      <c r="R1412" s="239" t="s">
        <v>2493</v>
      </c>
      <c r="S1412" s="238" t="s">
        <v>2119</v>
      </c>
      <c r="T1412" s="238" t="s">
        <v>775</v>
      </c>
      <c r="U1412" s="238" t="s">
        <v>5220</v>
      </c>
      <c r="V1412" s="238" t="s">
        <v>176</v>
      </c>
      <c r="AB1412" s="1" t="s">
        <v>1570</v>
      </c>
    </row>
    <row r="1413" spans="1:28">
      <c r="A1413" s="233">
        <v>41330</v>
      </c>
      <c r="B1413" s="1" t="s">
        <v>2121</v>
      </c>
      <c r="C1413" s="1" t="s">
        <v>163</v>
      </c>
      <c r="D1413" s="318" t="s">
        <v>5080</v>
      </c>
      <c r="E1413" s="1">
        <v>8210</v>
      </c>
      <c r="F1413" s="1">
        <v>300</v>
      </c>
      <c r="G1413" s="1" t="s">
        <v>5195</v>
      </c>
      <c r="H1413" s="234">
        <v>4.6500000000000004</v>
      </c>
      <c r="I1413" s="236">
        <f t="shared" si="119"/>
        <v>1395</v>
      </c>
      <c r="K1413" s="250">
        <f>3.78*300</f>
        <v>1134</v>
      </c>
      <c r="L1413" s="237">
        <v>41361</v>
      </c>
      <c r="M1413" s="1" t="s">
        <v>166</v>
      </c>
      <c r="N1413" s="235">
        <f t="shared" si="117"/>
        <v>1395</v>
      </c>
      <c r="O1413" s="235">
        <f t="shared" si="111"/>
        <v>0</v>
      </c>
      <c r="P1413" s="238" t="s">
        <v>5196</v>
      </c>
      <c r="Q1413" s="1" t="s">
        <v>5219</v>
      </c>
      <c r="R1413" s="239" t="s">
        <v>2493</v>
      </c>
      <c r="S1413" s="238" t="s">
        <v>2119</v>
      </c>
      <c r="T1413" s="238" t="s">
        <v>775</v>
      </c>
      <c r="U1413" s="238" t="s">
        <v>5220</v>
      </c>
      <c r="V1413" s="238" t="s">
        <v>176</v>
      </c>
      <c r="AB1413" s="1" t="s">
        <v>1570</v>
      </c>
    </row>
    <row r="1414" spans="1:28">
      <c r="A1414" s="233">
        <v>41330</v>
      </c>
      <c r="B1414" s="1" t="s">
        <v>5150</v>
      </c>
      <c r="C1414" s="1" t="s">
        <v>163</v>
      </c>
      <c r="D1414" s="1" t="s">
        <v>1216</v>
      </c>
      <c r="E1414" s="1">
        <v>3200</v>
      </c>
      <c r="F1414" s="1">
        <v>1</v>
      </c>
      <c r="G1414" s="1" t="s">
        <v>171</v>
      </c>
      <c r="H1414" s="234">
        <v>38.29</v>
      </c>
      <c r="I1414" s="235">
        <f>F1414*H1414</f>
        <v>38.29</v>
      </c>
      <c r="K1414" s="282">
        <v>23.94</v>
      </c>
      <c r="L1414" s="237">
        <v>41323</v>
      </c>
      <c r="M1414" s="1" t="s">
        <v>166</v>
      </c>
      <c r="N1414" s="235">
        <f t="shared" si="117"/>
        <v>38.29</v>
      </c>
      <c r="O1414" s="235">
        <f t="shared" si="111"/>
        <v>0</v>
      </c>
      <c r="P1414" s="238" t="s">
        <v>1213</v>
      </c>
      <c r="Q1414" s="5" t="s">
        <v>4871</v>
      </c>
      <c r="R1414" s="239" t="s">
        <v>5089</v>
      </c>
      <c r="S1414" s="238" t="s">
        <v>5090</v>
      </c>
      <c r="T1414" s="238" t="s">
        <v>5091</v>
      </c>
      <c r="U1414" s="238" t="s">
        <v>5202</v>
      </c>
      <c r="V1414" s="238" t="s">
        <v>176</v>
      </c>
      <c r="W1414" s="236" t="s">
        <v>168</v>
      </c>
      <c r="X1414" s="233" t="s">
        <v>168</v>
      </c>
      <c r="Y1414" s="238" t="s">
        <v>168</v>
      </c>
      <c r="Z1414" s="255" t="s">
        <v>5210</v>
      </c>
      <c r="AB1414" s="5" t="s">
        <v>1570</v>
      </c>
    </row>
    <row r="1415" spans="1:28">
      <c r="A1415" s="233">
        <v>41330</v>
      </c>
      <c r="B1415" s="1" t="s">
        <v>5150</v>
      </c>
      <c r="C1415" s="1" t="s">
        <v>163</v>
      </c>
      <c r="D1415" s="5" t="s">
        <v>348</v>
      </c>
      <c r="E1415" s="1">
        <v>3700</v>
      </c>
      <c r="F1415" s="1">
        <v>1</v>
      </c>
      <c r="G1415" s="1" t="s">
        <v>171</v>
      </c>
      <c r="H1415" s="234">
        <v>5.0599999999999996</v>
      </c>
      <c r="I1415" s="235">
        <f>F1415*H1415</f>
        <v>5.0599999999999996</v>
      </c>
      <c r="K1415" s="250">
        <v>3.09</v>
      </c>
      <c r="L1415" s="237">
        <v>41323</v>
      </c>
      <c r="M1415" s="1" t="s">
        <v>166</v>
      </c>
      <c r="N1415" s="235">
        <f t="shared" si="117"/>
        <v>5.0599999999999996</v>
      </c>
      <c r="O1415" s="235">
        <f t="shared" ref="O1415:O1433" si="120">I1415-N1415</f>
        <v>0</v>
      </c>
      <c r="P1415" s="238" t="s">
        <v>1213</v>
      </c>
      <c r="Q1415" s="5" t="s">
        <v>4871</v>
      </c>
      <c r="R1415" s="239" t="s">
        <v>5089</v>
      </c>
      <c r="S1415" s="238" t="s">
        <v>5090</v>
      </c>
      <c r="T1415" s="238" t="s">
        <v>5091</v>
      </c>
      <c r="U1415" s="238" t="s">
        <v>5202</v>
      </c>
      <c r="V1415" s="238" t="s">
        <v>176</v>
      </c>
      <c r="W1415" s="236" t="s">
        <v>168</v>
      </c>
      <c r="X1415" s="233" t="s">
        <v>168</v>
      </c>
      <c r="Y1415" s="238" t="s">
        <v>168</v>
      </c>
      <c r="AB1415" s="5" t="s">
        <v>1570</v>
      </c>
    </row>
    <row r="1416" spans="1:28">
      <c r="A1416" s="233">
        <v>41330</v>
      </c>
      <c r="B1416" s="1" t="s">
        <v>5150</v>
      </c>
      <c r="C1416" s="1" t="s">
        <v>163</v>
      </c>
      <c r="D1416" s="5" t="s">
        <v>183</v>
      </c>
      <c r="E1416" s="1" t="s">
        <v>5201</v>
      </c>
      <c r="F1416" s="1">
        <v>1</v>
      </c>
      <c r="G1416" s="1" t="s">
        <v>172</v>
      </c>
      <c r="H1416" s="234">
        <v>6.65</v>
      </c>
      <c r="I1416" s="235">
        <f>F1416*H1416</f>
        <v>6.65</v>
      </c>
      <c r="K1416" s="250">
        <v>1.54</v>
      </c>
      <c r="L1416" s="237">
        <v>41323</v>
      </c>
      <c r="M1416" s="1" t="s">
        <v>166</v>
      </c>
      <c r="N1416" s="235">
        <f t="shared" si="117"/>
        <v>6.65</v>
      </c>
      <c r="O1416" s="235">
        <f t="shared" si="120"/>
        <v>0</v>
      </c>
      <c r="P1416" s="238" t="s">
        <v>1213</v>
      </c>
      <c r="Q1416" s="5" t="s">
        <v>4871</v>
      </c>
      <c r="R1416" s="239" t="s">
        <v>5089</v>
      </c>
      <c r="S1416" s="238" t="s">
        <v>5090</v>
      </c>
      <c r="T1416" s="238" t="s">
        <v>5091</v>
      </c>
      <c r="U1416" s="238" t="s">
        <v>5202</v>
      </c>
      <c r="V1416" s="238" t="s">
        <v>176</v>
      </c>
      <c r="W1416" s="236" t="s">
        <v>168</v>
      </c>
      <c r="X1416" s="233" t="s">
        <v>168</v>
      </c>
      <c r="Y1416" s="238" t="s">
        <v>168</v>
      </c>
      <c r="AB1416" s="5" t="s">
        <v>1570</v>
      </c>
    </row>
    <row r="1417" spans="1:28">
      <c r="A1417" s="233">
        <v>41330</v>
      </c>
      <c r="B1417" s="1" t="s">
        <v>2333</v>
      </c>
      <c r="C1417" s="1" t="s">
        <v>163</v>
      </c>
      <c r="D1417" s="5" t="s">
        <v>2023</v>
      </c>
      <c r="E1417" s="314" t="s">
        <v>2096</v>
      </c>
      <c r="F1417" s="1">
        <v>20</v>
      </c>
      <c r="G1417" s="1" t="s">
        <v>5213</v>
      </c>
      <c r="H1417" s="234">
        <v>30.5</v>
      </c>
      <c r="I1417" s="235">
        <f>F1417*H1417</f>
        <v>610</v>
      </c>
      <c r="K1417" s="250">
        <f>27*20</f>
        <v>540</v>
      </c>
      <c r="L1417" s="237">
        <v>41334</v>
      </c>
      <c r="M1417" s="1" t="s">
        <v>167</v>
      </c>
      <c r="N1417" s="235">
        <f t="shared" si="117"/>
        <v>610</v>
      </c>
      <c r="O1417" s="235">
        <f t="shared" si="120"/>
        <v>0</v>
      </c>
      <c r="P1417" s="238" t="s">
        <v>5211</v>
      </c>
      <c r="Q1417" s="5" t="s">
        <v>5214</v>
      </c>
      <c r="R1417" s="239" t="s">
        <v>5215</v>
      </c>
      <c r="S1417" s="238" t="s">
        <v>5216</v>
      </c>
      <c r="T1417" s="238" t="s">
        <v>5217</v>
      </c>
      <c r="U1417" s="238" t="s">
        <v>5218</v>
      </c>
      <c r="V1417" s="238" t="s">
        <v>5301</v>
      </c>
      <c r="W1417" s="236">
        <v>1920</v>
      </c>
      <c r="X1417" s="233">
        <v>41332</v>
      </c>
      <c r="Y1417" s="238" t="s">
        <v>5333</v>
      </c>
      <c r="AB1417" s="5" t="s">
        <v>1570</v>
      </c>
    </row>
    <row r="1418" spans="1:28">
      <c r="A1418" s="233">
        <v>41331</v>
      </c>
      <c r="B1418" s="1" t="s">
        <v>5205</v>
      </c>
      <c r="C1418" s="1" t="s">
        <v>163</v>
      </c>
      <c r="D1418" s="318" t="s">
        <v>5080</v>
      </c>
      <c r="E1418" s="1">
        <v>8210</v>
      </c>
      <c r="F1418" s="1">
        <v>20</v>
      </c>
      <c r="G1418" s="1" t="s">
        <v>5195</v>
      </c>
      <c r="H1418" s="234">
        <v>4.78</v>
      </c>
      <c r="I1418" s="235">
        <f t="shared" ref="I1418:I1424" si="121">F1418*H1418</f>
        <v>95.600000000000009</v>
      </c>
      <c r="K1418" s="250">
        <f>3.78*20</f>
        <v>75.599999999999994</v>
      </c>
      <c r="L1418" s="237">
        <v>41331</v>
      </c>
      <c r="M1418" s="1" t="s">
        <v>5233</v>
      </c>
      <c r="N1418" s="235">
        <f t="shared" si="117"/>
        <v>95.600000000000009</v>
      </c>
      <c r="O1418" s="235">
        <f t="shared" si="120"/>
        <v>0</v>
      </c>
      <c r="P1418" s="238" t="s">
        <v>5207</v>
      </c>
      <c r="Q1418" s="1" t="s">
        <v>5283</v>
      </c>
      <c r="R1418" s="239" t="s">
        <v>5208</v>
      </c>
      <c r="S1418" s="238" t="s">
        <v>5209</v>
      </c>
      <c r="T1418" s="238" t="s">
        <v>5328</v>
      </c>
      <c r="U1418" s="238" t="s">
        <v>5284</v>
      </c>
      <c r="V1418" s="238" t="s">
        <v>5285</v>
      </c>
      <c r="W1418" s="236">
        <v>191.6</v>
      </c>
      <c r="X1418" s="233">
        <v>41332</v>
      </c>
      <c r="Y1418" s="238" t="s">
        <v>5332</v>
      </c>
      <c r="AA1418" s="282" t="s">
        <v>2158</v>
      </c>
      <c r="AB1418" s="5" t="s">
        <v>1570</v>
      </c>
    </row>
    <row r="1419" spans="1:28">
      <c r="A1419" s="233">
        <v>41331</v>
      </c>
      <c r="B1419" s="1" t="s">
        <v>5205</v>
      </c>
      <c r="C1419" s="1" t="s">
        <v>163</v>
      </c>
      <c r="D1419" s="1" t="s">
        <v>2301</v>
      </c>
      <c r="E1419" s="1" t="s">
        <v>5199</v>
      </c>
      <c r="F1419" s="1">
        <v>50</v>
      </c>
      <c r="G1419" s="1" t="s">
        <v>5195</v>
      </c>
      <c r="H1419" s="234">
        <v>1.92</v>
      </c>
      <c r="I1419" s="235">
        <f t="shared" si="121"/>
        <v>96</v>
      </c>
      <c r="K1419" s="250">
        <f>1.77*50</f>
        <v>88.5</v>
      </c>
      <c r="L1419" s="237">
        <v>41331</v>
      </c>
      <c r="M1419" s="1" t="s">
        <v>5233</v>
      </c>
      <c r="N1419" s="235">
        <f t="shared" si="117"/>
        <v>96</v>
      </c>
      <c r="O1419" s="235">
        <f t="shared" si="120"/>
        <v>0</v>
      </c>
      <c r="P1419" s="238" t="s">
        <v>5207</v>
      </c>
      <c r="Q1419" s="1" t="s">
        <v>5283</v>
      </c>
      <c r="R1419" s="239" t="s">
        <v>5208</v>
      </c>
      <c r="S1419" s="238" t="s">
        <v>5209</v>
      </c>
      <c r="T1419" s="238" t="s">
        <v>5328</v>
      </c>
      <c r="U1419" s="238" t="s">
        <v>5284</v>
      </c>
      <c r="V1419" s="238" t="s">
        <v>5285</v>
      </c>
      <c r="W1419" s="236">
        <v>191.6</v>
      </c>
      <c r="X1419" s="233">
        <v>41332</v>
      </c>
      <c r="Y1419" s="238" t="s">
        <v>5332</v>
      </c>
      <c r="AA1419" s="282" t="s">
        <v>2158</v>
      </c>
      <c r="AB1419" s="5" t="s">
        <v>1570</v>
      </c>
    </row>
    <row r="1420" spans="1:28">
      <c r="A1420" s="233">
        <v>41331</v>
      </c>
      <c r="B1420" s="1" t="s">
        <v>2371</v>
      </c>
      <c r="C1420" s="1" t="s">
        <v>163</v>
      </c>
      <c r="D1420" s="314" t="s">
        <v>1838</v>
      </c>
      <c r="E1420" s="1">
        <v>502</v>
      </c>
      <c r="F1420" s="1">
        <v>20</v>
      </c>
      <c r="G1420" s="1" t="s">
        <v>5228</v>
      </c>
      <c r="H1420" s="234">
        <v>13.34</v>
      </c>
      <c r="I1420" s="235">
        <f t="shared" si="121"/>
        <v>266.8</v>
      </c>
      <c r="K1420" s="250">
        <f>12.5*20</f>
        <v>250</v>
      </c>
      <c r="L1420" s="237">
        <v>41331</v>
      </c>
      <c r="M1420" s="1" t="s">
        <v>5274</v>
      </c>
      <c r="N1420" s="235">
        <f t="shared" si="117"/>
        <v>266.8</v>
      </c>
      <c r="O1420" s="235">
        <f t="shared" si="120"/>
        <v>0</v>
      </c>
      <c r="P1420" s="238" t="s">
        <v>5247</v>
      </c>
      <c r="Q1420" s="1" t="s">
        <v>5245</v>
      </c>
      <c r="R1420" s="239" t="s">
        <v>729</v>
      </c>
      <c r="S1420" s="238" t="s">
        <v>5346</v>
      </c>
      <c r="T1420" s="238" t="s">
        <v>798</v>
      </c>
      <c r="U1420" s="238" t="s">
        <v>5248</v>
      </c>
      <c r="AB1420" s="5" t="s">
        <v>1570</v>
      </c>
    </row>
    <row r="1421" spans="1:28">
      <c r="A1421" s="233">
        <v>41331</v>
      </c>
      <c r="B1421" s="1" t="s">
        <v>5250</v>
      </c>
      <c r="C1421" s="1" t="s">
        <v>163</v>
      </c>
      <c r="D1421" s="1" t="s">
        <v>1216</v>
      </c>
      <c r="E1421" s="1">
        <v>3200</v>
      </c>
      <c r="F1421" s="1">
        <v>10</v>
      </c>
      <c r="G1421" s="1" t="s">
        <v>171</v>
      </c>
      <c r="H1421" s="234">
        <v>30</v>
      </c>
      <c r="I1421" s="235">
        <f t="shared" si="121"/>
        <v>300</v>
      </c>
      <c r="K1421" s="250">
        <f>23.94*10</f>
        <v>239.4</v>
      </c>
      <c r="L1421" s="237">
        <v>41333</v>
      </c>
      <c r="M1421" s="1" t="s">
        <v>690</v>
      </c>
      <c r="N1421" s="235">
        <f t="shared" si="117"/>
        <v>300</v>
      </c>
      <c r="O1421" s="235">
        <f t="shared" si="120"/>
        <v>0</v>
      </c>
      <c r="P1421" s="238" t="s">
        <v>5267</v>
      </c>
      <c r="Q1421" s="1" t="s">
        <v>5268</v>
      </c>
      <c r="R1421" s="239" t="s">
        <v>5269</v>
      </c>
      <c r="S1421" s="238" t="s">
        <v>5270</v>
      </c>
      <c r="T1421" s="238" t="s">
        <v>5271</v>
      </c>
      <c r="U1421" s="238" t="s">
        <v>5272</v>
      </c>
      <c r="AB1421" s="5" t="s">
        <v>1570</v>
      </c>
    </row>
    <row r="1422" spans="1:28">
      <c r="A1422" s="233">
        <v>41331</v>
      </c>
      <c r="B1422" s="1" t="s">
        <v>5250</v>
      </c>
      <c r="C1422" s="1" t="s">
        <v>163</v>
      </c>
      <c r="D1422" s="315" t="s">
        <v>355</v>
      </c>
      <c r="E1422" s="1" t="s">
        <v>5263</v>
      </c>
      <c r="F1422" s="1">
        <v>10</v>
      </c>
      <c r="G1422" s="1" t="s">
        <v>171</v>
      </c>
      <c r="H1422" s="234">
        <v>18</v>
      </c>
      <c r="I1422" s="235">
        <f t="shared" si="121"/>
        <v>180</v>
      </c>
      <c r="K1422" s="250">
        <f>10.94*10</f>
        <v>109.39999999999999</v>
      </c>
      <c r="L1422" s="237">
        <v>41333</v>
      </c>
      <c r="M1422" s="1" t="s">
        <v>690</v>
      </c>
      <c r="N1422" s="235">
        <f t="shared" si="117"/>
        <v>180</v>
      </c>
      <c r="O1422" s="235">
        <f t="shared" si="120"/>
        <v>0</v>
      </c>
      <c r="P1422" s="238" t="s">
        <v>5267</v>
      </c>
      <c r="Q1422" s="1" t="s">
        <v>5268</v>
      </c>
      <c r="R1422" s="239" t="s">
        <v>5269</v>
      </c>
      <c r="S1422" s="238" t="s">
        <v>5270</v>
      </c>
      <c r="T1422" s="238" t="s">
        <v>5271</v>
      </c>
      <c r="U1422" s="238" t="s">
        <v>5272</v>
      </c>
      <c r="AB1422" s="5" t="s">
        <v>1570</v>
      </c>
    </row>
    <row r="1423" spans="1:28">
      <c r="A1423" s="233">
        <v>41331</v>
      </c>
      <c r="B1423" s="1" t="s">
        <v>5250</v>
      </c>
      <c r="C1423" s="1" t="s">
        <v>163</v>
      </c>
      <c r="D1423" s="315" t="s">
        <v>5265</v>
      </c>
      <c r="E1423" s="1" t="s">
        <v>198</v>
      </c>
      <c r="F1423" s="1">
        <v>10</v>
      </c>
      <c r="G1423" s="1" t="s">
        <v>171</v>
      </c>
      <c r="H1423" s="234">
        <v>4</v>
      </c>
      <c r="I1423" s="235">
        <f t="shared" si="121"/>
        <v>40</v>
      </c>
      <c r="K1423" s="250">
        <f>1.88*10</f>
        <v>18.799999999999997</v>
      </c>
      <c r="L1423" s="237">
        <v>41333</v>
      </c>
      <c r="M1423" s="1" t="s">
        <v>690</v>
      </c>
      <c r="N1423" s="235">
        <f t="shared" si="117"/>
        <v>40</v>
      </c>
      <c r="O1423" s="235">
        <f t="shared" si="120"/>
        <v>0</v>
      </c>
      <c r="P1423" s="238" t="s">
        <v>5267</v>
      </c>
      <c r="Q1423" s="1" t="s">
        <v>5268</v>
      </c>
      <c r="R1423" s="239" t="s">
        <v>5269</v>
      </c>
      <c r="S1423" s="238" t="s">
        <v>5270</v>
      </c>
      <c r="T1423" s="238" t="s">
        <v>5271</v>
      </c>
      <c r="U1423" s="238" t="s">
        <v>5272</v>
      </c>
      <c r="AB1423" s="5" t="s">
        <v>1570</v>
      </c>
    </row>
    <row r="1424" spans="1:28">
      <c r="A1424" s="233">
        <v>41331</v>
      </c>
      <c r="B1424" s="1" t="s">
        <v>5250</v>
      </c>
      <c r="C1424" s="1" t="s">
        <v>163</v>
      </c>
      <c r="D1424" s="315" t="s">
        <v>269</v>
      </c>
      <c r="E1424" s="1" t="s">
        <v>5266</v>
      </c>
      <c r="F1424" s="1">
        <v>10</v>
      </c>
      <c r="G1424" s="1" t="s">
        <v>5258</v>
      </c>
      <c r="H1424" s="234">
        <v>3</v>
      </c>
      <c r="I1424" s="235">
        <f t="shared" si="121"/>
        <v>30</v>
      </c>
      <c r="K1424" s="250">
        <f>1.17*10</f>
        <v>11.7</v>
      </c>
      <c r="L1424" s="237">
        <v>41333</v>
      </c>
      <c r="M1424" s="1" t="s">
        <v>690</v>
      </c>
      <c r="N1424" s="235">
        <f t="shared" si="117"/>
        <v>30</v>
      </c>
      <c r="O1424" s="235">
        <f t="shared" si="120"/>
        <v>0</v>
      </c>
      <c r="P1424" s="238" t="s">
        <v>5267</v>
      </c>
      <c r="Q1424" s="1" t="s">
        <v>5268</v>
      </c>
      <c r="R1424" s="239" t="s">
        <v>5269</v>
      </c>
      <c r="S1424" s="238" t="s">
        <v>5270</v>
      </c>
      <c r="T1424" s="238" t="s">
        <v>5271</v>
      </c>
      <c r="U1424" s="238" t="s">
        <v>5272</v>
      </c>
      <c r="AB1424" s="5" t="s">
        <v>1570</v>
      </c>
    </row>
    <row r="1425" spans="1:28">
      <c r="A1425" s="233">
        <v>41331</v>
      </c>
      <c r="B1425" s="1" t="s">
        <v>2973</v>
      </c>
      <c r="C1425" s="1" t="s">
        <v>163</v>
      </c>
      <c r="D1425" s="5" t="s">
        <v>2026</v>
      </c>
      <c r="E1425" s="1" t="s">
        <v>5184</v>
      </c>
      <c r="F1425" s="1">
        <v>100</v>
      </c>
      <c r="G1425" s="1" t="s">
        <v>5185</v>
      </c>
      <c r="H1425" s="234">
        <v>2.68</v>
      </c>
      <c r="I1425" s="235">
        <f>F1425*H1425</f>
        <v>268</v>
      </c>
      <c r="K1425" s="241">
        <f>1.4*100</f>
        <v>140</v>
      </c>
      <c r="L1425" s="237">
        <v>41365</v>
      </c>
      <c r="M1425" s="1" t="s">
        <v>167</v>
      </c>
      <c r="N1425" s="235">
        <f t="shared" si="117"/>
        <v>268</v>
      </c>
      <c r="O1425" s="235">
        <f t="shared" si="120"/>
        <v>0</v>
      </c>
      <c r="P1425" s="238" t="s">
        <v>5186</v>
      </c>
      <c r="Q1425" s="1" t="s">
        <v>5245</v>
      </c>
      <c r="R1425" s="239" t="s">
        <v>2154</v>
      </c>
      <c r="S1425" s="238" t="s">
        <v>3679</v>
      </c>
      <c r="T1425" s="238" t="s">
        <v>2155</v>
      </c>
      <c r="U1425" s="238" t="s">
        <v>5249</v>
      </c>
      <c r="V1425" s="238" t="s">
        <v>5273</v>
      </c>
      <c r="W1425" s="236">
        <v>268</v>
      </c>
      <c r="X1425" s="233">
        <v>41331</v>
      </c>
      <c r="Y1425" s="238" t="s">
        <v>5249</v>
      </c>
      <c r="AA1425" s="240" t="s">
        <v>2158</v>
      </c>
      <c r="AB1425" s="1" t="s">
        <v>2079</v>
      </c>
    </row>
    <row r="1426" spans="1:28">
      <c r="A1426" s="233">
        <v>41331</v>
      </c>
      <c r="B1426" s="1" t="s">
        <v>2186</v>
      </c>
      <c r="C1426" s="1" t="s">
        <v>163</v>
      </c>
      <c r="D1426" s="1" t="s">
        <v>1216</v>
      </c>
      <c r="E1426" s="1">
        <v>3200</v>
      </c>
      <c r="F1426" s="1">
        <v>200</v>
      </c>
      <c r="G1426" s="1" t="s">
        <v>171</v>
      </c>
      <c r="H1426" s="234">
        <v>26</v>
      </c>
      <c r="I1426" s="235">
        <f>F1426*H1426</f>
        <v>5200</v>
      </c>
      <c r="K1426" s="241">
        <f>23.94*200</f>
        <v>4788</v>
      </c>
      <c r="L1426" s="237">
        <v>41359</v>
      </c>
      <c r="M1426" s="1" t="s">
        <v>167</v>
      </c>
      <c r="N1426" s="235">
        <f t="shared" si="117"/>
        <v>5200</v>
      </c>
      <c r="O1426" s="235">
        <f t="shared" si="120"/>
        <v>0</v>
      </c>
      <c r="P1426" s="238" t="s">
        <v>168</v>
      </c>
      <c r="Q1426" s="1" t="s">
        <v>5261</v>
      </c>
      <c r="R1426" s="239" t="s">
        <v>2401</v>
      </c>
      <c r="S1426" s="238" t="s">
        <v>2402</v>
      </c>
      <c r="T1426" s="238" t="s">
        <v>3714</v>
      </c>
      <c r="U1426" s="238" t="s">
        <v>5262</v>
      </c>
      <c r="V1426" s="238" t="s">
        <v>5736</v>
      </c>
      <c r="W1426" s="236">
        <v>113433.12</v>
      </c>
      <c r="X1426" s="233">
        <v>41354</v>
      </c>
      <c r="Y1426" s="238" t="s">
        <v>5737</v>
      </c>
      <c r="AB1426" s="1" t="s">
        <v>1570</v>
      </c>
    </row>
    <row r="1427" spans="1:28">
      <c r="A1427" s="233">
        <v>41331</v>
      </c>
      <c r="B1427" s="1" t="s">
        <v>2186</v>
      </c>
      <c r="C1427" s="1" t="s">
        <v>163</v>
      </c>
      <c r="D1427" s="5" t="s">
        <v>348</v>
      </c>
      <c r="E1427" s="1">
        <v>3700</v>
      </c>
      <c r="F1427" s="1">
        <v>200</v>
      </c>
      <c r="G1427" s="1" t="s">
        <v>171</v>
      </c>
      <c r="H1427" s="234">
        <v>3.6</v>
      </c>
      <c r="I1427" s="235">
        <f>F1427*H1427</f>
        <v>720</v>
      </c>
      <c r="K1427" s="241">
        <f>3.09*200</f>
        <v>618</v>
      </c>
      <c r="L1427" s="237">
        <v>41359</v>
      </c>
      <c r="M1427" s="1" t="s">
        <v>167</v>
      </c>
      <c r="N1427" s="235">
        <f t="shared" si="117"/>
        <v>720</v>
      </c>
      <c r="O1427" s="235">
        <f t="shared" si="120"/>
        <v>0</v>
      </c>
      <c r="P1427" s="238" t="s">
        <v>168</v>
      </c>
      <c r="Q1427" s="1" t="s">
        <v>5261</v>
      </c>
      <c r="R1427" s="239" t="s">
        <v>2401</v>
      </c>
      <c r="S1427" s="238" t="s">
        <v>2402</v>
      </c>
      <c r="T1427" s="238" t="s">
        <v>3714</v>
      </c>
      <c r="U1427" s="238" t="s">
        <v>5262</v>
      </c>
      <c r="V1427" s="238" t="s">
        <v>5736</v>
      </c>
      <c r="W1427" s="236">
        <v>113433.12</v>
      </c>
      <c r="X1427" s="233">
        <v>41354</v>
      </c>
      <c r="Y1427" s="238" t="s">
        <v>5737</v>
      </c>
      <c r="AB1427" s="1" t="s">
        <v>1570</v>
      </c>
    </row>
    <row r="1428" spans="1:28">
      <c r="A1428" s="233">
        <v>41331</v>
      </c>
      <c r="B1428" s="1" t="s">
        <v>2186</v>
      </c>
      <c r="C1428" s="1" t="s">
        <v>163</v>
      </c>
      <c r="D1428" s="1" t="s">
        <v>233</v>
      </c>
      <c r="E1428" s="1" t="s">
        <v>187</v>
      </c>
      <c r="F1428" s="1">
        <v>2500</v>
      </c>
      <c r="G1428" s="1" t="s">
        <v>5258</v>
      </c>
      <c r="H1428" s="234">
        <v>1.65</v>
      </c>
      <c r="I1428" s="235">
        <f>F1428*H1428</f>
        <v>4125</v>
      </c>
      <c r="K1428" s="241">
        <f>1.54*2500</f>
        <v>3850</v>
      </c>
      <c r="L1428" s="237">
        <v>41359</v>
      </c>
      <c r="M1428" s="1" t="s">
        <v>167</v>
      </c>
      <c r="N1428" s="235">
        <f t="shared" si="117"/>
        <v>4125</v>
      </c>
      <c r="O1428" s="235">
        <f t="shared" si="120"/>
        <v>0</v>
      </c>
      <c r="P1428" s="238" t="s">
        <v>168</v>
      </c>
      <c r="Q1428" s="1" t="s">
        <v>5261</v>
      </c>
      <c r="R1428" s="239" t="s">
        <v>2401</v>
      </c>
      <c r="S1428" s="238" t="s">
        <v>2402</v>
      </c>
      <c r="T1428" s="238" t="s">
        <v>3714</v>
      </c>
      <c r="U1428" s="238" t="s">
        <v>5262</v>
      </c>
      <c r="V1428" s="238" t="s">
        <v>5736</v>
      </c>
      <c r="W1428" s="236">
        <v>113433.12</v>
      </c>
      <c r="X1428" s="233">
        <v>41354</v>
      </c>
      <c r="Y1428" s="238" t="s">
        <v>5737</v>
      </c>
      <c r="AB1428" s="1" t="s">
        <v>1570</v>
      </c>
    </row>
    <row r="1429" spans="1:28">
      <c r="A1429" s="233">
        <v>41331</v>
      </c>
      <c r="B1429" s="1" t="s">
        <v>2186</v>
      </c>
      <c r="C1429" s="1" t="s">
        <v>163</v>
      </c>
      <c r="D1429" s="5" t="s">
        <v>183</v>
      </c>
      <c r="E1429" s="1" t="s">
        <v>2064</v>
      </c>
      <c r="F1429" s="1">
        <v>2500</v>
      </c>
      <c r="G1429" s="1" t="s">
        <v>5258</v>
      </c>
      <c r="H1429" s="234">
        <v>1.65</v>
      </c>
      <c r="I1429" s="235">
        <f>F1429*H1429</f>
        <v>4125</v>
      </c>
      <c r="K1429" s="250">
        <f>1.24*2500</f>
        <v>3100</v>
      </c>
      <c r="L1429" s="237">
        <v>41359</v>
      </c>
      <c r="M1429" s="1" t="s">
        <v>167</v>
      </c>
      <c r="N1429" s="235">
        <f t="shared" si="117"/>
        <v>4125</v>
      </c>
      <c r="O1429" s="235">
        <f t="shared" si="120"/>
        <v>0</v>
      </c>
      <c r="P1429" s="238" t="s">
        <v>168</v>
      </c>
      <c r="Q1429" s="1" t="s">
        <v>5261</v>
      </c>
      <c r="R1429" s="239" t="s">
        <v>2401</v>
      </c>
      <c r="S1429" s="238" t="s">
        <v>2402</v>
      </c>
      <c r="T1429" s="238" t="s">
        <v>3714</v>
      </c>
      <c r="U1429" s="238" t="s">
        <v>5262</v>
      </c>
      <c r="V1429" s="238" t="s">
        <v>5736</v>
      </c>
      <c r="W1429" s="236">
        <v>113433.12</v>
      </c>
      <c r="X1429" s="233">
        <v>41354</v>
      </c>
      <c r="Y1429" s="238" t="s">
        <v>5737</v>
      </c>
      <c r="AB1429" s="1" t="s">
        <v>1570</v>
      </c>
    </row>
    <row r="1430" spans="1:28">
      <c r="A1430" s="233">
        <v>41331</v>
      </c>
      <c r="B1430" s="1" t="s">
        <v>2313</v>
      </c>
      <c r="C1430" s="1" t="s">
        <v>163</v>
      </c>
      <c r="D1430" s="1" t="s">
        <v>1774</v>
      </c>
      <c r="E1430" s="1">
        <v>9132</v>
      </c>
      <c r="F1430" s="1">
        <v>30</v>
      </c>
      <c r="G1430" s="1" t="s">
        <v>5228</v>
      </c>
      <c r="H1430" s="234">
        <v>4.0599999999999996</v>
      </c>
      <c r="I1430" s="235">
        <f t="shared" ref="I1430" si="122">F1430*H1430</f>
        <v>121.79999999999998</v>
      </c>
      <c r="K1430" s="250">
        <f>2.92*30</f>
        <v>87.6</v>
      </c>
      <c r="L1430" s="237">
        <v>41327</v>
      </c>
      <c r="M1430" s="1" t="s">
        <v>5232</v>
      </c>
      <c r="N1430" s="235">
        <f t="shared" si="117"/>
        <v>121.79999999999998</v>
      </c>
      <c r="O1430" s="235">
        <f t="shared" si="120"/>
        <v>0</v>
      </c>
      <c r="P1430" s="238" t="s">
        <v>5231</v>
      </c>
      <c r="Q1430" s="1" t="s">
        <v>5245</v>
      </c>
      <c r="R1430" s="239" t="s">
        <v>5234</v>
      </c>
      <c r="S1430" s="238" t="s">
        <v>5235</v>
      </c>
      <c r="T1430" s="238" t="s">
        <v>5236</v>
      </c>
      <c r="U1430" s="238" t="s">
        <v>5246</v>
      </c>
      <c r="V1430" s="238" t="s">
        <v>5547</v>
      </c>
      <c r="W1430" s="236">
        <v>4221.8</v>
      </c>
      <c r="X1430" s="233">
        <v>41346</v>
      </c>
      <c r="Y1430" s="238" t="s">
        <v>6067</v>
      </c>
      <c r="AB1430" s="1" t="s">
        <v>2183</v>
      </c>
    </row>
    <row r="1431" spans="1:28">
      <c r="A1431" s="233">
        <v>41331</v>
      </c>
      <c r="B1431" s="1" t="s">
        <v>2313</v>
      </c>
      <c r="C1431" s="1" t="s">
        <v>163</v>
      </c>
      <c r="D1431" s="1" t="s">
        <v>1219</v>
      </c>
      <c r="E1431" s="1" t="s">
        <v>5224</v>
      </c>
      <c r="F1431" s="1">
        <v>30</v>
      </c>
      <c r="G1431" s="1" t="s">
        <v>173</v>
      </c>
      <c r="H1431" s="234">
        <v>20</v>
      </c>
      <c r="I1431" s="235">
        <f>F1431*H1431</f>
        <v>600</v>
      </c>
      <c r="K1431" s="250">
        <f>12.6*30</f>
        <v>378</v>
      </c>
      <c r="L1431" s="237">
        <v>41327</v>
      </c>
      <c r="M1431" s="1" t="s">
        <v>5232</v>
      </c>
      <c r="N1431" s="235">
        <f t="shared" si="117"/>
        <v>600</v>
      </c>
      <c r="O1431" s="235">
        <f t="shared" si="120"/>
        <v>0</v>
      </c>
      <c r="P1431" s="238" t="s">
        <v>5231</v>
      </c>
      <c r="Q1431" s="1" t="s">
        <v>5245</v>
      </c>
      <c r="R1431" s="239" t="s">
        <v>5234</v>
      </c>
      <c r="S1431" s="238" t="s">
        <v>5235</v>
      </c>
      <c r="T1431" s="238" t="s">
        <v>5236</v>
      </c>
      <c r="U1431" s="238" t="s">
        <v>5246</v>
      </c>
      <c r="V1431" s="238" t="s">
        <v>5548</v>
      </c>
      <c r="W1431" s="236">
        <v>4221.8</v>
      </c>
      <c r="X1431" s="233">
        <v>41346</v>
      </c>
      <c r="Y1431" s="238" t="s">
        <v>6067</v>
      </c>
      <c r="AB1431" s="1" t="s">
        <v>2183</v>
      </c>
    </row>
    <row r="1432" spans="1:28">
      <c r="A1432" s="233">
        <v>41331</v>
      </c>
      <c r="B1432" s="1" t="s">
        <v>2313</v>
      </c>
      <c r="C1432" s="1" t="s">
        <v>5223</v>
      </c>
      <c r="D1432" s="1" t="s">
        <v>5226</v>
      </c>
      <c r="E1432" s="1" t="s">
        <v>5225</v>
      </c>
      <c r="F1432" s="1">
        <v>50</v>
      </c>
      <c r="G1432" s="1" t="s">
        <v>5227</v>
      </c>
      <c r="H1432" s="234">
        <v>70</v>
      </c>
      <c r="I1432" s="235">
        <f>F1432*H1432</f>
        <v>3500</v>
      </c>
      <c r="K1432" s="250">
        <f>53*50</f>
        <v>2650</v>
      </c>
      <c r="L1432" s="237">
        <v>41327</v>
      </c>
      <c r="M1432" s="1" t="s">
        <v>5232</v>
      </c>
      <c r="N1432" s="235">
        <f t="shared" si="117"/>
        <v>3500</v>
      </c>
      <c r="O1432" s="235">
        <f t="shared" si="120"/>
        <v>0</v>
      </c>
      <c r="P1432" s="238" t="s">
        <v>5231</v>
      </c>
      <c r="Q1432" s="1" t="s">
        <v>5245</v>
      </c>
      <c r="R1432" s="239" t="s">
        <v>5234</v>
      </c>
      <c r="S1432" s="238" t="s">
        <v>5235</v>
      </c>
      <c r="T1432" s="238" t="s">
        <v>5236</v>
      </c>
      <c r="U1432" s="238" t="s">
        <v>5246</v>
      </c>
      <c r="V1432" s="238" t="s">
        <v>5549</v>
      </c>
      <c r="W1432" s="236">
        <v>4221.8</v>
      </c>
      <c r="X1432" s="233">
        <v>41346</v>
      </c>
      <c r="Y1432" s="238" t="s">
        <v>6067</v>
      </c>
      <c r="AB1432" s="1" t="s">
        <v>2183</v>
      </c>
    </row>
    <row r="1433" spans="1:28">
      <c r="A1433" s="233">
        <v>41332</v>
      </c>
      <c r="B1433" s="1" t="s">
        <v>4730</v>
      </c>
      <c r="C1433" s="1" t="s">
        <v>163</v>
      </c>
      <c r="D1433" s="5" t="s">
        <v>2026</v>
      </c>
      <c r="E1433" s="1" t="s">
        <v>1781</v>
      </c>
      <c r="F1433" s="1">
        <v>1000</v>
      </c>
      <c r="G1433" s="1" t="s">
        <v>171</v>
      </c>
      <c r="H1433" s="234">
        <v>1.75</v>
      </c>
      <c r="I1433" s="235">
        <f>F1433*H1433</f>
        <v>1750</v>
      </c>
      <c r="K1433" s="250">
        <f>1.55*1000</f>
        <v>1550</v>
      </c>
      <c r="L1433" s="237">
        <v>41331</v>
      </c>
      <c r="M1433" s="1" t="s">
        <v>166</v>
      </c>
      <c r="N1433" s="235">
        <f t="shared" si="117"/>
        <v>1750</v>
      </c>
      <c r="O1433" s="235">
        <f t="shared" si="120"/>
        <v>0</v>
      </c>
      <c r="P1433" s="238" t="s">
        <v>5241</v>
      </c>
      <c r="Q1433" s="1" t="s">
        <v>5219</v>
      </c>
      <c r="R1433" s="239" t="s">
        <v>4732</v>
      </c>
      <c r="S1433" s="238" t="s">
        <v>4733</v>
      </c>
      <c r="T1433" s="238" t="s">
        <v>4734</v>
      </c>
      <c r="U1433" s="238" t="s">
        <v>5313</v>
      </c>
      <c r="AB1433" s="1" t="s">
        <v>2183</v>
      </c>
    </row>
    <row r="1434" spans="1:28">
      <c r="A1434" s="233">
        <v>41332</v>
      </c>
      <c r="B1434" s="1" t="s">
        <v>4129</v>
      </c>
      <c r="C1434" s="1" t="s">
        <v>163</v>
      </c>
      <c r="D1434" s="1" t="s">
        <v>857</v>
      </c>
      <c r="E1434" s="1">
        <v>9031</v>
      </c>
      <c r="F1434" s="1">
        <v>50</v>
      </c>
      <c r="G1434" s="1" t="s">
        <v>171</v>
      </c>
      <c r="H1434" s="234">
        <v>2.7</v>
      </c>
      <c r="I1434" s="235">
        <f>H1434*F1434</f>
        <v>135</v>
      </c>
      <c r="K1434" s="250">
        <f>1.4929*50</f>
        <v>74.644999999999996</v>
      </c>
      <c r="N1434" s="235">
        <v>0</v>
      </c>
      <c r="O1434" s="235">
        <f>I1434-N1434</f>
        <v>135</v>
      </c>
      <c r="P1434" s="238" t="s">
        <v>5237</v>
      </c>
      <c r="Q1434" s="1" t="s">
        <v>5317</v>
      </c>
      <c r="R1434" s="239" t="s">
        <v>4131</v>
      </c>
      <c r="S1434" s="238" t="s">
        <v>4132</v>
      </c>
      <c r="T1434" s="238" t="s">
        <v>4133</v>
      </c>
      <c r="U1434" s="238" t="s">
        <v>5318</v>
      </c>
      <c r="AB1434" s="1" t="s">
        <v>2079</v>
      </c>
    </row>
    <row r="1435" spans="1:28">
      <c r="A1435" s="233">
        <v>41332</v>
      </c>
      <c r="B1435" s="1" t="s">
        <v>1578</v>
      </c>
      <c r="C1435" s="5" t="s">
        <v>163</v>
      </c>
      <c r="D1435" s="1" t="s">
        <v>269</v>
      </c>
      <c r="E1435" s="1" t="s">
        <v>5294</v>
      </c>
      <c r="F1435" s="1">
        <v>100</v>
      </c>
      <c r="G1435" s="1" t="s">
        <v>5295</v>
      </c>
      <c r="H1435" s="234">
        <v>1.38</v>
      </c>
      <c r="I1435" s="235">
        <f>H1435*F1435</f>
        <v>138</v>
      </c>
      <c r="K1435" s="250">
        <f>1.17*100</f>
        <v>117</v>
      </c>
      <c r="L1435" s="237">
        <v>41361</v>
      </c>
      <c r="M1435" s="1" t="s">
        <v>167</v>
      </c>
      <c r="N1435" s="235">
        <f t="shared" si="117"/>
        <v>138</v>
      </c>
      <c r="O1435" s="235">
        <f t="shared" ref="O1435:O1461" si="123">I1435-N1435</f>
        <v>0</v>
      </c>
      <c r="P1435" s="238" t="s">
        <v>5296</v>
      </c>
      <c r="Q1435" s="1" t="s">
        <v>1580</v>
      </c>
      <c r="R1435" s="239" t="s">
        <v>1579</v>
      </c>
      <c r="S1435" s="238">
        <v>13368068212</v>
      </c>
      <c r="T1435" s="238" t="s">
        <v>168</v>
      </c>
      <c r="U1435" s="238" t="s">
        <v>168</v>
      </c>
      <c r="V1435" s="238" t="s">
        <v>5297</v>
      </c>
      <c r="W1435" s="236">
        <v>4068.78</v>
      </c>
      <c r="X1435" s="233">
        <v>41332</v>
      </c>
      <c r="Y1435" s="238" t="s">
        <v>3895</v>
      </c>
      <c r="AB1435" s="1" t="s">
        <v>1570</v>
      </c>
    </row>
    <row r="1436" spans="1:28">
      <c r="A1436" s="233">
        <v>41332</v>
      </c>
      <c r="B1436" s="1" t="s">
        <v>5314</v>
      </c>
      <c r="C1436" s="5" t="s">
        <v>163</v>
      </c>
      <c r="D1436" s="5" t="s">
        <v>857</v>
      </c>
      <c r="E1436" s="1">
        <v>9032</v>
      </c>
      <c r="F1436" s="1">
        <v>10</v>
      </c>
      <c r="G1436" s="1" t="s">
        <v>171</v>
      </c>
      <c r="H1436" s="234">
        <v>1.8</v>
      </c>
      <c r="I1436" s="235">
        <f>H1436*F1436</f>
        <v>18</v>
      </c>
      <c r="K1436" s="250">
        <f>1.4929*10</f>
        <v>14.928999999999998</v>
      </c>
      <c r="L1436" s="237">
        <v>41332</v>
      </c>
      <c r="M1436" s="1" t="s">
        <v>5315</v>
      </c>
      <c r="N1436" s="235">
        <f t="shared" si="117"/>
        <v>18</v>
      </c>
      <c r="O1436" s="235">
        <f t="shared" si="123"/>
        <v>0</v>
      </c>
      <c r="P1436" s="238" t="s">
        <v>5316</v>
      </c>
      <c r="Q1436" s="1" t="s">
        <v>3676</v>
      </c>
      <c r="R1436" s="239" t="s">
        <v>5319</v>
      </c>
      <c r="S1436" s="238" t="s">
        <v>5320</v>
      </c>
      <c r="T1436" s="238" t="s">
        <v>5321</v>
      </c>
      <c r="U1436" s="238" t="s">
        <v>5322</v>
      </c>
      <c r="V1436" s="238" t="s">
        <v>5323</v>
      </c>
      <c r="W1436" s="236" t="s">
        <v>5284</v>
      </c>
      <c r="X1436" s="233" t="s">
        <v>5284</v>
      </c>
      <c r="Y1436" s="238" t="s">
        <v>5284</v>
      </c>
      <c r="AB1436" s="1" t="s">
        <v>1570</v>
      </c>
    </row>
    <row r="1437" spans="1:28">
      <c r="A1437" s="233">
        <v>41332</v>
      </c>
      <c r="B1437" s="1" t="s">
        <v>5314</v>
      </c>
      <c r="C1437" s="5" t="s">
        <v>163</v>
      </c>
      <c r="D1437" s="1" t="s">
        <v>857</v>
      </c>
      <c r="E1437" s="1">
        <v>9031</v>
      </c>
      <c r="F1437" s="1">
        <v>5</v>
      </c>
      <c r="G1437" s="1" t="s">
        <v>171</v>
      </c>
      <c r="H1437" s="234">
        <v>1.8</v>
      </c>
      <c r="I1437" s="235">
        <f>H1437*F1437</f>
        <v>9</v>
      </c>
      <c r="K1437" s="250">
        <f>1.4929*5</f>
        <v>7.4644999999999992</v>
      </c>
      <c r="L1437" s="237">
        <v>41332</v>
      </c>
      <c r="M1437" s="1" t="s">
        <v>5315</v>
      </c>
      <c r="N1437" s="235">
        <f t="shared" si="117"/>
        <v>9</v>
      </c>
      <c r="O1437" s="235">
        <f t="shared" si="123"/>
        <v>0</v>
      </c>
      <c r="P1437" s="238" t="s">
        <v>5316</v>
      </c>
      <c r="Q1437" s="1" t="s">
        <v>3676</v>
      </c>
      <c r="R1437" s="239" t="s">
        <v>5319</v>
      </c>
      <c r="S1437" s="238" t="s">
        <v>5320</v>
      </c>
      <c r="T1437" s="238" t="s">
        <v>5321</v>
      </c>
      <c r="U1437" s="238" t="s">
        <v>5322</v>
      </c>
      <c r="V1437" s="238" t="s">
        <v>5323</v>
      </c>
      <c r="W1437" s="236" t="s">
        <v>5284</v>
      </c>
      <c r="X1437" s="233" t="s">
        <v>5284</v>
      </c>
      <c r="Y1437" s="238" t="s">
        <v>5284</v>
      </c>
      <c r="AB1437" s="1" t="s">
        <v>1570</v>
      </c>
    </row>
    <row r="1438" spans="1:28">
      <c r="A1438" s="233">
        <v>41332</v>
      </c>
      <c r="B1438" s="1" t="s">
        <v>5288</v>
      </c>
      <c r="C1438" s="1" t="s">
        <v>163</v>
      </c>
      <c r="D1438" s="1" t="s">
        <v>1216</v>
      </c>
      <c r="E1438" s="1">
        <v>3200</v>
      </c>
      <c r="F1438" s="1">
        <v>600</v>
      </c>
      <c r="G1438" s="1" t="s">
        <v>171</v>
      </c>
      <c r="H1438" s="234">
        <v>26.5</v>
      </c>
      <c r="I1438" s="235">
        <f>H1438*F1438</f>
        <v>15900</v>
      </c>
      <c r="K1438" s="250">
        <f>23.94*600</f>
        <v>14364</v>
      </c>
      <c r="L1438" s="237">
        <v>41332</v>
      </c>
      <c r="M1438" s="1" t="s">
        <v>167</v>
      </c>
      <c r="N1438" s="235">
        <f t="shared" si="117"/>
        <v>15900</v>
      </c>
      <c r="O1438" s="235">
        <f t="shared" si="123"/>
        <v>0</v>
      </c>
      <c r="P1438" s="238" t="s">
        <v>5293</v>
      </c>
      <c r="Q1438" s="1" t="s">
        <v>3676</v>
      </c>
      <c r="R1438" s="239" t="s">
        <v>5290</v>
      </c>
      <c r="S1438" s="238" t="s">
        <v>5291</v>
      </c>
      <c r="T1438" s="238" t="s">
        <v>5289</v>
      </c>
      <c r="U1438" s="238" t="s">
        <v>5292</v>
      </c>
      <c r="V1438" s="238" t="s">
        <v>6216</v>
      </c>
      <c r="W1438" s="236">
        <v>41752</v>
      </c>
      <c r="X1438" s="233">
        <v>41376</v>
      </c>
      <c r="Y1438" s="238" t="s">
        <v>6217</v>
      </c>
      <c r="AB1438" s="1" t="s">
        <v>1570</v>
      </c>
    </row>
    <row r="1439" spans="1:28">
      <c r="A1439" s="233">
        <v>41332</v>
      </c>
      <c r="B1439" s="1" t="s">
        <v>5288</v>
      </c>
      <c r="C1439" s="1" t="s">
        <v>163</v>
      </c>
      <c r="D1439" s="5" t="s">
        <v>348</v>
      </c>
      <c r="E1439" s="1">
        <v>3700</v>
      </c>
      <c r="F1439" s="1">
        <v>600</v>
      </c>
      <c r="G1439" s="1" t="s">
        <v>171</v>
      </c>
      <c r="H1439" s="234">
        <v>3.48</v>
      </c>
      <c r="I1439" s="235">
        <f t="shared" ref="I1439:I1440" si="124">H1439*F1439</f>
        <v>2088</v>
      </c>
      <c r="K1439" s="250">
        <f>3.09*600</f>
        <v>1854</v>
      </c>
      <c r="L1439" s="237">
        <v>41332</v>
      </c>
      <c r="M1439" s="1" t="s">
        <v>167</v>
      </c>
      <c r="N1439" s="235">
        <f t="shared" si="117"/>
        <v>2088</v>
      </c>
      <c r="O1439" s="235">
        <f t="shared" si="123"/>
        <v>0</v>
      </c>
      <c r="P1439" s="238" t="s">
        <v>5293</v>
      </c>
      <c r="Q1439" s="1" t="s">
        <v>3676</v>
      </c>
      <c r="R1439" s="239" t="s">
        <v>5290</v>
      </c>
      <c r="S1439" s="238" t="s">
        <v>5291</v>
      </c>
      <c r="T1439" s="238" t="s">
        <v>5289</v>
      </c>
      <c r="U1439" s="238" t="s">
        <v>5292</v>
      </c>
      <c r="V1439" s="238" t="s">
        <v>6216</v>
      </c>
      <c r="W1439" s="236">
        <v>41752</v>
      </c>
      <c r="X1439" s="233">
        <v>41376</v>
      </c>
      <c r="Y1439" s="238" t="s">
        <v>6217</v>
      </c>
      <c r="AB1439" s="1" t="s">
        <v>1570</v>
      </c>
    </row>
    <row r="1440" spans="1:28">
      <c r="A1440" s="233">
        <v>41332</v>
      </c>
      <c r="B1440" s="1" t="s">
        <v>5288</v>
      </c>
      <c r="C1440" s="1" t="s">
        <v>163</v>
      </c>
      <c r="D1440" s="5" t="s">
        <v>183</v>
      </c>
      <c r="E1440" s="1" t="s">
        <v>187</v>
      </c>
      <c r="F1440" s="1">
        <v>600</v>
      </c>
      <c r="G1440" s="1" t="s">
        <v>172</v>
      </c>
      <c r="H1440" s="234">
        <v>1.65</v>
      </c>
      <c r="I1440" s="235">
        <f t="shared" si="124"/>
        <v>990</v>
      </c>
      <c r="K1440" s="250">
        <f>1.54*600</f>
        <v>924</v>
      </c>
      <c r="L1440" s="237">
        <v>41332</v>
      </c>
      <c r="M1440" s="1" t="s">
        <v>167</v>
      </c>
      <c r="N1440" s="235">
        <f t="shared" si="117"/>
        <v>990</v>
      </c>
      <c r="O1440" s="235">
        <f t="shared" si="123"/>
        <v>0</v>
      </c>
      <c r="P1440" s="238" t="s">
        <v>5293</v>
      </c>
      <c r="Q1440" s="1" t="s">
        <v>3676</v>
      </c>
      <c r="R1440" s="239" t="s">
        <v>5290</v>
      </c>
      <c r="S1440" s="238" t="s">
        <v>5291</v>
      </c>
      <c r="T1440" s="238" t="s">
        <v>5289</v>
      </c>
      <c r="U1440" s="238" t="s">
        <v>5292</v>
      </c>
      <c r="V1440" s="238" t="s">
        <v>6216</v>
      </c>
      <c r="W1440" s="236">
        <v>41752</v>
      </c>
      <c r="X1440" s="233">
        <v>41376</v>
      </c>
      <c r="Y1440" s="238" t="s">
        <v>6217</v>
      </c>
      <c r="AB1440" s="1" t="s">
        <v>1570</v>
      </c>
    </row>
    <row r="1441" spans="1:28">
      <c r="A1441" s="233">
        <v>41332</v>
      </c>
      <c r="B1441" s="1" t="s">
        <v>4678</v>
      </c>
      <c r="C1441" s="1" t="s">
        <v>163</v>
      </c>
      <c r="D1441" s="5" t="s">
        <v>183</v>
      </c>
      <c r="E1441" s="1" t="s">
        <v>187</v>
      </c>
      <c r="F1441" s="1">
        <v>500</v>
      </c>
      <c r="G1441" s="1" t="s">
        <v>172</v>
      </c>
      <c r="H1441" s="234">
        <v>1.82</v>
      </c>
      <c r="I1441" s="235">
        <f t="shared" ref="I1441:I1450" si="125">F1441*H1441</f>
        <v>910</v>
      </c>
      <c r="K1441" s="250">
        <f>1.54*500</f>
        <v>770</v>
      </c>
      <c r="L1441" s="237">
        <v>41332</v>
      </c>
      <c r="M1441" s="1" t="s">
        <v>166</v>
      </c>
      <c r="N1441" s="235">
        <f t="shared" si="117"/>
        <v>910</v>
      </c>
      <c r="O1441" s="235">
        <f t="shared" si="123"/>
        <v>0</v>
      </c>
      <c r="P1441" s="238" t="s">
        <v>5276</v>
      </c>
      <c r="Q1441" s="1" t="s">
        <v>5219</v>
      </c>
      <c r="R1441" s="239" t="s">
        <v>4681</v>
      </c>
      <c r="S1441" s="238" t="s">
        <v>4682</v>
      </c>
      <c r="T1441" s="238" t="s">
        <v>4683</v>
      </c>
      <c r="U1441" s="238" t="s">
        <v>5286</v>
      </c>
      <c r="V1441" s="238" t="s">
        <v>5287</v>
      </c>
      <c r="W1441" s="236">
        <v>2150</v>
      </c>
      <c r="X1441" s="233">
        <v>41332</v>
      </c>
      <c r="Y1441" s="238" t="s">
        <v>5286</v>
      </c>
      <c r="AA1441" s="282" t="s">
        <v>2158</v>
      </c>
      <c r="AB1441" s="1" t="s">
        <v>1570</v>
      </c>
    </row>
    <row r="1442" spans="1:28">
      <c r="A1442" s="233">
        <v>41332</v>
      </c>
      <c r="B1442" s="1" t="s">
        <v>4678</v>
      </c>
      <c r="C1442" s="1" t="s">
        <v>163</v>
      </c>
      <c r="D1442" s="1" t="s">
        <v>1216</v>
      </c>
      <c r="E1442" s="1">
        <v>3200</v>
      </c>
      <c r="F1442" s="1">
        <v>20</v>
      </c>
      <c r="G1442" s="1" t="s">
        <v>5275</v>
      </c>
      <c r="H1442" s="234">
        <v>29.51</v>
      </c>
      <c r="I1442" s="235">
        <f t="shared" si="125"/>
        <v>590.20000000000005</v>
      </c>
      <c r="K1442" s="250">
        <f>23.94*20</f>
        <v>478.8</v>
      </c>
      <c r="L1442" s="237">
        <v>41332</v>
      </c>
      <c r="M1442" s="1" t="s">
        <v>166</v>
      </c>
      <c r="N1442" s="235">
        <f t="shared" si="117"/>
        <v>590.20000000000005</v>
      </c>
      <c r="O1442" s="235">
        <f t="shared" si="123"/>
        <v>0</v>
      </c>
      <c r="P1442" s="238" t="s">
        <v>5276</v>
      </c>
      <c r="Q1442" s="1" t="s">
        <v>5219</v>
      </c>
      <c r="R1442" s="239" t="s">
        <v>4681</v>
      </c>
      <c r="S1442" s="238" t="s">
        <v>4682</v>
      </c>
      <c r="T1442" s="238" t="s">
        <v>4683</v>
      </c>
      <c r="U1442" s="238" t="s">
        <v>5286</v>
      </c>
      <c r="V1442" s="238" t="s">
        <v>5287</v>
      </c>
      <c r="W1442" s="236">
        <v>2150</v>
      </c>
      <c r="X1442" s="233">
        <v>41332</v>
      </c>
      <c r="Y1442" s="238" t="s">
        <v>5286</v>
      </c>
      <c r="AA1442" s="282" t="s">
        <v>2158</v>
      </c>
      <c r="AB1442" s="1" t="s">
        <v>1570</v>
      </c>
    </row>
    <row r="1443" spans="1:28">
      <c r="A1443" s="233">
        <v>41332</v>
      </c>
      <c r="B1443" s="1" t="s">
        <v>4678</v>
      </c>
      <c r="C1443" s="1" t="s">
        <v>163</v>
      </c>
      <c r="D1443" s="5" t="s">
        <v>348</v>
      </c>
      <c r="E1443" s="1">
        <v>3700</v>
      </c>
      <c r="F1443" s="1">
        <v>20</v>
      </c>
      <c r="G1443" s="1" t="s">
        <v>5275</v>
      </c>
      <c r="H1443" s="234">
        <v>3.66</v>
      </c>
      <c r="I1443" s="235">
        <f t="shared" si="125"/>
        <v>73.2</v>
      </c>
      <c r="K1443" s="250">
        <f>3.09*20</f>
        <v>61.8</v>
      </c>
      <c r="L1443" s="237">
        <v>41332</v>
      </c>
      <c r="M1443" s="1" t="s">
        <v>166</v>
      </c>
      <c r="N1443" s="235">
        <f t="shared" si="117"/>
        <v>73.2</v>
      </c>
      <c r="O1443" s="235">
        <f t="shared" si="123"/>
        <v>0</v>
      </c>
      <c r="P1443" s="238" t="s">
        <v>5276</v>
      </c>
      <c r="Q1443" s="1" t="s">
        <v>5219</v>
      </c>
      <c r="R1443" s="239" t="s">
        <v>4681</v>
      </c>
      <c r="S1443" s="238" t="s">
        <v>4682</v>
      </c>
      <c r="T1443" s="238" t="s">
        <v>4683</v>
      </c>
      <c r="U1443" s="238" t="s">
        <v>5286</v>
      </c>
      <c r="V1443" s="238" t="s">
        <v>5287</v>
      </c>
      <c r="W1443" s="236">
        <v>2150</v>
      </c>
      <c r="X1443" s="233">
        <v>41332</v>
      </c>
      <c r="Y1443" s="238" t="s">
        <v>5286</v>
      </c>
      <c r="AA1443" s="282" t="s">
        <v>2158</v>
      </c>
      <c r="AB1443" s="1" t="s">
        <v>1570</v>
      </c>
    </row>
    <row r="1444" spans="1:28">
      <c r="A1444" s="233">
        <v>41332</v>
      </c>
      <c r="B1444" s="1" t="s">
        <v>4678</v>
      </c>
      <c r="C1444" s="1" t="s">
        <v>163</v>
      </c>
      <c r="D1444" s="1" t="s">
        <v>233</v>
      </c>
      <c r="E1444" s="1" t="s">
        <v>187</v>
      </c>
      <c r="F1444" s="1">
        <v>20</v>
      </c>
      <c r="G1444" s="1" t="s">
        <v>172</v>
      </c>
      <c r="H1444" s="234">
        <v>1.83</v>
      </c>
      <c r="I1444" s="235">
        <f t="shared" si="125"/>
        <v>36.6</v>
      </c>
      <c r="K1444" s="250">
        <f>1.54*20</f>
        <v>30.8</v>
      </c>
      <c r="L1444" s="237">
        <v>41332</v>
      </c>
      <c r="M1444" s="1" t="s">
        <v>166</v>
      </c>
      <c r="N1444" s="235">
        <f t="shared" si="117"/>
        <v>36.6</v>
      </c>
      <c r="O1444" s="235">
        <f t="shared" si="123"/>
        <v>0</v>
      </c>
      <c r="P1444" s="238" t="s">
        <v>5276</v>
      </c>
      <c r="Q1444" s="1" t="s">
        <v>5219</v>
      </c>
      <c r="R1444" s="239" t="s">
        <v>4681</v>
      </c>
      <c r="S1444" s="238" t="s">
        <v>4682</v>
      </c>
      <c r="T1444" s="238" t="s">
        <v>4683</v>
      </c>
      <c r="U1444" s="238" t="s">
        <v>5286</v>
      </c>
      <c r="V1444" s="238" t="s">
        <v>5287</v>
      </c>
      <c r="W1444" s="236">
        <v>2150</v>
      </c>
      <c r="X1444" s="233">
        <v>41332</v>
      </c>
      <c r="Y1444" s="238" t="s">
        <v>5286</v>
      </c>
      <c r="AA1444" s="282" t="s">
        <v>2158</v>
      </c>
      <c r="AB1444" s="1" t="s">
        <v>1570</v>
      </c>
    </row>
    <row r="1445" spans="1:28">
      <c r="A1445" s="233">
        <v>41332</v>
      </c>
      <c r="B1445" s="1" t="s">
        <v>4369</v>
      </c>
      <c r="C1445" s="5" t="s">
        <v>163</v>
      </c>
      <c r="D1445" s="1" t="s">
        <v>5311</v>
      </c>
      <c r="E1445" s="1" t="s">
        <v>5278</v>
      </c>
      <c r="F1445" s="1">
        <v>2185</v>
      </c>
      <c r="G1445" s="1" t="s">
        <v>171</v>
      </c>
      <c r="H1445" s="234">
        <v>1.92</v>
      </c>
      <c r="I1445" s="235">
        <f t="shared" si="125"/>
        <v>4195.2</v>
      </c>
      <c r="K1445" s="250">
        <f>1.75*2185</f>
        <v>3823.75</v>
      </c>
      <c r="L1445" s="237">
        <v>41338</v>
      </c>
      <c r="M1445" s="1" t="s">
        <v>166</v>
      </c>
      <c r="N1445" s="235">
        <f t="shared" si="117"/>
        <v>4195.2</v>
      </c>
      <c r="O1445" s="235">
        <f t="shared" si="123"/>
        <v>0</v>
      </c>
      <c r="P1445" s="238" t="s">
        <v>5281</v>
      </c>
      <c r="Q1445" s="1" t="s">
        <v>5307</v>
      </c>
      <c r="R1445" s="239" t="s">
        <v>4372</v>
      </c>
      <c r="S1445" s="238" t="s">
        <v>4373</v>
      </c>
      <c r="T1445" s="238" t="s">
        <v>2256</v>
      </c>
      <c r="U1445" s="238" t="s">
        <v>5306</v>
      </c>
      <c r="V1445" s="238" t="s">
        <v>5305</v>
      </c>
      <c r="W1445" s="236">
        <v>6698.2</v>
      </c>
      <c r="X1445" s="233">
        <v>41332</v>
      </c>
      <c r="Y1445" s="238" t="s">
        <v>5306</v>
      </c>
      <c r="AB1445" s="1" t="s">
        <v>1570</v>
      </c>
    </row>
    <row r="1446" spans="1:28">
      <c r="A1446" s="233">
        <v>41332</v>
      </c>
      <c r="B1446" s="1" t="s">
        <v>4369</v>
      </c>
      <c r="C1446" s="5" t="s">
        <v>163</v>
      </c>
      <c r="D1446" s="1" t="s">
        <v>241</v>
      </c>
      <c r="E1446" s="1">
        <v>6200</v>
      </c>
      <c r="F1446" s="1">
        <v>20</v>
      </c>
      <c r="G1446" s="1" t="s">
        <v>5275</v>
      </c>
      <c r="H1446" s="234">
        <v>46.65</v>
      </c>
      <c r="I1446" s="235">
        <f t="shared" si="125"/>
        <v>933</v>
      </c>
      <c r="K1446" s="250">
        <f>42.5*20</f>
        <v>850</v>
      </c>
      <c r="L1446" s="237">
        <v>41338</v>
      </c>
      <c r="M1446" s="1" t="s">
        <v>166</v>
      </c>
      <c r="N1446" s="235">
        <f t="shared" si="117"/>
        <v>933</v>
      </c>
      <c r="O1446" s="235">
        <f t="shared" si="123"/>
        <v>0</v>
      </c>
      <c r="P1446" s="238" t="s">
        <v>5281</v>
      </c>
      <c r="Q1446" s="1" t="s">
        <v>5307</v>
      </c>
      <c r="R1446" s="239" t="s">
        <v>4372</v>
      </c>
      <c r="S1446" s="238" t="s">
        <v>4373</v>
      </c>
      <c r="T1446" s="238" t="s">
        <v>2256</v>
      </c>
      <c r="U1446" s="238" t="s">
        <v>5306</v>
      </c>
      <c r="V1446" s="238" t="s">
        <v>5305</v>
      </c>
      <c r="W1446" s="236">
        <v>6698.2</v>
      </c>
      <c r="X1446" s="233">
        <v>41332</v>
      </c>
      <c r="Y1446" s="238" t="s">
        <v>5306</v>
      </c>
      <c r="AB1446" s="1" t="s">
        <v>1570</v>
      </c>
    </row>
    <row r="1447" spans="1:28">
      <c r="A1447" s="233">
        <v>41333</v>
      </c>
      <c r="B1447" s="1" t="s">
        <v>1578</v>
      </c>
      <c r="C1447" s="1" t="s">
        <v>7</v>
      </c>
      <c r="D1447" s="5" t="s">
        <v>1672</v>
      </c>
      <c r="E1447" s="1" t="s">
        <v>5334</v>
      </c>
      <c r="F1447" s="1">
        <v>1</v>
      </c>
      <c r="G1447" s="1" t="s">
        <v>5335</v>
      </c>
      <c r="H1447" s="234">
        <v>72</v>
      </c>
      <c r="I1447" s="235">
        <f t="shared" si="125"/>
        <v>72</v>
      </c>
      <c r="K1447" s="250">
        <f>70*1</f>
        <v>70</v>
      </c>
      <c r="L1447" s="237">
        <v>41361</v>
      </c>
      <c r="M1447" s="1" t="s">
        <v>167</v>
      </c>
      <c r="N1447" s="235">
        <f t="shared" si="117"/>
        <v>72</v>
      </c>
      <c r="O1447" s="235">
        <f t="shared" si="123"/>
        <v>0</v>
      </c>
      <c r="P1447" s="238" t="s">
        <v>5337</v>
      </c>
      <c r="Q1447" s="1" t="s">
        <v>1580</v>
      </c>
      <c r="R1447" s="239" t="s">
        <v>1579</v>
      </c>
      <c r="S1447" s="238">
        <v>13368068212</v>
      </c>
      <c r="T1447" s="238" t="s">
        <v>168</v>
      </c>
      <c r="U1447" s="238" t="s">
        <v>168</v>
      </c>
      <c r="V1447" s="238" t="s">
        <v>5574</v>
      </c>
      <c r="W1447" s="236">
        <v>18072</v>
      </c>
      <c r="X1447" s="233">
        <v>41347</v>
      </c>
      <c r="Y1447" s="238" t="s">
        <v>3895</v>
      </c>
      <c r="AB1447" s="1" t="s">
        <v>1570</v>
      </c>
    </row>
    <row r="1448" spans="1:28">
      <c r="A1448" s="233">
        <v>41333</v>
      </c>
      <c r="B1448" s="1" t="s">
        <v>5160</v>
      </c>
      <c r="C1448" s="5" t="s">
        <v>163</v>
      </c>
      <c r="D1448" s="1" t="s">
        <v>1216</v>
      </c>
      <c r="E1448" s="1">
        <v>3200</v>
      </c>
      <c r="F1448" s="1">
        <v>100</v>
      </c>
      <c r="G1448" s="1" t="s">
        <v>171</v>
      </c>
      <c r="H1448" s="234">
        <v>26.81</v>
      </c>
      <c r="I1448" s="235">
        <f t="shared" si="125"/>
        <v>2681</v>
      </c>
      <c r="K1448" s="250">
        <f>23.94*100</f>
        <v>2394</v>
      </c>
      <c r="L1448" s="237">
        <v>41333</v>
      </c>
      <c r="M1448" s="1" t="s">
        <v>166</v>
      </c>
      <c r="N1448" s="235">
        <f t="shared" si="117"/>
        <v>2681</v>
      </c>
      <c r="O1448" s="235">
        <f t="shared" si="123"/>
        <v>0</v>
      </c>
      <c r="P1448" s="238" t="s">
        <v>5337</v>
      </c>
      <c r="Q1448" s="1" t="s">
        <v>5356</v>
      </c>
      <c r="R1448" s="239" t="s">
        <v>5162</v>
      </c>
      <c r="S1448" s="238" t="s">
        <v>5163</v>
      </c>
      <c r="T1448" s="238" t="s">
        <v>2252</v>
      </c>
      <c r="U1448" s="238" t="s">
        <v>5471</v>
      </c>
      <c r="V1448" s="238" t="s">
        <v>176</v>
      </c>
      <c r="W1448" s="236" t="s">
        <v>5358</v>
      </c>
      <c r="X1448" s="233" t="s">
        <v>5358</v>
      </c>
      <c r="Y1448" s="239" t="s">
        <v>5358</v>
      </c>
      <c r="AB1448" s="1" t="s">
        <v>1570</v>
      </c>
    </row>
    <row r="1449" spans="1:28">
      <c r="A1449" s="233">
        <v>41333</v>
      </c>
      <c r="B1449" s="1" t="s">
        <v>5160</v>
      </c>
      <c r="C1449" s="5" t="s">
        <v>163</v>
      </c>
      <c r="D1449" s="5" t="s">
        <v>348</v>
      </c>
      <c r="E1449" s="1">
        <v>3700</v>
      </c>
      <c r="F1449" s="1">
        <v>100</v>
      </c>
      <c r="G1449" s="1" t="s">
        <v>171</v>
      </c>
      <c r="H1449" s="234">
        <v>3.46</v>
      </c>
      <c r="I1449" s="235">
        <f t="shared" si="125"/>
        <v>346</v>
      </c>
      <c r="K1449" s="250">
        <f>3.09*100</f>
        <v>309</v>
      </c>
      <c r="L1449" s="237">
        <v>41333</v>
      </c>
      <c r="M1449" s="1" t="s">
        <v>166</v>
      </c>
      <c r="N1449" s="235">
        <f t="shared" si="117"/>
        <v>346</v>
      </c>
      <c r="O1449" s="235">
        <f t="shared" si="123"/>
        <v>0</v>
      </c>
      <c r="P1449" s="238" t="s">
        <v>5337</v>
      </c>
      <c r="Q1449" s="1" t="s">
        <v>5356</v>
      </c>
      <c r="R1449" s="239" t="s">
        <v>5162</v>
      </c>
      <c r="S1449" s="238" t="s">
        <v>5163</v>
      </c>
      <c r="T1449" s="238" t="s">
        <v>2252</v>
      </c>
      <c r="U1449" s="238" t="s">
        <v>5471</v>
      </c>
      <c r="V1449" s="238" t="s">
        <v>176</v>
      </c>
      <c r="W1449" s="236" t="s">
        <v>5358</v>
      </c>
      <c r="X1449" s="233" t="s">
        <v>5358</v>
      </c>
      <c r="Y1449" s="239" t="s">
        <v>5358</v>
      </c>
      <c r="AB1449" s="1" t="s">
        <v>1570</v>
      </c>
    </row>
    <row r="1450" spans="1:28">
      <c r="A1450" s="233">
        <v>41333</v>
      </c>
      <c r="B1450" s="1" t="s">
        <v>5160</v>
      </c>
      <c r="C1450" s="5" t="s">
        <v>163</v>
      </c>
      <c r="D1450" s="5" t="s">
        <v>183</v>
      </c>
      <c r="E1450" s="1" t="s">
        <v>187</v>
      </c>
      <c r="F1450" s="1">
        <v>100</v>
      </c>
      <c r="G1450" s="1" t="s">
        <v>172</v>
      </c>
      <c r="H1450" s="234">
        <v>1.73</v>
      </c>
      <c r="I1450" s="235">
        <f t="shared" si="125"/>
        <v>173</v>
      </c>
      <c r="K1450" s="250">
        <f>1.54*100</f>
        <v>154</v>
      </c>
      <c r="L1450" s="237">
        <v>41333</v>
      </c>
      <c r="M1450" s="1" t="s">
        <v>166</v>
      </c>
      <c r="N1450" s="235">
        <f t="shared" si="117"/>
        <v>173</v>
      </c>
      <c r="O1450" s="235">
        <f t="shared" si="123"/>
        <v>0</v>
      </c>
      <c r="P1450" s="238" t="s">
        <v>5337</v>
      </c>
      <c r="Q1450" s="1" t="s">
        <v>5356</v>
      </c>
      <c r="R1450" s="239" t="s">
        <v>5162</v>
      </c>
      <c r="S1450" s="238" t="s">
        <v>5163</v>
      </c>
      <c r="T1450" s="238" t="s">
        <v>2252</v>
      </c>
      <c r="U1450" s="238" t="s">
        <v>5472</v>
      </c>
      <c r="V1450" s="238" t="s">
        <v>176</v>
      </c>
      <c r="W1450" s="236" t="s">
        <v>5358</v>
      </c>
      <c r="X1450" s="233" t="s">
        <v>5358</v>
      </c>
      <c r="Y1450" s="239" t="s">
        <v>5358</v>
      </c>
      <c r="AB1450" s="1" t="s">
        <v>1570</v>
      </c>
    </row>
    <row r="1451" spans="1:28">
      <c r="A1451" s="233">
        <v>41333</v>
      </c>
      <c r="B1451" s="1" t="s">
        <v>3410</v>
      </c>
      <c r="C1451" s="1" t="s">
        <v>163</v>
      </c>
      <c r="D1451" s="1" t="s">
        <v>5221</v>
      </c>
      <c r="E1451" s="1">
        <v>2076</v>
      </c>
      <c r="F1451" s="1">
        <v>200</v>
      </c>
      <c r="G1451" s="1" t="s">
        <v>5222</v>
      </c>
      <c r="H1451" s="234">
        <v>13.23</v>
      </c>
      <c r="I1451" s="235">
        <f>F1451*H1451</f>
        <v>2646</v>
      </c>
      <c r="K1451" s="250">
        <f>11*200</f>
        <v>2200</v>
      </c>
      <c r="L1451" s="237">
        <v>41330</v>
      </c>
      <c r="M1451" s="1" t="s">
        <v>5232</v>
      </c>
      <c r="N1451" s="235">
        <f t="shared" si="117"/>
        <v>2646</v>
      </c>
      <c r="O1451" s="235">
        <f t="shared" si="123"/>
        <v>0</v>
      </c>
      <c r="P1451" s="238" t="s">
        <v>5338</v>
      </c>
      <c r="Q1451" s="1" t="s">
        <v>4284</v>
      </c>
      <c r="R1451" s="239" t="s">
        <v>5413</v>
      </c>
      <c r="S1451" s="238" t="s">
        <v>3412</v>
      </c>
      <c r="T1451" s="238" t="s">
        <v>3200</v>
      </c>
      <c r="U1451" s="238" t="s">
        <v>5349</v>
      </c>
      <c r="V1451" s="238" t="s">
        <v>6070</v>
      </c>
      <c r="W1451" s="236">
        <v>6912</v>
      </c>
      <c r="X1451" s="233">
        <v>41371</v>
      </c>
      <c r="Y1451" s="238" t="s">
        <v>6071</v>
      </c>
      <c r="AB1451" s="1" t="s">
        <v>2183</v>
      </c>
    </row>
    <row r="1452" spans="1:28">
      <c r="A1452" s="233">
        <v>41333</v>
      </c>
      <c r="B1452" s="136" t="s">
        <v>4091</v>
      </c>
      <c r="C1452" s="1" t="s">
        <v>163</v>
      </c>
      <c r="D1452" s="1" t="s">
        <v>1219</v>
      </c>
      <c r="E1452" s="1" t="s">
        <v>179</v>
      </c>
      <c r="F1452" s="1">
        <v>10</v>
      </c>
      <c r="G1452" s="1" t="s">
        <v>173</v>
      </c>
      <c r="H1452" s="234">
        <v>18</v>
      </c>
      <c r="I1452" s="235">
        <f t="shared" ref="I1452:I1461" si="126">F1452*H1452</f>
        <v>180</v>
      </c>
      <c r="K1452" s="250">
        <f>12.6*10</f>
        <v>126</v>
      </c>
      <c r="L1452" s="237">
        <v>41373</v>
      </c>
      <c r="M1452" s="1" t="s">
        <v>167</v>
      </c>
      <c r="N1452" s="235">
        <f t="shared" si="117"/>
        <v>180</v>
      </c>
      <c r="O1452" s="235">
        <f t="shared" si="123"/>
        <v>0</v>
      </c>
      <c r="P1452" s="238" t="s">
        <v>5343</v>
      </c>
      <c r="Q1452" s="1" t="s">
        <v>2529</v>
      </c>
      <c r="R1452" s="239" t="s">
        <v>4618</v>
      </c>
      <c r="S1452" s="238" t="s">
        <v>4619</v>
      </c>
      <c r="T1452" s="238" t="s">
        <v>4225</v>
      </c>
      <c r="U1452" s="238" t="s">
        <v>5388</v>
      </c>
      <c r="V1452" s="238" t="s">
        <v>5740</v>
      </c>
      <c r="W1452" s="236">
        <v>14440</v>
      </c>
      <c r="X1452" s="233">
        <v>41354</v>
      </c>
      <c r="Y1452" s="238" t="s">
        <v>5741</v>
      </c>
      <c r="AB1452" s="1" t="s">
        <v>2079</v>
      </c>
    </row>
    <row r="1453" spans="1:28">
      <c r="A1453" s="233">
        <v>41333</v>
      </c>
      <c r="B1453" s="136" t="s">
        <v>4091</v>
      </c>
      <c r="C1453" s="1" t="s">
        <v>163</v>
      </c>
      <c r="D1453" s="1" t="s">
        <v>2024</v>
      </c>
      <c r="E1453" s="1">
        <v>10434</v>
      </c>
      <c r="F1453" s="1">
        <v>100</v>
      </c>
      <c r="G1453" s="1" t="s">
        <v>173</v>
      </c>
      <c r="H1453" s="234">
        <v>21.5</v>
      </c>
      <c r="I1453" s="235">
        <f t="shared" si="126"/>
        <v>2150</v>
      </c>
      <c r="K1453" s="250">
        <f>14.2*100</f>
        <v>1420</v>
      </c>
      <c r="L1453" s="237">
        <v>41373</v>
      </c>
      <c r="M1453" s="1" t="s">
        <v>167</v>
      </c>
      <c r="N1453" s="235">
        <f t="shared" si="117"/>
        <v>2150</v>
      </c>
      <c r="O1453" s="235">
        <f t="shared" si="123"/>
        <v>0</v>
      </c>
      <c r="P1453" s="238" t="s">
        <v>5343</v>
      </c>
      <c r="Q1453" s="1" t="s">
        <v>2529</v>
      </c>
      <c r="R1453" s="239" t="s">
        <v>4618</v>
      </c>
      <c r="S1453" s="238" t="s">
        <v>4619</v>
      </c>
      <c r="T1453" s="238" t="s">
        <v>4225</v>
      </c>
      <c r="U1453" s="238" t="s">
        <v>5388</v>
      </c>
      <c r="V1453" s="238" t="s">
        <v>5740</v>
      </c>
      <c r="W1453" s="236">
        <v>14440</v>
      </c>
      <c r="X1453" s="233">
        <v>41354</v>
      </c>
      <c r="Y1453" s="238" t="s">
        <v>5741</v>
      </c>
      <c r="AB1453" s="1" t="s">
        <v>2079</v>
      </c>
    </row>
    <row r="1454" spans="1:28">
      <c r="A1454" s="233">
        <v>41333</v>
      </c>
      <c r="B1454" s="136" t="s">
        <v>4091</v>
      </c>
      <c r="C1454" s="1" t="s">
        <v>163</v>
      </c>
      <c r="D1454" s="5" t="s">
        <v>1726</v>
      </c>
      <c r="E1454" s="1">
        <v>10435</v>
      </c>
      <c r="F1454" s="1">
        <v>20</v>
      </c>
      <c r="G1454" s="1" t="s">
        <v>173</v>
      </c>
      <c r="H1454" s="234">
        <v>21.5</v>
      </c>
      <c r="I1454" s="235">
        <f t="shared" si="126"/>
        <v>430</v>
      </c>
      <c r="K1454" s="282">
        <f>14.8*20</f>
        <v>296</v>
      </c>
      <c r="L1454" s="237">
        <v>41373</v>
      </c>
      <c r="M1454" s="1" t="s">
        <v>167</v>
      </c>
      <c r="N1454" s="235">
        <f t="shared" si="117"/>
        <v>430</v>
      </c>
      <c r="O1454" s="235">
        <f t="shared" si="123"/>
        <v>0</v>
      </c>
      <c r="P1454" s="238" t="s">
        <v>5343</v>
      </c>
      <c r="Q1454" s="1" t="s">
        <v>2529</v>
      </c>
      <c r="R1454" s="239" t="s">
        <v>4618</v>
      </c>
      <c r="S1454" s="238" t="s">
        <v>4619</v>
      </c>
      <c r="T1454" s="238" t="s">
        <v>4225</v>
      </c>
      <c r="U1454" s="238" t="s">
        <v>5388</v>
      </c>
      <c r="V1454" s="238" t="s">
        <v>5740</v>
      </c>
      <c r="W1454" s="236">
        <v>14440</v>
      </c>
      <c r="X1454" s="233">
        <v>41354</v>
      </c>
      <c r="Y1454" s="238" t="s">
        <v>5741</v>
      </c>
      <c r="Z1454" s="255" t="s">
        <v>185</v>
      </c>
      <c r="AB1454" s="1" t="s">
        <v>2079</v>
      </c>
    </row>
    <row r="1455" spans="1:28">
      <c r="A1455" s="233">
        <v>41333</v>
      </c>
      <c r="B1455" s="136" t="s">
        <v>4091</v>
      </c>
      <c r="C1455" s="1" t="s">
        <v>163</v>
      </c>
      <c r="D1455" s="1" t="s">
        <v>5341</v>
      </c>
      <c r="E1455" s="1" t="s">
        <v>5340</v>
      </c>
      <c r="F1455" s="1">
        <v>200</v>
      </c>
      <c r="G1455" s="1" t="s">
        <v>173</v>
      </c>
      <c r="H1455" s="234">
        <v>6</v>
      </c>
      <c r="I1455" s="235">
        <f t="shared" si="126"/>
        <v>1200</v>
      </c>
      <c r="K1455" s="250">
        <f>4*200</f>
        <v>800</v>
      </c>
      <c r="L1455" s="237">
        <v>41373</v>
      </c>
      <c r="M1455" s="1" t="s">
        <v>167</v>
      </c>
      <c r="N1455" s="235">
        <f t="shared" si="117"/>
        <v>1200</v>
      </c>
      <c r="O1455" s="235">
        <f t="shared" si="123"/>
        <v>0</v>
      </c>
      <c r="P1455" s="238" t="s">
        <v>5343</v>
      </c>
      <c r="Q1455" s="1" t="s">
        <v>2529</v>
      </c>
      <c r="R1455" s="239" t="s">
        <v>4618</v>
      </c>
      <c r="S1455" s="238" t="s">
        <v>4619</v>
      </c>
      <c r="T1455" s="238" t="s">
        <v>4225</v>
      </c>
      <c r="U1455" s="238" t="s">
        <v>5388</v>
      </c>
      <c r="V1455" s="238" t="s">
        <v>5740</v>
      </c>
      <c r="W1455" s="236">
        <v>14440</v>
      </c>
      <c r="X1455" s="233">
        <v>41354</v>
      </c>
      <c r="Y1455" s="238" t="s">
        <v>5741</v>
      </c>
      <c r="AB1455" s="1" t="s">
        <v>2079</v>
      </c>
    </row>
    <row r="1456" spans="1:28">
      <c r="A1456" s="233">
        <v>41333</v>
      </c>
      <c r="B1456" s="136" t="s">
        <v>4091</v>
      </c>
      <c r="C1456" s="1" t="s">
        <v>163</v>
      </c>
      <c r="D1456" s="5" t="s">
        <v>2029</v>
      </c>
      <c r="E1456" s="1">
        <v>7502</v>
      </c>
      <c r="F1456" s="1">
        <v>30</v>
      </c>
      <c r="G1456" s="1" t="s">
        <v>171</v>
      </c>
      <c r="H1456" s="234">
        <v>182</v>
      </c>
      <c r="I1456" s="235">
        <f t="shared" si="126"/>
        <v>5460</v>
      </c>
      <c r="K1456" s="250">
        <f>122.8*30</f>
        <v>3684</v>
      </c>
      <c r="L1456" s="237">
        <v>41373</v>
      </c>
      <c r="M1456" s="1" t="s">
        <v>167</v>
      </c>
      <c r="N1456" s="235">
        <f t="shared" si="117"/>
        <v>5460</v>
      </c>
      <c r="O1456" s="235">
        <f t="shared" si="123"/>
        <v>0</v>
      </c>
      <c r="P1456" s="238" t="s">
        <v>5343</v>
      </c>
      <c r="Q1456" s="1" t="s">
        <v>2529</v>
      </c>
      <c r="R1456" s="239" t="s">
        <v>4618</v>
      </c>
      <c r="S1456" s="238" t="s">
        <v>4619</v>
      </c>
      <c r="T1456" s="238" t="s">
        <v>4225</v>
      </c>
      <c r="U1456" s="238" t="s">
        <v>5388</v>
      </c>
      <c r="V1456" s="238" t="s">
        <v>5740</v>
      </c>
      <c r="W1456" s="236">
        <v>14440</v>
      </c>
      <c r="X1456" s="233">
        <v>41354</v>
      </c>
      <c r="Y1456" s="238" t="s">
        <v>5741</v>
      </c>
      <c r="AB1456" s="1" t="s">
        <v>2079</v>
      </c>
    </row>
    <row r="1457" spans="1:28">
      <c r="A1457" s="233">
        <v>41333</v>
      </c>
      <c r="B1457" s="136" t="s">
        <v>4091</v>
      </c>
      <c r="C1457" s="1" t="s">
        <v>163</v>
      </c>
      <c r="D1457" s="5" t="s">
        <v>1281</v>
      </c>
      <c r="E1457" s="318" t="s">
        <v>1859</v>
      </c>
      <c r="F1457" s="1">
        <v>100</v>
      </c>
      <c r="G1457" s="1" t="s">
        <v>171</v>
      </c>
      <c r="H1457" s="234">
        <v>40.6</v>
      </c>
      <c r="I1457" s="235">
        <f t="shared" si="126"/>
        <v>4060</v>
      </c>
      <c r="K1457" s="250">
        <f>24.2*100</f>
        <v>2420</v>
      </c>
      <c r="L1457" s="237">
        <v>41373</v>
      </c>
      <c r="M1457" s="1" t="s">
        <v>167</v>
      </c>
      <c r="N1457" s="235">
        <f t="shared" si="117"/>
        <v>4060</v>
      </c>
      <c r="O1457" s="235">
        <f t="shared" si="123"/>
        <v>0</v>
      </c>
      <c r="P1457" s="238" t="s">
        <v>5343</v>
      </c>
      <c r="Q1457" s="1" t="s">
        <v>2529</v>
      </c>
      <c r="R1457" s="239" t="s">
        <v>4618</v>
      </c>
      <c r="S1457" s="238" t="s">
        <v>4619</v>
      </c>
      <c r="T1457" s="238" t="s">
        <v>4225</v>
      </c>
      <c r="U1457" s="238" t="s">
        <v>5388</v>
      </c>
      <c r="V1457" s="238" t="s">
        <v>5740</v>
      </c>
      <c r="W1457" s="236">
        <v>14440</v>
      </c>
      <c r="X1457" s="233">
        <v>41354</v>
      </c>
      <c r="Y1457" s="238" t="s">
        <v>5741</v>
      </c>
      <c r="AB1457" s="1" t="s">
        <v>2079</v>
      </c>
    </row>
    <row r="1458" spans="1:28">
      <c r="A1458" s="233">
        <v>41333</v>
      </c>
      <c r="B1458" s="136" t="s">
        <v>4091</v>
      </c>
      <c r="C1458" s="1" t="s">
        <v>163</v>
      </c>
      <c r="D1458" s="1" t="s">
        <v>1216</v>
      </c>
      <c r="E1458" s="1">
        <v>3200</v>
      </c>
      <c r="F1458" s="1">
        <v>20</v>
      </c>
      <c r="G1458" s="1" t="s">
        <v>171</v>
      </c>
      <c r="H1458" s="234">
        <v>35</v>
      </c>
      <c r="I1458" s="235">
        <f t="shared" si="126"/>
        <v>700</v>
      </c>
      <c r="K1458" s="250">
        <f>23.94*20</f>
        <v>478.8</v>
      </c>
      <c r="L1458" s="237">
        <v>41373</v>
      </c>
      <c r="M1458" s="1" t="s">
        <v>167</v>
      </c>
      <c r="N1458" s="235">
        <f t="shared" si="117"/>
        <v>700</v>
      </c>
      <c r="O1458" s="235">
        <f t="shared" si="123"/>
        <v>0</v>
      </c>
      <c r="P1458" s="238" t="s">
        <v>5344</v>
      </c>
      <c r="Q1458" s="1" t="s">
        <v>2529</v>
      </c>
      <c r="R1458" s="239" t="s">
        <v>4618</v>
      </c>
      <c r="S1458" s="238" t="s">
        <v>4619</v>
      </c>
      <c r="T1458" s="238" t="s">
        <v>4225</v>
      </c>
      <c r="U1458" s="238" t="s">
        <v>5388</v>
      </c>
      <c r="V1458" s="238" t="s">
        <v>5740</v>
      </c>
      <c r="W1458" s="236">
        <v>14440</v>
      </c>
      <c r="X1458" s="233">
        <v>41354</v>
      </c>
      <c r="Y1458" s="238" t="s">
        <v>5741</v>
      </c>
      <c r="AB1458" s="1" t="s">
        <v>2079</v>
      </c>
    </row>
    <row r="1459" spans="1:28">
      <c r="A1459" s="233">
        <v>41333</v>
      </c>
      <c r="B1459" s="136" t="s">
        <v>4091</v>
      </c>
      <c r="C1459" s="219" t="s">
        <v>5254</v>
      </c>
      <c r="D1459" s="318" t="s">
        <v>5255</v>
      </c>
      <c r="E1459" s="318" t="s">
        <v>5251</v>
      </c>
      <c r="F1459" s="1">
        <v>10</v>
      </c>
      <c r="G1459" s="1" t="s">
        <v>5345</v>
      </c>
      <c r="H1459" s="234">
        <v>26</v>
      </c>
      <c r="I1459" s="235">
        <f t="shared" si="126"/>
        <v>260</v>
      </c>
      <c r="K1459" s="250">
        <f>20.5*10</f>
        <v>205</v>
      </c>
      <c r="L1459" s="237">
        <v>41373</v>
      </c>
      <c r="M1459" s="1" t="s">
        <v>167</v>
      </c>
      <c r="N1459" s="235">
        <f t="shared" si="117"/>
        <v>260</v>
      </c>
      <c r="O1459" s="235">
        <f t="shared" si="123"/>
        <v>0</v>
      </c>
      <c r="P1459" s="238" t="s">
        <v>5344</v>
      </c>
      <c r="Q1459" s="1" t="s">
        <v>2529</v>
      </c>
      <c r="R1459" s="239" t="s">
        <v>4618</v>
      </c>
      <c r="S1459" s="238" t="s">
        <v>4619</v>
      </c>
      <c r="T1459" s="238" t="s">
        <v>4225</v>
      </c>
      <c r="U1459" s="238" t="s">
        <v>5388</v>
      </c>
      <c r="V1459" s="238" t="s">
        <v>5740</v>
      </c>
      <c r="W1459" s="236">
        <v>14440</v>
      </c>
      <c r="X1459" s="233">
        <v>41354</v>
      </c>
      <c r="Y1459" s="238" t="s">
        <v>5741</v>
      </c>
      <c r="AB1459" s="1" t="s">
        <v>2079</v>
      </c>
    </row>
    <row r="1460" spans="1:28">
      <c r="A1460" s="233">
        <v>41334</v>
      </c>
      <c r="B1460" s="136" t="s">
        <v>6018</v>
      </c>
      <c r="C1460" s="1" t="s">
        <v>163</v>
      </c>
      <c r="D1460" s="1" t="s">
        <v>241</v>
      </c>
      <c r="E1460" s="318">
        <v>6200</v>
      </c>
      <c r="F1460" s="1">
        <v>2</v>
      </c>
      <c r="G1460" s="1" t="s">
        <v>5348</v>
      </c>
      <c r="H1460" s="234">
        <v>61.5</v>
      </c>
      <c r="I1460" s="235">
        <f t="shared" si="126"/>
        <v>123</v>
      </c>
      <c r="K1460" s="250">
        <f>42.5*1+44.5*1</f>
        <v>87</v>
      </c>
      <c r="N1460" s="235">
        <v>0</v>
      </c>
      <c r="O1460" s="235">
        <f t="shared" si="123"/>
        <v>123</v>
      </c>
      <c r="P1460" s="238" t="s">
        <v>5350</v>
      </c>
      <c r="Q1460" s="1" t="s">
        <v>5354</v>
      </c>
      <c r="R1460" s="239" t="s">
        <v>5352</v>
      </c>
      <c r="S1460" s="238" t="s">
        <v>5353</v>
      </c>
      <c r="T1460" s="238" t="s">
        <v>5351</v>
      </c>
      <c r="U1460" s="238" t="s">
        <v>5355</v>
      </c>
      <c r="V1460" s="238" t="s">
        <v>6019</v>
      </c>
      <c r="W1460" s="236">
        <v>3653</v>
      </c>
      <c r="X1460" s="233">
        <v>41366</v>
      </c>
      <c r="Y1460" s="238" t="s">
        <v>6020</v>
      </c>
      <c r="AB1460" s="1" t="s">
        <v>2079</v>
      </c>
    </row>
    <row r="1461" spans="1:28">
      <c r="A1461" s="233">
        <v>41334</v>
      </c>
      <c r="B1461" s="136" t="s">
        <v>6018</v>
      </c>
      <c r="C1461" s="1" t="s">
        <v>163</v>
      </c>
      <c r="D1461" s="5" t="s">
        <v>1895</v>
      </c>
      <c r="E1461" s="318" t="s">
        <v>5347</v>
      </c>
      <c r="F1461" s="1">
        <v>10</v>
      </c>
      <c r="G1461" s="1" t="s">
        <v>5348</v>
      </c>
      <c r="H1461" s="234">
        <v>24.5</v>
      </c>
      <c r="I1461" s="235">
        <f t="shared" si="126"/>
        <v>245</v>
      </c>
      <c r="K1461" s="250">
        <f>16.5*4+18.37*6</f>
        <v>176.22</v>
      </c>
      <c r="N1461" s="235">
        <v>0</v>
      </c>
      <c r="O1461" s="235">
        <f t="shared" si="123"/>
        <v>245</v>
      </c>
      <c r="P1461" s="238" t="s">
        <v>5350</v>
      </c>
      <c r="Q1461" s="1" t="s">
        <v>5354</v>
      </c>
      <c r="R1461" s="239" t="s">
        <v>5352</v>
      </c>
      <c r="S1461" s="238" t="s">
        <v>5353</v>
      </c>
      <c r="T1461" s="238" t="s">
        <v>5351</v>
      </c>
      <c r="U1461" s="238" t="s">
        <v>5355</v>
      </c>
      <c r="V1461" s="238" t="s">
        <v>6019</v>
      </c>
      <c r="W1461" s="236">
        <v>3653</v>
      </c>
      <c r="X1461" s="233">
        <v>41366</v>
      </c>
      <c r="Y1461" s="238" t="s">
        <v>6020</v>
      </c>
      <c r="AB1461" s="1" t="s">
        <v>2079</v>
      </c>
    </row>
    <row r="1462" spans="1:28">
      <c r="A1462" s="233">
        <v>41334</v>
      </c>
      <c r="B1462" s="1" t="s">
        <v>5280</v>
      </c>
      <c r="C1462" s="5" t="s">
        <v>163</v>
      </c>
      <c r="D1462" s="1" t="s">
        <v>1774</v>
      </c>
      <c r="E1462" s="1">
        <v>1860</v>
      </c>
      <c r="F1462" s="1">
        <v>120</v>
      </c>
      <c r="G1462" s="1" t="s">
        <v>5275</v>
      </c>
      <c r="H1462" s="234">
        <v>15</v>
      </c>
      <c r="I1462" s="235">
        <f t="shared" ref="I1462:I1468" si="127">F1462*H1462</f>
        <v>1800</v>
      </c>
      <c r="K1462" s="250">
        <f>9.5*120</f>
        <v>1140</v>
      </c>
      <c r="L1462" s="237">
        <v>41332</v>
      </c>
      <c r="M1462" s="1" t="s">
        <v>166</v>
      </c>
      <c r="N1462" s="235">
        <f t="shared" si="117"/>
        <v>1800</v>
      </c>
      <c r="O1462" s="235">
        <f>I1462-N1462</f>
        <v>0</v>
      </c>
      <c r="P1462" s="238" t="s">
        <v>5358</v>
      </c>
      <c r="Q1462" s="1" t="s">
        <v>5369</v>
      </c>
      <c r="R1462" s="239" t="s">
        <v>5371</v>
      </c>
      <c r="S1462" s="238" t="s">
        <v>5282</v>
      </c>
      <c r="T1462" s="238" t="s">
        <v>5370</v>
      </c>
      <c r="U1462" s="238" t="s">
        <v>5372</v>
      </c>
      <c r="AB1462" s="1" t="s">
        <v>1570</v>
      </c>
    </row>
    <row r="1463" spans="1:28">
      <c r="A1463" s="233">
        <v>41334</v>
      </c>
      <c r="B1463" s="1" t="s">
        <v>2127</v>
      </c>
      <c r="C1463" s="1" t="s">
        <v>163</v>
      </c>
      <c r="D1463" s="5" t="s">
        <v>1892</v>
      </c>
      <c r="E1463" s="5" t="s">
        <v>3623</v>
      </c>
      <c r="F1463" s="1">
        <v>1</v>
      </c>
      <c r="G1463" s="1" t="s">
        <v>5360</v>
      </c>
      <c r="H1463" s="234">
        <v>25.3</v>
      </c>
      <c r="I1463" s="235">
        <f t="shared" si="127"/>
        <v>25.3</v>
      </c>
      <c r="K1463" s="282">
        <f>22.8*1</f>
        <v>22.8</v>
      </c>
      <c r="L1463" s="237">
        <v>41250</v>
      </c>
      <c r="M1463" s="1" t="s">
        <v>166</v>
      </c>
      <c r="N1463" s="235">
        <f t="shared" si="117"/>
        <v>25.3</v>
      </c>
      <c r="O1463" s="235">
        <f t="shared" ref="O1463:O1466" si="128">I1463-N1463</f>
        <v>0</v>
      </c>
      <c r="P1463" s="238" t="s">
        <v>5364</v>
      </c>
      <c r="Q1463" s="1" t="s">
        <v>5457</v>
      </c>
      <c r="R1463" s="239" t="s">
        <v>416</v>
      </c>
      <c r="S1463" s="238" t="s">
        <v>417</v>
      </c>
      <c r="T1463" s="238" t="s">
        <v>3817</v>
      </c>
      <c r="U1463" s="238" t="s">
        <v>5458</v>
      </c>
      <c r="V1463" s="246" t="s">
        <v>176</v>
      </c>
      <c r="Z1463" s="255" t="s">
        <v>6079</v>
      </c>
      <c r="AB1463" s="1" t="s">
        <v>1570</v>
      </c>
    </row>
    <row r="1464" spans="1:28">
      <c r="A1464" s="233">
        <v>41334</v>
      </c>
      <c r="B1464" s="1" t="s">
        <v>2127</v>
      </c>
      <c r="C1464" s="1" t="s">
        <v>163</v>
      </c>
      <c r="D1464" s="5" t="s">
        <v>1893</v>
      </c>
      <c r="E1464" s="5" t="s">
        <v>3623</v>
      </c>
      <c r="F1464" s="1">
        <v>4</v>
      </c>
      <c r="G1464" s="1" t="s">
        <v>5360</v>
      </c>
      <c r="H1464" s="234">
        <v>25.3</v>
      </c>
      <c r="I1464" s="235">
        <f t="shared" si="127"/>
        <v>101.2</v>
      </c>
      <c r="K1464" s="282">
        <f>22.8*4</f>
        <v>91.2</v>
      </c>
      <c r="L1464" s="237">
        <v>41250</v>
      </c>
      <c r="M1464" s="1" t="s">
        <v>166</v>
      </c>
      <c r="N1464" s="235">
        <f t="shared" si="117"/>
        <v>101.2</v>
      </c>
      <c r="O1464" s="235">
        <f t="shared" si="128"/>
        <v>0</v>
      </c>
      <c r="P1464" s="238" t="s">
        <v>5364</v>
      </c>
      <c r="Q1464" s="1" t="s">
        <v>5457</v>
      </c>
      <c r="R1464" s="239" t="s">
        <v>416</v>
      </c>
      <c r="S1464" s="238" t="s">
        <v>417</v>
      </c>
      <c r="T1464" s="238" t="s">
        <v>3817</v>
      </c>
      <c r="U1464" s="238" t="s">
        <v>5458</v>
      </c>
      <c r="V1464" s="246" t="s">
        <v>176</v>
      </c>
      <c r="Z1464" s="255" t="s">
        <v>6079</v>
      </c>
      <c r="AB1464" s="1" t="s">
        <v>1570</v>
      </c>
    </row>
    <row r="1465" spans="1:28">
      <c r="A1465" s="233">
        <v>41334</v>
      </c>
      <c r="B1465" s="1" t="s">
        <v>2121</v>
      </c>
      <c r="C1465" s="1" t="s">
        <v>163</v>
      </c>
      <c r="D1465" s="5" t="s">
        <v>1895</v>
      </c>
      <c r="E1465" s="5" t="s">
        <v>5347</v>
      </c>
      <c r="F1465" s="1">
        <v>20</v>
      </c>
      <c r="G1465" s="1" t="s">
        <v>5348</v>
      </c>
      <c r="H1465" s="234">
        <v>20.75</v>
      </c>
      <c r="I1465" s="235">
        <f t="shared" si="127"/>
        <v>415</v>
      </c>
      <c r="K1465" s="250">
        <f>18.37*20</f>
        <v>367.40000000000003</v>
      </c>
      <c r="L1465" s="237">
        <v>41375</v>
      </c>
      <c r="M1465" s="1" t="s">
        <v>166</v>
      </c>
      <c r="N1465" s="235">
        <f t="shared" si="117"/>
        <v>415</v>
      </c>
      <c r="O1465" s="235">
        <f t="shared" si="128"/>
        <v>0</v>
      </c>
      <c r="P1465" s="238" t="s">
        <v>5386</v>
      </c>
      <c r="Q1465" s="1" t="s">
        <v>5457</v>
      </c>
      <c r="R1465" s="239" t="s">
        <v>2493</v>
      </c>
      <c r="S1465" s="238" t="s">
        <v>2119</v>
      </c>
      <c r="T1465" s="238" t="s">
        <v>775</v>
      </c>
      <c r="U1465" s="238" t="s">
        <v>5459</v>
      </c>
      <c r="V1465" s="238" t="s">
        <v>176</v>
      </c>
      <c r="AB1465" s="1" t="s">
        <v>1570</v>
      </c>
    </row>
    <row r="1466" spans="1:28">
      <c r="A1466" s="233">
        <v>41334</v>
      </c>
      <c r="B1466" s="1" t="s">
        <v>2121</v>
      </c>
      <c r="C1466" s="1" t="s">
        <v>163</v>
      </c>
      <c r="D1466" s="1" t="s">
        <v>233</v>
      </c>
      <c r="E1466" s="5" t="s">
        <v>195</v>
      </c>
      <c r="F1466" s="1">
        <v>50</v>
      </c>
      <c r="G1466" s="1" t="s">
        <v>5385</v>
      </c>
      <c r="H1466" s="234">
        <v>5.6</v>
      </c>
      <c r="I1466" s="235">
        <f t="shared" si="127"/>
        <v>280</v>
      </c>
      <c r="K1466" s="250">
        <f>36*4.75+14*4.78</f>
        <v>237.92000000000002</v>
      </c>
      <c r="L1466" s="237">
        <v>41375</v>
      </c>
      <c r="M1466" s="1" t="s">
        <v>166</v>
      </c>
      <c r="N1466" s="235">
        <f t="shared" si="117"/>
        <v>280</v>
      </c>
      <c r="O1466" s="235">
        <f t="shared" si="128"/>
        <v>0</v>
      </c>
      <c r="P1466" s="238" t="s">
        <v>5386</v>
      </c>
      <c r="Q1466" s="1" t="s">
        <v>5457</v>
      </c>
      <c r="R1466" s="239" t="s">
        <v>2493</v>
      </c>
      <c r="S1466" s="238" t="s">
        <v>2119</v>
      </c>
      <c r="T1466" s="238" t="s">
        <v>775</v>
      </c>
      <c r="U1466" s="238" t="s">
        <v>5459</v>
      </c>
      <c r="V1466" s="238" t="s">
        <v>176</v>
      </c>
      <c r="AB1466" s="1" t="s">
        <v>1570</v>
      </c>
    </row>
    <row r="1467" spans="1:28">
      <c r="A1467" s="233">
        <v>41334</v>
      </c>
      <c r="B1467" s="1" t="s">
        <v>5365</v>
      </c>
      <c r="C1467" s="1" t="s">
        <v>163</v>
      </c>
      <c r="D1467" s="65" t="s">
        <v>1575</v>
      </c>
      <c r="E1467" s="1" t="s">
        <v>5366</v>
      </c>
      <c r="F1467" s="1">
        <v>5</v>
      </c>
      <c r="G1467" s="1" t="s">
        <v>5367</v>
      </c>
      <c r="H1467" s="234">
        <v>45</v>
      </c>
      <c r="I1467" s="235">
        <f t="shared" si="127"/>
        <v>225</v>
      </c>
      <c r="K1467" s="250">
        <f>42.939*5</f>
        <v>214.69499999999999</v>
      </c>
      <c r="L1467" s="237">
        <v>41337</v>
      </c>
      <c r="M1467" s="1" t="s">
        <v>5390</v>
      </c>
      <c r="N1467" s="235">
        <f t="shared" si="117"/>
        <v>225</v>
      </c>
      <c r="O1467" s="235">
        <f t="shared" ref="O1467:O1490" si="129">I1467-N1467</f>
        <v>0</v>
      </c>
      <c r="P1467" s="238" t="s">
        <v>5368</v>
      </c>
      <c r="Q1467" s="1" t="s">
        <v>5387</v>
      </c>
      <c r="R1467" s="239" t="s">
        <v>5388</v>
      </c>
      <c r="S1467" s="238" t="s">
        <v>5388</v>
      </c>
      <c r="T1467" s="238" t="s">
        <v>5388</v>
      </c>
      <c r="U1467" s="238" t="s">
        <v>5388</v>
      </c>
      <c r="V1467" s="238" t="s">
        <v>176</v>
      </c>
      <c r="AB1467" s="1" t="s">
        <v>1570</v>
      </c>
    </row>
    <row r="1468" spans="1:28">
      <c r="A1468" s="233">
        <v>41337</v>
      </c>
      <c r="B1468" s="1" t="s">
        <v>5288</v>
      </c>
      <c r="C1468" s="1" t="s">
        <v>163</v>
      </c>
      <c r="D1468" s="1" t="s">
        <v>1216</v>
      </c>
      <c r="E1468" s="1">
        <v>3200</v>
      </c>
      <c r="F1468" s="1">
        <v>60</v>
      </c>
      <c r="G1468" s="1" t="s">
        <v>171</v>
      </c>
      <c r="H1468" s="234">
        <v>26.5</v>
      </c>
      <c r="I1468" s="235">
        <f t="shared" si="127"/>
        <v>1590</v>
      </c>
      <c r="K1468" s="250">
        <f>23.94*60</f>
        <v>1436.4</v>
      </c>
      <c r="L1468" s="237">
        <v>41341</v>
      </c>
      <c r="M1468" s="1" t="s">
        <v>167</v>
      </c>
      <c r="N1468" s="235">
        <f t="shared" si="117"/>
        <v>1590</v>
      </c>
      <c r="O1468" s="235">
        <f t="shared" si="129"/>
        <v>0</v>
      </c>
      <c r="P1468" s="238" t="s">
        <v>5395</v>
      </c>
      <c r="Q1468" s="1" t="s">
        <v>5125</v>
      </c>
      <c r="R1468" s="239" t="s">
        <v>5290</v>
      </c>
      <c r="S1468" s="238" t="s">
        <v>5291</v>
      </c>
      <c r="T1468" s="238" t="s">
        <v>5289</v>
      </c>
      <c r="U1468" s="238" t="s">
        <v>5396</v>
      </c>
      <c r="V1468" s="238" t="s">
        <v>6216</v>
      </c>
      <c r="W1468" s="236">
        <v>41752</v>
      </c>
      <c r="X1468" s="233">
        <v>41376</v>
      </c>
      <c r="Y1468" s="238" t="s">
        <v>6217</v>
      </c>
      <c r="AB1468" s="1" t="s">
        <v>1570</v>
      </c>
    </row>
    <row r="1469" spans="1:28">
      <c r="A1469" s="233">
        <v>41337</v>
      </c>
      <c r="B1469" s="1" t="s">
        <v>5288</v>
      </c>
      <c r="C1469" s="1" t="s">
        <v>163</v>
      </c>
      <c r="D1469" s="5" t="s">
        <v>309</v>
      </c>
      <c r="E1469" s="1">
        <v>1110</v>
      </c>
      <c r="F1469" s="1">
        <v>3000</v>
      </c>
      <c r="G1469" s="1" t="s">
        <v>173</v>
      </c>
      <c r="H1469" s="234">
        <v>0.73</v>
      </c>
      <c r="I1469" s="235">
        <f t="shared" ref="I1469:I1471" si="130">F1469*H1469</f>
        <v>2190</v>
      </c>
      <c r="K1469" s="250">
        <f>0.6*3000</f>
        <v>1800</v>
      </c>
      <c r="L1469" s="237">
        <v>41341</v>
      </c>
      <c r="M1469" s="1" t="s">
        <v>167</v>
      </c>
      <c r="N1469" s="235">
        <f t="shared" si="117"/>
        <v>2190</v>
      </c>
      <c r="O1469" s="235">
        <f t="shared" si="129"/>
        <v>0</v>
      </c>
      <c r="P1469" s="238" t="s">
        <v>5395</v>
      </c>
      <c r="Q1469" s="1" t="s">
        <v>5125</v>
      </c>
      <c r="R1469" s="239" t="s">
        <v>5290</v>
      </c>
      <c r="S1469" s="238" t="s">
        <v>5291</v>
      </c>
      <c r="T1469" s="238" t="s">
        <v>5289</v>
      </c>
      <c r="U1469" s="238" t="s">
        <v>5396</v>
      </c>
      <c r="V1469" s="238" t="s">
        <v>6216</v>
      </c>
      <c r="W1469" s="236">
        <v>41752</v>
      </c>
      <c r="X1469" s="233">
        <v>41376</v>
      </c>
      <c r="Y1469" s="238" t="s">
        <v>6217</v>
      </c>
      <c r="AB1469" s="1" t="s">
        <v>1570</v>
      </c>
    </row>
    <row r="1470" spans="1:28">
      <c r="A1470" s="233">
        <v>41338</v>
      </c>
      <c r="B1470" s="1" t="s">
        <v>2331</v>
      </c>
      <c r="C1470" s="1" t="s">
        <v>163</v>
      </c>
      <c r="D1470" s="5" t="s">
        <v>2026</v>
      </c>
      <c r="E1470" s="1" t="s">
        <v>5394</v>
      </c>
      <c r="F1470" s="1">
        <v>10000</v>
      </c>
      <c r="G1470" s="1" t="s">
        <v>171</v>
      </c>
      <c r="H1470" s="234">
        <v>1.6</v>
      </c>
      <c r="I1470" s="235">
        <f t="shared" si="130"/>
        <v>16000</v>
      </c>
      <c r="K1470" s="250">
        <f>1.48*10000</f>
        <v>14800</v>
      </c>
      <c r="L1470" s="237">
        <v>41352</v>
      </c>
      <c r="M1470" s="1" t="s">
        <v>167</v>
      </c>
      <c r="N1470" s="235">
        <f t="shared" si="117"/>
        <v>16000</v>
      </c>
      <c r="O1470" s="235">
        <f t="shared" si="129"/>
        <v>0</v>
      </c>
      <c r="P1470" s="238" t="s">
        <v>5407</v>
      </c>
      <c r="Q1470" s="1" t="s">
        <v>1571</v>
      </c>
      <c r="R1470" s="239" t="s">
        <v>3174</v>
      </c>
      <c r="S1470" s="238" t="s">
        <v>3175</v>
      </c>
      <c r="T1470" s="239" t="s">
        <v>168</v>
      </c>
      <c r="U1470" s="239" t="s">
        <v>168</v>
      </c>
      <c r="AB1470" s="1" t="s">
        <v>1570</v>
      </c>
    </row>
    <row r="1471" spans="1:28" ht="13.5" customHeight="1">
      <c r="A1471" s="233">
        <v>41338</v>
      </c>
      <c r="B1471" s="1" t="s">
        <v>2331</v>
      </c>
      <c r="C1471" s="1" t="s">
        <v>7</v>
      </c>
      <c r="D1471" s="95" t="s">
        <v>5040</v>
      </c>
      <c r="E1471" s="1" t="s">
        <v>5401</v>
      </c>
      <c r="F1471" s="1">
        <v>144</v>
      </c>
      <c r="G1471" s="1" t="s">
        <v>5406</v>
      </c>
      <c r="H1471" s="234">
        <v>12.5</v>
      </c>
      <c r="I1471" s="235">
        <f t="shared" si="130"/>
        <v>1800</v>
      </c>
      <c r="K1471" s="250">
        <f>144*10</f>
        <v>1440</v>
      </c>
      <c r="L1471" s="237">
        <v>41352</v>
      </c>
      <c r="M1471" s="1" t="s">
        <v>167</v>
      </c>
      <c r="N1471" s="235">
        <f t="shared" ref="N1471:N1528" si="131">I1471</f>
        <v>1800</v>
      </c>
      <c r="O1471" s="235">
        <f t="shared" si="129"/>
        <v>0</v>
      </c>
      <c r="P1471" s="238" t="s">
        <v>5407</v>
      </c>
      <c r="Q1471" s="1" t="s">
        <v>1571</v>
      </c>
      <c r="R1471" s="239" t="s">
        <v>3174</v>
      </c>
      <c r="S1471" s="238" t="s">
        <v>3175</v>
      </c>
      <c r="T1471" s="239" t="s">
        <v>168</v>
      </c>
      <c r="U1471" s="239" t="s">
        <v>168</v>
      </c>
      <c r="AB1471" s="1" t="s">
        <v>1570</v>
      </c>
    </row>
    <row r="1472" spans="1:28">
      <c r="A1472" s="233">
        <v>41338</v>
      </c>
      <c r="B1472" s="1" t="s">
        <v>2121</v>
      </c>
      <c r="C1472" s="1" t="s">
        <v>163</v>
      </c>
      <c r="D1472" s="5" t="s">
        <v>986</v>
      </c>
      <c r="E1472" s="1">
        <v>6800</v>
      </c>
      <c r="F1472" s="1">
        <v>-1</v>
      </c>
      <c r="G1472" s="1" t="s">
        <v>5403</v>
      </c>
      <c r="H1472" s="234">
        <v>442</v>
      </c>
      <c r="I1472" s="235">
        <f t="shared" ref="I1472:I1478" si="132">F1472*H1472</f>
        <v>-442</v>
      </c>
      <c r="K1472" s="250">
        <f>418*-1</f>
        <v>-418</v>
      </c>
      <c r="L1472" s="237" t="s">
        <v>5412</v>
      </c>
      <c r="M1472" s="237" t="s">
        <v>5412</v>
      </c>
      <c r="N1472" s="235">
        <f t="shared" si="117"/>
        <v>-442</v>
      </c>
      <c r="O1472" s="235">
        <f t="shared" si="129"/>
        <v>0</v>
      </c>
      <c r="P1472" s="238" t="s">
        <v>5412</v>
      </c>
      <c r="Q1472" s="1" t="s">
        <v>5388</v>
      </c>
      <c r="R1472" s="239" t="s">
        <v>2493</v>
      </c>
      <c r="S1472" s="238" t="s">
        <v>2119</v>
      </c>
      <c r="T1472" s="238" t="s">
        <v>775</v>
      </c>
      <c r="U1472" s="238" t="s">
        <v>5388</v>
      </c>
      <c r="V1472" s="238" t="s">
        <v>176</v>
      </c>
      <c r="AB1472" s="1" t="s">
        <v>1570</v>
      </c>
    </row>
    <row r="1473" spans="1:28">
      <c r="A1473" s="233">
        <v>41338</v>
      </c>
      <c r="B1473" s="1" t="s">
        <v>2121</v>
      </c>
      <c r="C1473" s="1" t="s">
        <v>163</v>
      </c>
      <c r="D1473" s="5" t="s">
        <v>986</v>
      </c>
      <c r="E1473" s="1">
        <v>6800</v>
      </c>
      <c r="F1473" s="1">
        <v>1</v>
      </c>
      <c r="G1473" s="1" t="s">
        <v>5403</v>
      </c>
      <c r="H1473" s="234">
        <v>442</v>
      </c>
      <c r="I1473" s="235">
        <f t="shared" si="132"/>
        <v>442</v>
      </c>
      <c r="K1473" s="250">
        <f>436*1</f>
        <v>436</v>
      </c>
      <c r="L1473" s="237" t="s">
        <v>5412</v>
      </c>
      <c r="M1473" s="237" t="s">
        <v>5412</v>
      </c>
      <c r="N1473" s="235">
        <f t="shared" ref="N1473" si="133">I1473</f>
        <v>442</v>
      </c>
      <c r="O1473" s="235">
        <f t="shared" si="129"/>
        <v>0</v>
      </c>
      <c r="P1473" s="238" t="s">
        <v>5412</v>
      </c>
      <c r="Q1473" s="1" t="s">
        <v>5414</v>
      </c>
      <c r="R1473" s="239" t="s">
        <v>2493</v>
      </c>
      <c r="S1473" s="238" t="s">
        <v>2119</v>
      </c>
      <c r="T1473" s="238" t="s">
        <v>775</v>
      </c>
      <c r="U1473" s="238" t="s">
        <v>5415</v>
      </c>
      <c r="V1473" s="238" t="s">
        <v>176</v>
      </c>
      <c r="AB1473" s="1" t="s">
        <v>1570</v>
      </c>
    </row>
    <row r="1474" spans="1:28">
      <c r="A1474" s="233">
        <v>41338</v>
      </c>
      <c r="B1474" s="1" t="s">
        <v>4369</v>
      </c>
      <c r="C1474" s="1" t="s">
        <v>163</v>
      </c>
      <c r="D1474" s="1" t="s">
        <v>241</v>
      </c>
      <c r="E1474" s="1">
        <v>6200</v>
      </c>
      <c r="F1474" s="1">
        <v>1</v>
      </c>
      <c r="G1474" s="1" t="s">
        <v>171</v>
      </c>
      <c r="H1474" s="234">
        <v>46.65</v>
      </c>
      <c r="I1474" s="235">
        <f t="shared" si="132"/>
        <v>46.65</v>
      </c>
      <c r="K1474" s="250">
        <f>44.5*1</f>
        <v>44.5</v>
      </c>
      <c r="L1474" s="237">
        <v>41338</v>
      </c>
      <c r="M1474" s="1" t="s">
        <v>166</v>
      </c>
      <c r="N1474" s="235">
        <f t="shared" si="131"/>
        <v>46.65</v>
      </c>
      <c r="O1474" s="235">
        <f t="shared" si="129"/>
        <v>0</v>
      </c>
      <c r="P1474" s="238" t="s">
        <v>5451</v>
      </c>
      <c r="Q1474" s="1" t="s">
        <v>5416</v>
      </c>
      <c r="R1474" s="239" t="s">
        <v>4372</v>
      </c>
      <c r="S1474" s="238" t="s">
        <v>4373</v>
      </c>
      <c r="T1474" s="238" t="s">
        <v>2256</v>
      </c>
      <c r="U1474" s="238" t="s">
        <v>5417</v>
      </c>
      <c r="V1474" s="238" t="s">
        <v>5578</v>
      </c>
      <c r="W1474" s="236">
        <v>9279.93</v>
      </c>
      <c r="X1474" s="233">
        <v>41347</v>
      </c>
      <c r="Y1474" s="238" t="s">
        <v>5589</v>
      </c>
      <c r="AB1474" s="1" t="s">
        <v>1570</v>
      </c>
    </row>
    <row r="1475" spans="1:28">
      <c r="A1475" s="233">
        <v>41338</v>
      </c>
      <c r="B1475" s="1" t="s">
        <v>4369</v>
      </c>
      <c r="C1475" s="1" t="s">
        <v>163</v>
      </c>
      <c r="D1475" s="5" t="s">
        <v>1895</v>
      </c>
      <c r="E1475" s="1" t="s">
        <v>146</v>
      </c>
      <c r="F1475" s="1">
        <v>4</v>
      </c>
      <c r="G1475" s="1" t="s">
        <v>171</v>
      </c>
      <c r="H1475" s="234">
        <v>19.27</v>
      </c>
      <c r="I1475" s="235">
        <f t="shared" si="132"/>
        <v>77.08</v>
      </c>
      <c r="K1475" s="250">
        <f>18.37*4</f>
        <v>73.48</v>
      </c>
      <c r="L1475" s="237">
        <v>41338</v>
      </c>
      <c r="M1475" s="1" t="s">
        <v>166</v>
      </c>
      <c r="N1475" s="235">
        <f t="shared" si="131"/>
        <v>77.08</v>
      </c>
      <c r="O1475" s="235">
        <f t="shared" si="129"/>
        <v>0</v>
      </c>
      <c r="P1475" s="238" t="s">
        <v>5451</v>
      </c>
      <c r="Q1475" s="1" t="s">
        <v>5416</v>
      </c>
      <c r="R1475" s="239" t="s">
        <v>4372</v>
      </c>
      <c r="S1475" s="238" t="s">
        <v>4373</v>
      </c>
      <c r="T1475" s="238" t="s">
        <v>2256</v>
      </c>
      <c r="U1475" s="238" t="s">
        <v>5417</v>
      </c>
      <c r="V1475" s="238" t="s">
        <v>5578</v>
      </c>
      <c r="W1475" s="236">
        <v>9279.93</v>
      </c>
      <c r="X1475" s="233">
        <v>41347</v>
      </c>
      <c r="Y1475" s="238" t="s">
        <v>5589</v>
      </c>
      <c r="AB1475" s="1" t="s">
        <v>1570</v>
      </c>
    </row>
    <row r="1476" spans="1:28">
      <c r="A1476" s="233">
        <v>41338</v>
      </c>
      <c r="B1476" s="1" t="s">
        <v>4369</v>
      </c>
      <c r="C1476" s="1" t="s">
        <v>163</v>
      </c>
      <c r="D1476" s="1" t="s">
        <v>233</v>
      </c>
      <c r="E1476" s="1" t="s">
        <v>195</v>
      </c>
      <c r="F1476" s="1">
        <v>4</v>
      </c>
      <c r="G1476" s="1" t="s">
        <v>232</v>
      </c>
      <c r="H1476" s="234">
        <v>6.5</v>
      </c>
      <c r="I1476" s="235">
        <f t="shared" si="132"/>
        <v>26</v>
      </c>
      <c r="K1476" s="250">
        <f>4.78*4</f>
        <v>19.12</v>
      </c>
      <c r="L1476" s="237">
        <v>41338</v>
      </c>
      <c r="M1476" s="1" t="s">
        <v>166</v>
      </c>
      <c r="N1476" s="235">
        <f t="shared" si="131"/>
        <v>26</v>
      </c>
      <c r="O1476" s="235">
        <f t="shared" si="129"/>
        <v>0</v>
      </c>
      <c r="P1476" s="238" t="s">
        <v>5451</v>
      </c>
      <c r="Q1476" s="1" t="s">
        <v>5416</v>
      </c>
      <c r="R1476" s="239" t="s">
        <v>4372</v>
      </c>
      <c r="S1476" s="238" t="s">
        <v>4373</v>
      </c>
      <c r="T1476" s="238" t="s">
        <v>2256</v>
      </c>
      <c r="U1476" s="238" t="s">
        <v>5417</v>
      </c>
      <c r="V1476" s="238" t="s">
        <v>5578</v>
      </c>
      <c r="W1476" s="236">
        <v>9279.93</v>
      </c>
      <c r="X1476" s="233">
        <v>41347</v>
      </c>
      <c r="Y1476" s="238" t="s">
        <v>5589</v>
      </c>
      <c r="AB1476" s="1" t="s">
        <v>1570</v>
      </c>
    </row>
    <row r="1477" spans="1:28">
      <c r="A1477" s="233">
        <v>41338</v>
      </c>
      <c r="B1477" s="1" t="s">
        <v>4369</v>
      </c>
      <c r="C1477" s="1" t="s">
        <v>163</v>
      </c>
      <c r="D1477" s="1" t="s">
        <v>264</v>
      </c>
      <c r="E1477" s="1">
        <v>501</v>
      </c>
      <c r="F1477" s="1">
        <v>2</v>
      </c>
      <c r="G1477" s="1" t="s">
        <v>171</v>
      </c>
      <c r="H1477" s="234">
        <v>1.5</v>
      </c>
      <c r="I1477" s="235">
        <f t="shared" si="132"/>
        <v>3</v>
      </c>
      <c r="K1477" s="250">
        <f>1.39*2</f>
        <v>2.78</v>
      </c>
      <c r="L1477" s="237">
        <v>41338</v>
      </c>
      <c r="M1477" s="1" t="s">
        <v>166</v>
      </c>
      <c r="N1477" s="235">
        <f t="shared" si="131"/>
        <v>3</v>
      </c>
      <c r="O1477" s="235">
        <f t="shared" si="129"/>
        <v>0</v>
      </c>
      <c r="P1477" s="238" t="s">
        <v>5451</v>
      </c>
      <c r="Q1477" s="1" t="s">
        <v>5416</v>
      </c>
      <c r="R1477" s="239" t="s">
        <v>4372</v>
      </c>
      <c r="S1477" s="238" t="s">
        <v>4373</v>
      </c>
      <c r="T1477" s="238" t="s">
        <v>2256</v>
      </c>
      <c r="U1477" s="238" t="s">
        <v>5417</v>
      </c>
      <c r="V1477" s="238" t="s">
        <v>5578</v>
      </c>
      <c r="W1477" s="236">
        <v>9279.93</v>
      </c>
      <c r="X1477" s="233">
        <v>41347</v>
      </c>
      <c r="Y1477" s="238" t="s">
        <v>5589</v>
      </c>
      <c r="AB1477" s="1" t="s">
        <v>1570</v>
      </c>
    </row>
    <row r="1478" spans="1:28">
      <c r="A1478" s="233">
        <v>41339</v>
      </c>
      <c r="B1478" s="1" t="s">
        <v>5431</v>
      </c>
      <c r="C1478" s="1" t="s">
        <v>163</v>
      </c>
      <c r="D1478" s="5" t="s">
        <v>1915</v>
      </c>
      <c r="E1478" s="1">
        <v>1270</v>
      </c>
      <c r="F1478" s="1">
        <v>60</v>
      </c>
      <c r="G1478" s="1" t="s">
        <v>173</v>
      </c>
      <c r="H1478" s="234">
        <v>6</v>
      </c>
      <c r="I1478" s="235">
        <f t="shared" si="132"/>
        <v>360</v>
      </c>
      <c r="K1478" s="250">
        <f>4.2*60</f>
        <v>252</v>
      </c>
      <c r="L1478" s="237">
        <v>41339</v>
      </c>
      <c r="M1478" s="1" t="s">
        <v>5432</v>
      </c>
      <c r="N1478" s="235">
        <f t="shared" si="131"/>
        <v>360</v>
      </c>
      <c r="O1478" s="235">
        <f t="shared" si="129"/>
        <v>0</v>
      </c>
      <c r="P1478" s="238" t="s">
        <v>5452</v>
      </c>
      <c r="Q1478" s="1" t="s">
        <v>5433</v>
      </c>
      <c r="R1478" s="239" t="s">
        <v>5434</v>
      </c>
      <c r="S1478" s="238" t="s">
        <v>5435</v>
      </c>
      <c r="T1478" s="238" t="s">
        <v>5436</v>
      </c>
      <c r="U1478" s="238" t="s">
        <v>5437</v>
      </c>
      <c r="AB1478" s="1" t="s">
        <v>2079</v>
      </c>
    </row>
    <row r="1479" spans="1:28">
      <c r="A1479" s="233">
        <v>41339</v>
      </c>
      <c r="B1479" s="1" t="s">
        <v>5431</v>
      </c>
      <c r="C1479" s="1" t="s">
        <v>163</v>
      </c>
      <c r="D1479" s="1" t="s">
        <v>857</v>
      </c>
      <c r="E1479" s="1">
        <v>9031</v>
      </c>
      <c r="F1479" s="1">
        <v>20</v>
      </c>
      <c r="G1479" s="1" t="s">
        <v>171</v>
      </c>
      <c r="H1479" s="234">
        <v>2.2999999999999998</v>
      </c>
      <c r="I1479" s="235">
        <f>H1479*F1479</f>
        <v>46</v>
      </c>
      <c r="K1479" s="250">
        <f>1.4929*20</f>
        <v>29.857999999999997</v>
      </c>
      <c r="L1479" s="237">
        <v>41339</v>
      </c>
      <c r="M1479" s="1" t="s">
        <v>5432</v>
      </c>
      <c r="N1479" s="235">
        <f t="shared" si="131"/>
        <v>46</v>
      </c>
      <c r="O1479" s="235">
        <f t="shared" si="129"/>
        <v>0</v>
      </c>
      <c r="P1479" s="238" t="s">
        <v>5452</v>
      </c>
      <c r="Q1479" s="1" t="s">
        <v>5433</v>
      </c>
      <c r="R1479" s="239" t="s">
        <v>5434</v>
      </c>
      <c r="S1479" s="238" t="s">
        <v>5435</v>
      </c>
      <c r="T1479" s="238" t="s">
        <v>5437</v>
      </c>
      <c r="U1479" s="238" t="s">
        <v>5437</v>
      </c>
      <c r="AB1479" s="1" t="s">
        <v>2079</v>
      </c>
    </row>
    <row r="1480" spans="1:28">
      <c r="A1480" s="233">
        <v>41340</v>
      </c>
      <c r="B1480" s="1" t="s">
        <v>5442</v>
      </c>
      <c r="C1480" s="1" t="s">
        <v>163</v>
      </c>
      <c r="D1480" s="1" t="s">
        <v>233</v>
      </c>
      <c r="E1480" s="1" t="s">
        <v>195</v>
      </c>
      <c r="F1480" s="1">
        <v>20</v>
      </c>
      <c r="G1480" s="1" t="s">
        <v>172</v>
      </c>
      <c r="H1480" s="234">
        <v>6.5</v>
      </c>
      <c r="I1480" s="235">
        <f>H1480*F1480</f>
        <v>130</v>
      </c>
      <c r="K1480" s="250">
        <f>4.78*20</f>
        <v>95.600000000000009</v>
      </c>
      <c r="L1480" s="237">
        <v>41340</v>
      </c>
      <c r="M1480" s="1" t="s">
        <v>166</v>
      </c>
      <c r="N1480" s="235">
        <f t="shared" si="131"/>
        <v>130</v>
      </c>
      <c r="O1480" s="235">
        <f t="shared" si="129"/>
        <v>0</v>
      </c>
      <c r="P1480" s="238" t="s">
        <v>5453</v>
      </c>
      <c r="Q1480" s="1" t="s">
        <v>5178</v>
      </c>
      <c r="R1480" s="239" t="s">
        <v>5443</v>
      </c>
      <c r="S1480" s="238" t="s">
        <v>5444</v>
      </c>
      <c r="T1480" s="238" t="s">
        <v>5445</v>
      </c>
      <c r="U1480" s="238" t="s">
        <v>5456</v>
      </c>
      <c r="AB1480" s="1" t="s">
        <v>1570</v>
      </c>
    </row>
    <row r="1481" spans="1:28">
      <c r="A1481" s="233">
        <v>41340</v>
      </c>
      <c r="B1481" s="1" t="s">
        <v>5442</v>
      </c>
      <c r="C1481" s="1" t="s">
        <v>163</v>
      </c>
      <c r="D1481" s="5" t="s">
        <v>1895</v>
      </c>
      <c r="E1481" s="5" t="s">
        <v>146</v>
      </c>
      <c r="F1481" s="1">
        <v>10</v>
      </c>
      <c r="G1481" s="1" t="s">
        <v>171</v>
      </c>
      <c r="H1481" s="234">
        <v>19.850000000000001</v>
      </c>
      <c r="I1481" s="235">
        <f>H1481*F1481</f>
        <v>198.5</v>
      </c>
      <c r="K1481" s="250">
        <f>18.37*10</f>
        <v>183.70000000000002</v>
      </c>
      <c r="L1481" s="237">
        <v>41340</v>
      </c>
      <c r="M1481" s="1" t="s">
        <v>166</v>
      </c>
      <c r="N1481" s="235">
        <f t="shared" si="131"/>
        <v>198.5</v>
      </c>
      <c r="O1481" s="235">
        <f t="shared" si="129"/>
        <v>0</v>
      </c>
      <c r="P1481" s="238" t="s">
        <v>5453</v>
      </c>
      <c r="Q1481" s="1" t="s">
        <v>5178</v>
      </c>
      <c r="R1481" s="239" t="s">
        <v>5443</v>
      </c>
      <c r="S1481" s="238" t="s">
        <v>5444</v>
      </c>
      <c r="T1481" s="238" t="s">
        <v>5445</v>
      </c>
      <c r="U1481" s="238" t="s">
        <v>5456</v>
      </c>
      <c r="AB1481" s="1" t="s">
        <v>1570</v>
      </c>
    </row>
    <row r="1482" spans="1:28">
      <c r="A1482" s="233">
        <v>41340</v>
      </c>
      <c r="B1482" s="1" t="s">
        <v>5447</v>
      </c>
      <c r="C1482" s="1" t="s">
        <v>163</v>
      </c>
      <c r="D1482" s="5" t="s">
        <v>1895</v>
      </c>
      <c r="E1482" s="5" t="s">
        <v>146</v>
      </c>
      <c r="F1482" s="1">
        <v>80</v>
      </c>
      <c r="G1482" s="1" t="s">
        <v>5439</v>
      </c>
      <c r="H1482" s="234">
        <v>18.350000000000001</v>
      </c>
      <c r="I1482" s="235">
        <f>H1482*F1482</f>
        <v>1468</v>
      </c>
      <c r="K1482" s="250">
        <f>17.25*80</f>
        <v>1380</v>
      </c>
      <c r="L1482" s="237">
        <v>41352</v>
      </c>
      <c r="M1482" s="1" t="s">
        <v>167</v>
      </c>
      <c r="N1482" s="235">
        <f t="shared" si="131"/>
        <v>1468</v>
      </c>
      <c r="O1482" s="235">
        <f t="shared" si="129"/>
        <v>0</v>
      </c>
      <c r="P1482" s="238" t="s">
        <v>5454</v>
      </c>
      <c r="Q1482" s="1" t="s">
        <v>4284</v>
      </c>
      <c r="R1482" s="239" t="s">
        <v>5450</v>
      </c>
      <c r="S1482" s="238" t="s">
        <v>5449</v>
      </c>
      <c r="T1482" s="238" t="s">
        <v>5448</v>
      </c>
      <c r="U1482" s="238" t="s">
        <v>5455</v>
      </c>
      <c r="V1482" s="238" t="s">
        <v>6391</v>
      </c>
      <c r="W1482" s="236">
        <v>5505</v>
      </c>
      <c r="X1482" s="233">
        <v>41381</v>
      </c>
      <c r="Y1482" s="238" t="s">
        <v>6392</v>
      </c>
      <c r="AB1482" s="1" t="s">
        <v>1570</v>
      </c>
    </row>
    <row r="1483" spans="1:28">
      <c r="A1483" s="233">
        <v>41341</v>
      </c>
      <c r="B1483" s="1" t="s">
        <v>1993</v>
      </c>
      <c r="C1483" s="1" t="s">
        <v>163</v>
      </c>
      <c r="D1483" s="5" t="s">
        <v>5460</v>
      </c>
      <c r="E1483" s="5" t="s">
        <v>5461</v>
      </c>
      <c r="F1483" s="1">
        <v>1000</v>
      </c>
      <c r="G1483" s="1" t="s">
        <v>171</v>
      </c>
      <c r="H1483" s="234">
        <v>1.56</v>
      </c>
      <c r="I1483" s="235">
        <f>H1483*F1483</f>
        <v>1560</v>
      </c>
      <c r="K1483" s="250">
        <f>1.5*1000</f>
        <v>1500</v>
      </c>
      <c r="L1483" s="237">
        <v>41374</v>
      </c>
      <c r="M1483" s="1" t="s">
        <v>6175</v>
      </c>
      <c r="N1483" s="235">
        <f t="shared" si="131"/>
        <v>1560</v>
      </c>
      <c r="O1483" s="235">
        <f t="shared" si="129"/>
        <v>0</v>
      </c>
      <c r="P1483" s="238" t="s">
        <v>5462</v>
      </c>
      <c r="Q1483" s="1" t="s">
        <v>5463</v>
      </c>
      <c r="R1483" s="265" t="s">
        <v>68</v>
      </c>
      <c r="S1483" s="265" t="s">
        <v>2998</v>
      </c>
      <c r="T1483" s="238" t="s">
        <v>67</v>
      </c>
      <c r="U1483" s="238" t="s">
        <v>6373</v>
      </c>
      <c r="V1483" s="238" t="s">
        <v>6114</v>
      </c>
      <c r="AB1483" s="1" t="s">
        <v>1570</v>
      </c>
    </row>
    <row r="1484" spans="1:28">
      <c r="A1484" s="233">
        <v>41341</v>
      </c>
      <c r="B1484" s="1" t="s">
        <v>2186</v>
      </c>
      <c r="C1484" s="1" t="s">
        <v>163</v>
      </c>
      <c r="D1484" s="5" t="s">
        <v>2026</v>
      </c>
      <c r="E1484" s="1" t="s">
        <v>246</v>
      </c>
      <c r="F1484" s="1">
        <v>2000</v>
      </c>
      <c r="G1484" s="1" t="s">
        <v>232</v>
      </c>
      <c r="H1484" s="234">
        <v>1.55</v>
      </c>
      <c r="I1484" s="235">
        <f t="shared" ref="I1484:I1489" si="134">F1484*H1484</f>
        <v>3100</v>
      </c>
      <c r="K1484" s="250">
        <f>1.48*2000</f>
        <v>2960</v>
      </c>
      <c r="L1484" s="237">
        <v>41376</v>
      </c>
      <c r="M1484" s="1" t="s">
        <v>167</v>
      </c>
      <c r="N1484" s="235">
        <f t="shared" si="131"/>
        <v>3100</v>
      </c>
      <c r="O1484" s="235">
        <f t="shared" si="129"/>
        <v>0</v>
      </c>
      <c r="P1484" s="238" t="s">
        <v>5467</v>
      </c>
      <c r="Q1484" s="1" t="s">
        <v>4284</v>
      </c>
      <c r="R1484" s="239" t="s">
        <v>2401</v>
      </c>
      <c r="S1484" s="238" t="s">
        <v>2402</v>
      </c>
      <c r="T1484" s="238" t="s">
        <v>3714</v>
      </c>
      <c r="U1484" s="238" t="s">
        <v>5469</v>
      </c>
      <c r="V1484" s="238" t="s">
        <v>5736</v>
      </c>
      <c r="W1484" s="236">
        <v>113433.12</v>
      </c>
      <c r="X1484" s="233">
        <v>41354</v>
      </c>
      <c r="Y1484" s="238" t="s">
        <v>5737</v>
      </c>
      <c r="AB1484" s="1" t="s">
        <v>1570</v>
      </c>
    </row>
    <row r="1485" spans="1:28">
      <c r="A1485" s="233">
        <v>41341</v>
      </c>
      <c r="B1485" s="1" t="s">
        <v>2186</v>
      </c>
      <c r="C1485" s="1" t="s">
        <v>163</v>
      </c>
      <c r="D1485" s="1" t="s">
        <v>241</v>
      </c>
      <c r="E1485" s="1">
        <v>6200</v>
      </c>
      <c r="F1485" s="1">
        <v>480</v>
      </c>
      <c r="G1485" s="1" t="s">
        <v>230</v>
      </c>
      <c r="H1485" s="234">
        <v>47</v>
      </c>
      <c r="I1485" s="235">
        <f t="shared" si="134"/>
        <v>22560</v>
      </c>
      <c r="K1485" s="250">
        <f>44.5*288+45.5*192</f>
        <v>21552</v>
      </c>
      <c r="L1485" s="237">
        <v>41376</v>
      </c>
      <c r="M1485" s="1" t="s">
        <v>167</v>
      </c>
      <c r="N1485" s="235">
        <f t="shared" si="131"/>
        <v>22560</v>
      </c>
      <c r="O1485" s="235">
        <f t="shared" si="129"/>
        <v>0</v>
      </c>
      <c r="P1485" s="238" t="s">
        <v>5467</v>
      </c>
      <c r="Q1485" s="1" t="s">
        <v>4284</v>
      </c>
      <c r="R1485" s="239" t="s">
        <v>2401</v>
      </c>
      <c r="S1485" s="238" t="s">
        <v>2402</v>
      </c>
      <c r="T1485" s="238" t="s">
        <v>3714</v>
      </c>
      <c r="U1485" s="238" t="s">
        <v>5469</v>
      </c>
      <c r="V1485" s="238" t="s">
        <v>5736</v>
      </c>
      <c r="W1485" s="236">
        <v>113433.12</v>
      </c>
      <c r="X1485" s="233">
        <v>41354</v>
      </c>
      <c r="Y1485" s="238" t="s">
        <v>5737</v>
      </c>
      <c r="AB1485" s="1" t="s">
        <v>1570</v>
      </c>
    </row>
    <row r="1486" spans="1:28">
      <c r="A1486" s="233">
        <v>41341</v>
      </c>
      <c r="B1486" s="1" t="s">
        <v>2186</v>
      </c>
      <c r="C1486" s="1" t="s">
        <v>163</v>
      </c>
      <c r="D1486" s="319" t="s">
        <v>274</v>
      </c>
      <c r="E1486" s="1" t="s">
        <v>275</v>
      </c>
      <c r="F1486" s="1">
        <v>960</v>
      </c>
      <c r="G1486" s="1" t="s">
        <v>230</v>
      </c>
      <c r="H1486" s="234">
        <v>33</v>
      </c>
      <c r="I1486" s="235">
        <f t="shared" si="134"/>
        <v>31680</v>
      </c>
      <c r="K1486" s="250">
        <f>31.7*960</f>
        <v>30432</v>
      </c>
      <c r="L1486" s="237" t="s">
        <v>6240</v>
      </c>
      <c r="N1486" s="235">
        <v>16680</v>
      </c>
      <c r="O1486" s="235">
        <f t="shared" si="129"/>
        <v>15000</v>
      </c>
      <c r="P1486" s="238" t="s">
        <v>5467</v>
      </c>
      <c r="Q1486" s="1" t="s">
        <v>4284</v>
      </c>
      <c r="R1486" s="239" t="s">
        <v>2401</v>
      </c>
      <c r="S1486" s="238" t="s">
        <v>2402</v>
      </c>
      <c r="T1486" s="238" t="s">
        <v>3714</v>
      </c>
      <c r="U1486" s="238" t="s">
        <v>5469</v>
      </c>
      <c r="V1486" s="238" t="s">
        <v>5736</v>
      </c>
      <c r="W1486" s="236">
        <v>113433.12</v>
      </c>
      <c r="X1486" s="233">
        <v>41354</v>
      </c>
      <c r="Y1486" s="238" t="s">
        <v>5737</v>
      </c>
      <c r="AB1486" s="1" t="s">
        <v>1570</v>
      </c>
    </row>
    <row r="1487" spans="1:28" ht="14.25">
      <c r="A1487" s="233">
        <v>41341</v>
      </c>
      <c r="B1487" s="1" t="s">
        <v>2186</v>
      </c>
      <c r="C1487" s="1" t="s">
        <v>163</v>
      </c>
      <c r="D1487" s="1" t="s">
        <v>2339</v>
      </c>
      <c r="E1487" s="1" t="s">
        <v>5399</v>
      </c>
      <c r="F1487" s="1">
        <v>32</v>
      </c>
      <c r="G1487" s="1" t="s">
        <v>230</v>
      </c>
      <c r="H1487" s="234">
        <v>31.18</v>
      </c>
      <c r="I1487" s="235">
        <f t="shared" si="134"/>
        <v>997.76</v>
      </c>
      <c r="K1487" s="250">
        <f>30.32*32</f>
        <v>970.24</v>
      </c>
      <c r="L1487" s="237">
        <v>41376</v>
      </c>
      <c r="M1487" s="1" t="s">
        <v>167</v>
      </c>
      <c r="N1487" s="235">
        <f t="shared" si="131"/>
        <v>997.76</v>
      </c>
      <c r="O1487" s="235">
        <f t="shared" si="129"/>
        <v>0</v>
      </c>
      <c r="P1487" s="238" t="s">
        <v>5467</v>
      </c>
      <c r="Q1487" s="1" t="s">
        <v>4284</v>
      </c>
      <c r="R1487" s="239" t="s">
        <v>2401</v>
      </c>
      <c r="S1487" s="238" t="s">
        <v>2402</v>
      </c>
      <c r="T1487" s="238" t="s">
        <v>3714</v>
      </c>
      <c r="U1487" s="238" t="s">
        <v>5469</v>
      </c>
      <c r="V1487" s="238" t="s">
        <v>5736</v>
      </c>
      <c r="W1487" s="236">
        <v>113433.12</v>
      </c>
      <c r="X1487" s="233">
        <v>41354</v>
      </c>
      <c r="Y1487" s="238" t="s">
        <v>5737</v>
      </c>
      <c r="AB1487" s="1" t="s">
        <v>1570</v>
      </c>
    </row>
    <row r="1488" spans="1:28">
      <c r="A1488" s="233">
        <v>41341</v>
      </c>
      <c r="B1488" s="1" t="s">
        <v>2186</v>
      </c>
      <c r="C1488" s="1" t="s">
        <v>163</v>
      </c>
      <c r="D1488" s="5" t="s">
        <v>183</v>
      </c>
      <c r="E1488" s="1" t="s">
        <v>234</v>
      </c>
      <c r="F1488" s="1">
        <v>400</v>
      </c>
      <c r="G1488" s="1" t="s">
        <v>232</v>
      </c>
      <c r="H1488" s="234">
        <v>5.64</v>
      </c>
      <c r="I1488" s="235">
        <f t="shared" si="134"/>
        <v>2256</v>
      </c>
      <c r="K1488" s="250">
        <f>4.77*200+4.78*200</f>
        <v>1910</v>
      </c>
      <c r="L1488" s="237">
        <v>41376</v>
      </c>
      <c r="M1488" s="1" t="s">
        <v>167</v>
      </c>
      <c r="N1488" s="235">
        <f t="shared" si="131"/>
        <v>2256</v>
      </c>
      <c r="O1488" s="235">
        <f t="shared" si="129"/>
        <v>0</v>
      </c>
      <c r="P1488" s="238" t="s">
        <v>5467</v>
      </c>
      <c r="Q1488" s="1" t="s">
        <v>4284</v>
      </c>
      <c r="R1488" s="239" t="s">
        <v>2401</v>
      </c>
      <c r="S1488" s="238" t="s">
        <v>2402</v>
      </c>
      <c r="T1488" s="238" t="s">
        <v>3714</v>
      </c>
      <c r="U1488" s="238" t="s">
        <v>5469</v>
      </c>
      <c r="V1488" s="238" t="s">
        <v>5736</v>
      </c>
      <c r="W1488" s="236">
        <v>113433.12</v>
      </c>
      <c r="X1488" s="233">
        <v>41354</v>
      </c>
      <c r="Y1488" s="238" t="s">
        <v>5737</v>
      </c>
      <c r="AB1488" s="1" t="s">
        <v>1570</v>
      </c>
    </row>
    <row r="1489" spans="1:28">
      <c r="A1489" s="233">
        <v>41341</v>
      </c>
      <c r="B1489" s="1" t="s">
        <v>2186</v>
      </c>
      <c r="C1489" s="1" t="s">
        <v>163</v>
      </c>
      <c r="D1489" s="1" t="s">
        <v>269</v>
      </c>
      <c r="E1489" s="1" t="s">
        <v>5400</v>
      </c>
      <c r="F1489" s="1">
        <v>47</v>
      </c>
      <c r="G1489" s="1" t="s">
        <v>232</v>
      </c>
      <c r="H1489" s="234">
        <v>1.48</v>
      </c>
      <c r="I1489" s="235">
        <f t="shared" si="134"/>
        <v>69.56</v>
      </c>
      <c r="K1489" s="250">
        <f>1.17*47</f>
        <v>54.989999999999995</v>
      </c>
      <c r="L1489" s="237">
        <v>41376</v>
      </c>
      <c r="M1489" s="1" t="s">
        <v>167</v>
      </c>
      <c r="N1489" s="235">
        <f t="shared" si="131"/>
        <v>69.56</v>
      </c>
      <c r="O1489" s="235">
        <f t="shared" si="129"/>
        <v>0</v>
      </c>
      <c r="P1489" s="238" t="s">
        <v>5467</v>
      </c>
      <c r="Q1489" s="1" t="s">
        <v>4284</v>
      </c>
      <c r="R1489" s="239" t="s">
        <v>2401</v>
      </c>
      <c r="S1489" s="238" t="s">
        <v>2402</v>
      </c>
      <c r="T1489" s="238" t="s">
        <v>3714</v>
      </c>
      <c r="U1489" s="238" t="s">
        <v>5469</v>
      </c>
      <c r="V1489" s="238" t="s">
        <v>5736</v>
      </c>
      <c r="W1489" s="236">
        <v>113433.12</v>
      </c>
      <c r="X1489" s="233">
        <v>41354</v>
      </c>
      <c r="Y1489" s="238" t="s">
        <v>5737</v>
      </c>
      <c r="AB1489" s="1" t="s">
        <v>1570</v>
      </c>
    </row>
    <row r="1490" spans="1:28">
      <c r="A1490" s="233">
        <v>41344</v>
      </c>
      <c r="B1490" s="1" t="s">
        <v>4728</v>
      </c>
      <c r="C1490" s="1" t="s">
        <v>163</v>
      </c>
      <c r="D1490" s="326" t="s">
        <v>5475</v>
      </c>
      <c r="E1490" s="326" t="s">
        <v>5474</v>
      </c>
      <c r="F1490" s="326">
        <v>200</v>
      </c>
      <c r="G1490" s="326" t="s">
        <v>5476</v>
      </c>
      <c r="H1490" s="234">
        <v>2.2000000000000002</v>
      </c>
      <c r="I1490" s="235">
        <f>F1490*H1490</f>
        <v>440.00000000000006</v>
      </c>
      <c r="K1490" s="250">
        <f>2.1*200</f>
        <v>420</v>
      </c>
      <c r="N1490" s="235">
        <v>0</v>
      </c>
      <c r="O1490" s="235">
        <f t="shared" si="129"/>
        <v>440.00000000000006</v>
      </c>
      <c r="P1490" s="238" t="s">
        <v>5478</v>
      </c>
      <c r="Q1490" s="5" t="s">
        <v>1571</v>
      </c>
      <c r="R1490" s="239" t="s">
        <v>168</v>
      </c>
      <c r="S1490" s="238" t="s">
        <v>168</v>
      </c>
      <c r="T1490" s="238" t="s">
        <v>168</v>
      </c>
      <c r="U1490" s="238" t="s">
        <v>168</v>
      </c>
      <c r="AB1490" s="5" t="s">
        <v>1570</v>
      </c>
    </row>
    <row r="1491" spans="1:28">
      <c r="A1491" s="233">
        <v>41344</v>
      </c>
      <c r="B1491" s="1" t="s">
        <v>3514</v>
      </c>
      <c r="C1491" s="1" t="s">
        <v>163</v>
      </c>
      <c r="D1491" s="1" t="s">
        <v>355</v>
      </c>
      <c r="E1491" s="5" t="s">
        <v>3518</v>
      </c>
      <c r="F1491" s="5">
        <v>120</v>
      </c>
      <c r="G1491" s="1" t="s">
        <v>171</v>
      </c>
      <c r="H1491" s="234">
        <v>18</v>
      </c>
      <c r="I1491" s="235">
        <f>F1491*H1491</f>
        <v>2160</v>
      </c>
      <c r="K1491" s="250">
        <f>10.94*120</f>
        <v>1312.8</v>
      </c>
      <c r="L1491" s="237">
        <v>41345</v>
      </c>
      <c r="M1491" s="1" t="s">
        <v>166</v>
      </c>
      <c r="N1491" s="235">
        <f t="shared" si="131"/>
        <v>2160</v>
      </c>
      <c r="O1491" s="235">
        <f t="shared" ref="O1491:O1505" si="135">I1491-N1491</f>
        <v>0</v>
      </c>
      <c r="P1491" s="238" t="s">
        <v>5479</v>
      </c>
      <c r="Q1491" s="1" t="s">
        <v>1571</v>
      </c>
      <c r="R1491" s="239" t="s">
        <v>3516</v>
      </c>
      <c r="S1491" s="238" t="s">
        <v>3517</v>
      </c>
      <c r="T1491" s="238" t="s">
        <v>1571</v>
      </c>
      <c r="V1491" s="238" t="s">
        <v>176</v>
      </c>
      <c r="AB1491" s="1" t="s">
        <v>2079</v>
      </c>
    </row>
    <row r="1492" spans="1:28">
      <c r="A1492" s="233">
        <v>41344</v>
      </c>
      <c r="B1492" s="1" t="s">
        <v>3514</v>
      </c>
      <c r="C1492" s="1" t="s">
        <v>163</v>
      </c>
      <c r="D1492" s="1" t="s">
        <v>269</v>
      </c>
      <c r="E1492" s="5" t="s">
        <v>178</v>
      </c>
      <c r="F1492" s="5">
        <v>200</v>
      </c>
      <c r="G1492" s="1" t="s">
        <v>172</v>
      </c>
      <c r="H1492" s="234">
        <v>2</v>
      </c>
      <c r="I1492" s="235">
        <f>F1492*H1492</f>
        <v>400</v>
      </c>
      <c r="K1492" s="250">
        <f>1.17*200</f>
        <v>234</v>
      </c>
      <c r="L1492" s="237">
        <v>41345</v>
      </c>
      <c r="M1492" s="1" t="s">
        <v>166</v>
      </c>
      <c r="N1492" s="235">
        <f t="shared" si="131"/>
        <v>400</v>
      </c>
      <c r="O1492" s="235">
        <f t="shared" si="135"/>
        <v>0</v>
      </c>
      <c r="P1492" s="238" t="s">
        <v>5479</v>
      </c>
      <c r="Q1492" s="1" t="s">
        <v>1571</v>
      </c>
      <c r="R1492" s="239" t="s">
        <v>3516</v>
      </c>
      <c r="S1492" s="238" t="s">
        <v>3517</v>
      </c>
      <c r="T1492" s="238" t="s">
        <v>1571</v>
      </c>
      <c r="V1492" s="238" t="s">
        <v>176</v>
      </c>
      <c r="AB1492" s="1" t="s">
        <v>2079</v>
      </c>
    </row>
    <row r="1493" spans="1:28">
      <c r="A1493" s="233">
        <v>41344</v>
      </c>
      <c r="B1493" s="326" t="s">
        <v>1991</v>
      </c>
      <c r="C1493" s="326" t="s">
        <v>163</v>
      </c>
      <c r="D1493" s="1" t="s">
        <v>1219</v>
      </c>
      <c r="E1493" s="1" t="s">
        <v>5480</v>
      </c>
      <c r="F1493" s="1">
        <v>11</v>
      </c>
      <c r="G1493" s="1" t="s">
        <v>5481</v>
      </c>
      <c r="H1493" s="234">
        <v>13.5</v>
      </c>
      <c r="I1493" s="236">
        <f t="shared" ref="I1493" si="136">H1493*F1493</f>
        <v>148.5</v>
      </c>
      <c r="K1493" s="250">
        <f>12.6*11</f>
        <v>138.6</v>
      </c>
      <c r="L1493" s="237">
        <v>41344</v>
      </c>
      <c r="M1493" s="1" t="s">
        <v>5482</v>
      </c>
      <c r="N1493" s="235">
        <f t="shared" si="131"/>
        <v>148.5</v>
      </c>
      <c r="O1493" s="235">
        <f t="shared" si="135"/>
        <v>0</v>
      </c>
      <c r="P1493" s="238" t="s">
        <v>5483</v>
      </c>
      <c r="Q1493" s="1" t="s">
        <v>1571</v>
      </c>
      <c r="R1493" s="239" t="s">
        <v>3505</v>
      </c>
      <c r="S1493" s="238" t="s">
        <v>168</v>
      </c>
      <c r="T1493" s="238" t="s">
        <v>168</v>
      </c>
      <c r="U1493" s="238" t="s">
        <v>1571</v>
      </c>
      <c r="AB1493" s="1" t="s">
        <v>1570</v>
      </c>
    </row>
    <row r="1494" spans="1:28">
      <c r="A1494" s="233">
        <v>41344</v>
      </c>
      <c r="B1494" s="1" t="s">
        <v>583</v>
      </c>
      <c r="C1494" s="1" t="s">
        <v>163</v>
      </c>
      <c r="D1494" s="5" t="s">
        <v>857</v>
      </c>
      <c r="E1494" s="1">
        <v>9032</v>
      </c>
      <c r="F1494" s="1">
        <v>500</v>
      </c>
      <c r="G1494" s="1" t="s">
        <v>171</v>
      </c>
      <c r="H1494" s="234">
        <v>2.6</v>
      </c>
      <c r="I1494" s="236">
        <f>H1494*F1494</f>
        <v>1300</v>
      </c>
      <c r="K1494" s="250">
        <f>1.4929*500</f>
        <v>746.44999999999993</v>
      </c>
      <c r="L1494" s="237">
        <v>41343</v>
      </c>
      <c r="M1494" s="1" t="s">
        <v>5470</v>
      </c>
      <c r="N1494" s="235">
        <f t="shared" si="131"/>
        <v>1300</v>
      </c>
      <c r="O1494" s="235">
        <f t="shared" si="135"/>
        <v>0</v>
      </c>
      <c r="P1494" s="238" t="s">
        <v>5484</v>
      </c>
      <c r="Q1494" s="1" t="s">
        <v>5356</v>
      </c>
      <c r="R1494" s="239" t="s">
        <v>585</v>
      </c>
      <c r="S1494" s="238" t="s">
        <v>586</v>
      </c>
      <c r="T1494" s="238" t="s">
        <v>2252</v>
      </c>
      <c r="U1494" s="238" t="s">
        <v>5766</v>
      </c>
      <c r="V1494" s="238" t="s">
        <v>255</v>
      </c>
      <c r="W1494" s="236" t="s">
        <v>168</v>
      </c>
      <c r="X1494" s="233" t="s">
        <v>168</v>
      </c>
      <c r="Y1494" s="239" t="s">
        <v>168</v>
      </c>
      <c r="AB1494" s="1" t="s">
        <v>384</v>
      </c>
    </row>
    <row r="1495" spans="1:28">
      <c r="A1495" s="233">
        <v>41344</v>
      </c>
      <c r="B1495" s="1" t="s">
        <v>5160</v>
      </c>
      <c r="C1495" s="5" t="s">
        <v>163</v>
      </c>
      <c r="D1495" s="1" t="s">
        <v>1216</v>
      </c>
      <c r="E1495" s="1">
        <v>3200</v>
      </c>
      <c r="F1495" s="1">
        <v>200</v>
      </c>
      <c r="G1495" s="1" t="s">
        <v>171</v>
      </c>
      <c r="H1495" s="234">
        <v>26.81</v>
      </c>
      <c r="I1495" s="235">
        <f t="shared" ref="I1495:I1504" si="137">F1495*H1495</f>
        <v>5362</v>
      </c>
      <c r="K1495" s="250">
        <f>23.94*200</f>
        <v>4788</v>
      </c>
      <c r="L1495" s="237">
        <v>41344</v>
      </c>
      <c r="M1495" s="1" t="s">
        <v>5482</v>
      </c>
      <c r="N1495" s="235">
        <f t="shared" si="131"/>
        <v>5362</v>
      </c>
      <c r="O1495" s="235">
        <f t="shared" si="135"/>
        <v>0</v>
      </c>
      <c r="P1495" s="238" t="s">
        <v>5489</v>
      </c>
      <c r="Q1495" s="1" t="s">
        <v>5356</v>
      </c>
      <c r="R1495" s="239" t="s">
        <v>5162</v>
      </c>
      <c r="S1495" s="238" t="s">
        <v>5163</v>
      </c>
      <c r="T1495" s="238" t="s">
        <v>2252</v>
      </c>
      <c r="U1495" s="238" t="s">
        <v>5765</v>
      </c>
      <c r="V1495" s="238" t="s">
        <v>176</v>
      </c>
      <c r="W1495" s="236" t="s">
        <v>168</v>
      </c>
      <c r="X1495" s="233" t="s">
        <v>168</v>
      </c>
      <c r="Y1495" s="239" t="s">
        <v>168</v>
      </c>
      <c r="AB1495" s="1" t="s">
        <v>1570</v>
      </c>
    </row>
    <row r="1496" spans="1:28">
      <c r="A1496" s="233">
        <v>41344</v>
      </c>
      <c r="B1496" s="1" t="s">
        <v>5160</v>
      </c>
      <c r="C1496" s="5" t="s">
        <v>163</v>
      </c>
      <c r="D1496" s="5" t="s">
        <v>348</v>
      </c>
      <c r="E1496" s="1">
        <v>3700</v>
      </c>
      <c r="F1496" s="1">
        <v>200</v>
      </c>
      <c r="G1496" s="1" t="s">
        <v>171</v>
      </c>
      <c r="H1496" s="234">
        <v>3.46</v>
      </c>
      <c r="I1496" s="235">
        <f t="shared" si="137"/>
        <v>692</v>
      </c>
      <c r="K1496" s="250">
        <f>3.09*200</f>
        <v>618</v>
      </c>
      <c r="L1496" s="237">
        <v>41344</v>
      </c>
      <c r="M1496" s="1" t="s">
        <v>5482</v>
      </c>
      <c r="N1496" s="235">
        <f t="shared" si="131"/>
        <v>692</v>
      </c>
      <c r="O1496" s="235">
        <f t="shared" si="135"/>
        <v>0</v>
      </c>
      <c r="P1496" s="238" t="s">
        <v>5489</v>
      </c>
      <c r="Q1496" s="1" t="s">
        <v>5356</v>
      </c>
      <c r="R1496" s="239" t="s">
        <v>5162</v>
      </c>
      <c r="S1496" s="238" t="s">
        <v>5163</v>
      </c>
      <c r="T1496" s="238" t="s">
        <v>2252</v>
      </c>
      <c r="U1496" s="238" t="s">
        <v>5765</v>
      </c>
      <c r="V1496" s="238" t="s">
        <v>176</v>
      </c>
      <c r="W1496" s="236" t="s">
        <v>168</v>
      </c>
      <c r="X1496" s="233" t="s">
        <v>168</v>
      </c>
      <c r="Y1496" s="239" t="s">
        <v>168</v>
      </c>
      <c r="AB1496" s="1" t="s">
        <v>1570</v>
      </c>
    </row>
    <row r="1497" spans="1:28">
      <c r="A1497" s="233">
        <v>41344</v>
      </c>
      <c r="B1497" s="1" t="s">
        <v>5160</v>
      </c>
      <c r="C1497" s="5" t="s">
        <v>163</v>
      </c>
      <c r="D1497" s="5" t="s">
        <v>183</v>
      </c>
      <c r="E1497" s="1" t="s">
        <v>187</v>
      </c>
      <c r="F1497" s="1">
        <v>200</v>
      </c>
      <c r="G1497" s="1" t="s">
        <v>172</v>
      </c>
      <c r="H1497" s="234">
        <v>1.73</v>
      </c>
      <c r="I1497" s="235">
        <f t="shared" si="137"/>
        <v>346</v>
      </c>
      <c r="K1497" s="250">
        <f>1.54*200</f>
        <v>308</v>
      </c>
      <c r="L1497" s="237">
        <v>41344</v>
      </c>
      <c r="M1497" s="1" t="s">
        <v>5482</v>
      </c>
      <c r="N1497" s="235">
        <f t="shared" si="131"/>
        <v>346</v>
      </c>
      <c r="O1497" s="235">
        <f t="shared" si="135"/>
        <v>0</v>
      </c>
      <c r="P1497" s="238" t="s">
        <v>5489</v>
      </c>
      <c r="Q1497" s="1" t="s">
        <v>5356</v>
      </c>
      <c r="R1497" s="239" t="s">
        <v>5162</v>
      </c>
      <c r="S1497" s="238" t="s">
        <v>5163</v>
      </c>
      <c r="T1497" s="238" t="s">
        <v>2252</v>
      </c>
      <c r="U1497" s="238" t="s">
        <v>5765</v>
      </c>
      <c r="V1497" s="238" t="s">
        <v>176</v>
      </c>
      <c r="W1497" s="236" t="s">
        <v>168</v>
      </c>
      <c r="X1497" s="233" t="s">
        <v>168</v>
      </c>
      <c r="Y1497" s="239" t="s">
        <v>168</v>
      </c>
      <c r="AB1497" s="1" t="s">
        <v>1570</v>
      </c>
    </row>
    <row r="1498" spans="1:28">
      <c r="A1498" s="233">
        <v>41344</v>
      </c>
      <c r="B1498" s="1" t="s">
        <v>1578</v>
      </c>
      <c r="C1498" s="1" t="s">
        <v>163</v>
      </c>
      <c r="D1498" s="327" t="s">
        <v>1984</v>
      </c>
      <c r="E1498" s="1" t="s">
        <v>5497</v>
      </c>
      <c r="F1498" s="1">
        <v>10000</v>
      </c>
      <c r="G1498" s="1" t="s">
        <v>5491</v>
      </c>
      <c r="H1498" s="234">
        <v>1.8</v>
      </c>
      <c r="I1498" s="235">
        <f t="shared" si="137"/>
        <v>18000</v>
      </c>
      <c r="K1498" s="250">
        <f>1.55*10000</f>
        <v>15500</v>
      </c>
      <c r="L1498" s="237">
        <v>41361</v>
      </c>
      <c r="M1498" s="1" t="s">
        <v>167</v>
      </c>
      <c r="N1498" s="235">
        <f t="shared" si="131"/>
        <v>18000</v>
      </c>
      <c r="O1498" s="235">
        <f t="shared" si="135"/>
        <v>0</v>
      </c>
      <c r="P1498" s="238" t="s">
        <v>5573</v>
      </c>
      <c r="Q1498" s="1" t="s">
        <v>1580</v>
      </c>
      <c r="R1498" s="239" t="s">
        <v>1579</v>
      </c>
      <c r="S1498" s="238">
        <v>13368068212</v>
      </c>
      <c r="T1498" s="238" t="s">
        <v>168</v>
      </c>
      <c r="U1498" s="238" t="s">
        <v>168</v>
      </c>
      <c r="V1498" s="238" t="s">
        <v>5574</v>
      </c>
      <c r="W1498" s="236">
        <v>18072</v>
      </c>
      <c r="X1498" s="233">
        <v>41347</v>
      </c>
      <c r="Y1498" s="238" t="s">
        <v>3895</v>
      </c>
      <c r="AB1498" s="5" t="s">
        <v>1570</v>
      </c>
    </row>
    <row r="1499" spans="1:28">
      <c r="A1499" s="233">
        <v>41345</v>
      </c>
      <c r="B1499" s="1" t="s">
        <v>4140</v>
      </c>
      <c r="C1499" s="1" t="s">
        <v>163</v>
      </c>
      <c r="D1499" s="5" t="s">
        <v>1912</v>
      </c>
      <c r="E1499" s="1" t="s">
        <v>4538</v>
      </c>
      <c r="F1499" s="1">
        <v>8</v>
      </c>
      <c r="G1499" s="1" t="s">
        <v>5491</v>
      </c>
      <c r="H1499" s="234">
        <v>48.35</v>
      </c>
      <c r="I1499" s="235">
        <f t="shared" si="137"/>
        <v>386.8</v>
      </c>
      <c r="K1499" s="250">
        <f>44.5*6+42.5*2</f>
        <v>352</v>
      </c>
      <c r="L1499" s="237">
        <v>41346</v>
      </c>
      <c r="M1499" s="1" t="s">
        <v>5528</v>
      </c>
      <c r="N1499" s="235">
        <f t="shared" si="131"/>
        <v>386.8</v>
      </c>
      <c r="O1499" s="235">
        <f t="shared" si="135"/>
        <v>0</v>
      </c>
      <c r="P1499" s="238" t="s">
        <v>5498</v>
      </c>
      <c r="Q1499" s="1" t="s">
        <v>1571</v>
      </c>
      <c r="R1499" s="239" t="s">
        <v>4142</v>
      </c>
      <c r="S1499" s="238" t="s">
        <v>4143</v>
      </c>
      <c r="T1499" s="238" t="s">
        <v>4144</v>
      </c>
      <c r="V1499" s="238" t="s">
        <v>176</v>
      </c>
      <c r="AB1499" s="1" t="s">
        <v>1570</v>
      </c>
    </row>
    <row r="1500" spans="1:28">
      <c r="A1500" s="233">
        <v>41345</v>
      </c>
      <c r="B1500" s="1" t="s">
        <v>4140</v>
      </c>
      <c r="C1500" s="1" t="s">
        <v>163</v>
      </c>
      <c r="D1500" s="5" t="s">
        <v>274</v>
      </c>
      <c r="E1500" s="1" t="s">
        <v>783</v>
      </c>
      <c r="F1500" s="1">
        <v>16</v>
      </c>
      <c r="G1500" s="1" t="s">
        <v>5491</v>
      </c>
      <c r="H1500" s="234">
        <v>35</v>
      </c>
      <c r="I1500" s="235">
        <f t="shared" si="137"/>
        <v>560</v>
      </c>
      <c r="K1500" s="250">
        <f>29*16</f>
        <v>464</v>
      </c>
      <c r="L1500" s="237">
        <v>41346</v>
      </c>
      <c r="M1500" s="1" t="s">
        <v>5528</v>
      </c>
      <c r="N1500" s="235">
        <f t="shared" si="131"/>
        <v>560</v>
      </c>
      <c r="O1500" s="235">
        <f t="shared" si="135"/>
        <v>0</v>
      </c>
      <c r="P1500" s="238" t="s">
        <v>5498</v>
      </c>
      <c r="Q1500" s="1" t="s">
        <v>1571</v>
      </c>
      <c r="R1500" s="239" t="s">
        <v>4142</v>
      </c>
      <c r="S1500" s="238" t="s">
        <v>4143</v>
      </c>
      <c r="T1500" s="238" t="s">
        <v>4144</v>
      </c>
      <c r="V1500" s="238" t="s">
        <v>176</v>
      </c>
      <c r="AB1500" s="1" t="s">
        <v>1570</v>
      </c>
    </row>
    <row r="1501" spans="1:28">
      <c r="A1501" s="233">
        <v>41345</v>
      </c>
      <c r="B1501" s="1" t="s">
        <v>4140</v>
      </c>
      <c r="C1501" s="1" t="s">
        <v>163</v>
      </c>
      <c r="D1501" s="5" t="s">
        <v>183</v>
      </c>
      <c r="E1501" s="1" t="s">
        <v>195</v>
      </c>
      <c r="F1501" s="1">
        <v>16</v>
      </c>
      <c r="G1501" s="1" t="s">
        <v>5494</v>
      </c>
      <c r="H1501" s="234">
        <v>5.6</v>
      </c>
      <c r="I1501" s="235">
        <f t="shared" si="137"/>
        <v>89.6</v>
      </c>
      <c r="K1501" s="250">
        <f>4.78*16</f>
        <v>76.48</v>
      </c>
      <c r="L1501" s="237">
        <v>41346</v>
      </c>
      <c r="M1501" s="1" t="s">
        <v>5528</v>
      </c>
      <c r="N1501" s="235">
        <f t="shared" si="131"/>
        <v>89.6</v>
      </c>
      <c r="O1501" s="235">
        <f t="shared" si="135"/>
        <v>0</v>
      </c>
      <c r="P1501" s="238" t="s">
        <v>5498</v>
      </c>
      <c r="Q1501" s="1" t="s">
        <v>1571</v>
      </c>
      <c r="R1501" s="239" t="s">
        <v>4142</v>
      </c>
      <c r="S1501" s="238" t="s">
        <v>4143</v>
      </c>
      <c r="T1501" s="238" t="s">
        <v>4144</v>
      </c>
      <c r="V1501" s="238" t="s">
        <v>176</v>
      </c>
      <c r="AB1501" s="1" t="s">
        <v>1570</v>
      </c>
    </row>
    <row r="1502" spans="1:28">
      <c r="A1502" s="233">
        <v>41345</v>
      </c>
      <c r="B1502" s="1" t="s">
        <v>4140</v>
      </c>
      <c r="C1502" s="1" t="s">
        <v>163</v>
      </c>
      <c r="D1502" s="5" t="s">
        <v>1882</v>
      </c>
      <c r="E1502" s="1">
        <v>501</v>
      </c>
      <c r="F1502" s="1">
        <v>16</v>
      </c>
      <c r="G1502" s="1" t="s">
        <v>5491</v>
      </c>
      <c r="H1502" s="234">
        <v>1.7250000000000001</v>
      </c>
      <c r="I1502" s="235">
        <f t="shared" si="137"/>
        <v>27.6</v>
      </c>
      <c r="K1502" s="250">
        <f>1.39</f>
        <v>1.39</v>
      </c>
      <c r="L1502" s="237">
        <v>41346</v>
      </c>
      <c r="M1502" s="1" t="s">
        <v>5528</v>
      </c>
      <c r="N1502" s="235">
        <f t="shared" si="131"/>
        <v>27.6</v>
      </c>
      <c r="O1502" s="235">
        <f t="shared" si="135"/>
        <v>0</v>
      </c>
      <c r="P1502" s="238" t="s">
        <v>5498</v>
      </c>
      <c r="Q1502" s="1" t="s">
        <v>1571</v>
      </c>
      <c r="R1502" s="239" t="s">
        <v>4142</v>
      </c>
      <c r="S1502" s="238" t="s">
        <v>4143</v>
      </c>
      <c r="T1502" s="238" t="s">
        <v>4144</v>
      </c>
      <c r="V1502" s="238" t="s">
        <v>176</v>
      </c>
      <c r="AB1502" s="1" t="s">
        <v>1570</v>
      </c>
    </row>
    <row r="1503" spans="1:28">
      <c r="A1503" s="233">
        <v>41345</v>
      </c>
      <c r="B1503" s="1" t="s">
        <v>4140</v>
      </c>
      <c r="C1503" s="1" t="s">
        <v>163</v>
      </c>
      <c r="D1503" s="5" t="s">
        <v>1907</v>
      </c>
      <c r="E1503" s="1">
        <v>1436</v>
      </c>
      <c r="F1503" s="1">
        <v>3</v>
      </c>
      <c r="G1503" s="1" t="s">
        <v>5495</v>
      </c>
      <c r="H1503" s="234">
        <v>35</v>
      </c>
      <c r="I1503" s="235">
        <f t="shared" si="137"/>
        <v>105</v>
      </c>
      <c r="K1503" s="250">
        <f>29.66*3</f>
        <v>88.98</v>
      </c>
      <c r="L1503" s="237">
        <v>41346</v>
      </c>
      <c r="M1503" s="1" t="s">
        <v>5528</v>
      </c>
      <c r="N1503" s="235">
        <f t="shared" si="131"/>
        <v>105</v>
      </c>
      <c r="O1503" s="235">
        <f t="shared" si="135"/>
        <v>0</v>
      </c>
      <c r="P1503" s="238" t="s">
        <v>5498</v>
      </c>
      <c r="Q1503" s="1" t="s">
        <v>1571</v>
      </c>
      <c r="R1503" s="239" t="s">
        <v>4142</v>
      </c>
      <c r="S1503" s="238" t="s">
        <v>4143</v>
      </c>
      <c r="T1503" s="238" t="s">
        <v>4144</v>
      </c>
      <c r="V1503" s="238" t="s">
        <v>176</v>
      </c>
      <c r="AB1503" s="1" t="s">
        <v>1570</v>
      </c>
    </row>
    <row r="1504" spans="1:28">
      <c r="A1504" s="233">
        <v>41345</v>
      </c>
      <c r="B1504" s="1" t="s">
        <v>3162</v>
      </c>
      <c r="C1504" s="5" t="s">
        <v>163</v>
      </c>
      <c r="D1504" s="5" t="s">
        <v>2027</v>
      </c>
      <c r="E1504" s="1" t="s">
        <v>1569</v>
      </c>
      <c r="F1504" s="1">
        <v>3</v>
      </c>
      <c r="G1504" s="1" t="s">
        <v>193</v>
      </c>
      <c r="H1504" s="234">
        <v>45</v>
      </c>
      <c r="I1504" s="235">
        <f t="shared" si="137"/>
        <v>135</v>
      </c>
      <c r="K1504" s="250">
        <f>33.111*3</f>
        <v>99.332999999999998</v>
      </c>
      <c r="L1504" s="237">
        <v>41345</v>
      </c>
      <c r="M1504" s="1" t="s">
        <v>700</v>
      </c>
      <c r="N1504" s="235">
        <f t="shared" si="131"/>
        <v>135</v>
      </c>
      <c r="O1504" s="235">
        <f t="shared" si="135"/>
        <v>0</v>
      </c>
      <c r="P1504" s="238" t="s">
        <v>5501</v>
      </c>
      <c r="Q1504" s="328" t="s">
        <v>3146</v>
      </c>
      <c r="R1504" s="239" t="s">
        <v>3164</v>
      </c>
      <c r="S1504" s="238" t="s">
        <v>3165</v>
      </c>
      <c r="T1504" s="238" t="s">
        <v>2709</v>
      </c>
      <c r="U1504" s="238" t="s">
        <v>5502</v>
      </c>
      <c r="V1504" s="238" t="s">
        <v>176</v>
      </c>
      <c r="AB1504" s="328" t="s">
        <v>3095</v>
      </c>
    </row>
    <row r="1505" spans="1:28">
      <c r="A1505" s="233">
        <v>41345</v>
      </c>
      <c r="B1505" s="228" t="s">
        <v>1496</v>
      </c>
      <c r="C1505" s="1" t="s">
        <v>163</v>
      </c>
      <c r="D1505" s="328" t="s">
        <v>1929</v>
      </c>
      <c r="E1505" s="1">
        <v>6800</v>
      </c>
      <c r="F1505" s="1">
        <v>12</v>
      </c>
      <c r="G1505" s="1" t="s">
        <v>5505</v>
      </c>
      <c r="H1505" s="234">
        <v>455</v>
      </c>
      <c r="I1505" s="236">
        <f>H1505*F1505</f>
        <v>5460</v>
      </c>
      <c r="K1505" s="250">
        <f>420*12</f>
        <v>5040</v>
      </c>
      <c r="L1505" s="237">
        <v>41347</v>
      </c>
      <c r="M1505" s="1" t="s">
        <v>167</v>
      </c>
      <c r="N1505" s="235">
        <f t="shared" si="131"/>
        <v>5460</v>
      </c>
      <c r="O1505" s="235">
        <f t="shared" si="135"/>
        <v>0</v>
      </c>
      <c r="P1505" s="238" t="s">
        <v>5506</v>
      </c>
      <c r="Q1505" s="328" t="s">
        <v>5507</v>
      </c>
      <c r="R1505" s="239" t="s">
        <v>4357</v>
      </c>
      <c r="S1505" s="238" t="s">
        <v>4358</v>
      </c>
      <c r="T1505" s="238" t="s">
        <v>1479</v>
      </c>
      <c r="U1505" s="238" t="s">
        <v>5511</v>
      </c>
      <c r="V1505" s="238" t="s">
        <v>5577</v>
      </c>
      <c r="W1505" s="236">
        <v>18140</v>
      </c>
      <c r="X1505" s="233">
        <v>41347</v>
      </c>
      <c r="Y1505" s="238" t="s">
        <v>5587</v>
      </c>
      <c r="AB1505" s="1" t="s">
        <v>1570</v>
      </c>
    </row>
    <row r="1506" spans="1:28">
      <c r="A1506" s="233">
        <v>41345</v>
      </c>
      <c r="B1506" s="1" t="s">
        <v>2186</v>
      </c>
      <c r="C1506" s="1" t="s">
        <v>163</v>
      </c>
      <c r="D1506" s="5" t="s">
        <v>183</v>
      </c>
      <c r="E1506" s="1" t="s">
        <v>234</v>
      </c>
      <c r="F1506" s="1">
        <v>600</v>
      </c>
      <c r="G1506" s="1" t="s">
        <v>232</v>
      </c>
      <c r="H1506" s="234">
        <v>5.64</v>
      </c>
      <c r="I1506" s="235">
        <f t="shared" ref="I1506" si="138">F1506*H1506</f>
        <v>3384</v>
      </c>
      <c r="K1506" s="250">
        <f>4.75*600</f>
        <v>2850</v>
      </c>
      <c r="L1506" s="237">
        <v>41376</v>
      </c>
      <c r="M1506" s="1" t="s">
        <v>167</v>
      </c>
      <c r="N1506" s="235">
        <f t="shared" si="131"/>
        <v>3384</v>
      </c>
      <c r="O1506" s="235">
        <f>I1506-N1506</f>
        <v>0</v>
      </c>
      <c r="P1506" s="238" t="s">
        <v>168</v>
      </c>
      <c r="Q1506" s="1" t="s">
        <v>4284</v>
      </c>
      <c r="R1506" s="239" t="s">
        <v>2401</v>
      </c>
      <c r="S1506" s="238" t="s">
        <v>2402</v>
      </c>
      <c r="T1506" s="238" t="s">
        <v>3714</v>
      </c>
      <c r="U1506" s="238" t="s">
        <v>5512</v>
      </c>
      <c r="V1506" s="238" t="s">
        <v>5736</v>
      </c>
      <c r="W1506" s="236">
        <v>113433.12</v>
      </c>
      <c r="X1506" s="233">
        <v>41354</v>
      </c>
      <c r="Y1506" s="238" t="s">
        <v>5737</v>
      </c>
      <c r="AB1506" s="1" t="s">
        <v>1570</v>
      </c>
    </row>
    <row r="1507" spans="1:28">
      <c r="A1507" s="233">
        <v>41345</v>
      </c>
      <c r="B1507" s="1" t="s">
        <v>2716</v>
      </c>
      <c r="C1507" s="5" t="s">
        <v>163</v>
      </c>
      <c r="D1507" s="1" t="s">
        <v>241</v>
      </c>
      <c r="E1507" s="1">
        <v>6200</v>
      </c>
      <c r="F1507" s="1">
        <v>24</v>
      </c>
      <c r="G1507" s="1" t="s">
        <v>5491</v>
      </c>
      <c r="H1507" s="234">
        <v>46.06</v>
      </c>
      <c r="I1507" s="235">
        <f t="shared" ref="I1507:I1512" si="139">F1507*H1507</f>
        <v>1105.44</v>
      </c>
      <c r="K1507" s="250">
        <f>44.5*24</f>
        <v>1068</v>
      </c>
      <c r="L1507" s="237">
        <v>41346</v>
      </c>
      <c r="M1507" s="1" t="s">
        <v>167</v>
      </c>
      <c r="N1507" s="235">
        <f t="shared" si="131"/>
        <v>1105.44</v>
      </c>
      <c r="O1507" s="235">
        <f t="shared" ref="O1507:O1513" si="140">I1507-N1507</f>
        <v>0</v>
      </c>
      <c r="P1507" s="238" t="s">
        <v>5508</v>
      </c>
      <c r="Q1507" s="1" t="s">
        <v>5509</v>
      </c>
      <c r="R1507" s="239" t="s">
        <v>2712</v>
      </c>
      <c r="S1507" s="238" t="s">
        <v>2713</v>
      </c>
      <c r="T1507" s="238" t="s">
        <v>2581</v>
      </c>
      <c r="U1507" s="238" t="s">
        <v>5510</v>
      </c>
      <c r="V1507" s="238" t="s">
        <v>6389</v>
      </c>
      <c r="W1507" s="236">
        <v>3174</v>
      </c>
      <c r="X1507" s="233">
        <v>41381</v>
      </c>
      <c r="Y1507" s="238" t="s">
        <v>6390</v>
      </c>
      <c r="AB1507" s="1" t="s">
        <v>1570</v>
      </c>
    </row>
    <row r="1508" spans="1:28">
      <c r="A1508" s="233">
        <v>41345</v>
      </c>
      <c r="B1508" s="1" t="s">
        <v>2716</v>
      </c>
      <c r="C1508" s="5" t="s">
        <v>163</v>
      </c>
      <c r="D1508" s="5" t="s">
        <v>1895</v>
      </c>
      <c r="E1508" s="1" t="s">
        <v>5492</v>
      </c>
      <c r="F1508" s="1">
        <v>48</v>
      </c>
      <c r="G1508" s="1" t="s">
        <v>5491</v>
      </c>
      <c r="H1508" s="234">
        <v>19.86</v>
      </c>
      <c r="I1508" s="235">
        <f t="shared" si="139"/>
        <v>953.28</v>
      </c>
      <c r="K1508" s="250">
        <f>17.25*48</f>
        <v>828</v>
      </c>
      <c r="L1508" s="237">
        <v>41346</v>
      </c>
      <c r="M1508" s="1" t="s">
        <v>167</v>
      </c>
      <c r="N1508" s="235">
        <f t="shared" si="131"/>
        <v>953.28</v>
      </c>
      <c r="O1508" s="235">
        <f t="shared" si="140"/>
        <v>0</v>
      </c>
      <c r="P1508" s="238" t="s">
        <v>5508</v>
      </c>
      <c r="Q1508" s="1" t="s">
        <v>5509</v>
      </c>
      <c r="R1508" s="239" t="s">
        <v>2712</v>
      </c>
      <c r="S1508" s="238" t="s">
        <v>2713</v>
      </c>
      <c r="T1508" s="238" t="s">
        <v>2581</v>
      </c>
      <c r="U1508" s="238" t="s">
        <v>5510</v>
      </c>
      <c r="V1508" s="238" t="s">
        <v>6389</v>
      </c>
      <c r="W1508" s="236">
        <v>3174</v>
      </c>
      <c r="X1508" s="233">
        <v>41381</v>
      </c>
      <c r="Y1508" s="238" t="s">
        <v>6390</v>
      </c>
      <c r="AB1508" s="1" t="s">
        <v>1570</v>
      </c>
    </row>
    <row r="1509" spans="1:28">
      <c r="A1509" s="233">
        <v>41345</v>
      </c>
      <c r="B1509" s="1" t="s">
        <v>2716</v>
      </c>
      <c r="C1509" s="5" t="s">
        <v>163</v>
      </c>
      <c r="D1509" s="5" t="s">
        <v>183</v>
      </c>
      <c r="E1509" s="1" t="s">
        <v>5493</v>
      </c>
      <c r="F1509" s="1">
        <v>48</v>
      </c>
      <c r="G1509" s="1" t="s">
        <v>5494</v>
      </c>
      <c r="H1509" s="234">
        <v>5.64</v>
      </c>
      <c r="I1509" s="235">
        <f t="shared" si="139"/>
        <v>270.71999999999997</v>
      </c>
      <c r="K1509" s="250">
        <f>4.75*48</f>
        <v>228</v>
      </c>
      <c r="L1509" s="237">
        <v>41346</v>
      </c>
      <c r="M1509" s="1" t="s">
        <v>167</v>
      </c>
      <c r="N1509" s="235">
        <f t="shared" si="131"/>
        <v>270.71999999999997</v>
      </c>
      <c r="O1509" s="235">
        <f t="shared" si="140"/>
        <v>0</v>
      </c>
      <c r="P1509" s="238" t="s">
        <v>5508</v>
      </c>
      <c r="Q1509" s="1" t="s">
        <v>5509</v>
      </c>
      <c r="R1509" s="239" t="s">
        <v>2712</v>
      </c>
      <c r="S1509" s="238" t="s">
        <v>2713</v>
      </c>
      <c r="T1509" s="238" t="s">
        <v>2581</v>
      </c>
      <c r="U1509" s="238" t="s">
        <v>5510</v>
      </c>
      <c r="V1509" s="238" t="s">
        <v>6389</v>
      </c>
      <c r="W1509" s="236">
        <v>3174</v>
      </c>
      <c r="X1509" s="233">
        <v>41381</v>
      </c>
      <c r="Y1509" s="238" t="s">
        <v>6390</v>
      </c>
      <c r="AB1509" s="1" t="s">
        <v>1570</v>
      </c>
    </row>
    <row r="1510" spans="1:28">
      <c r="A1510" s="233">
        <v>41345</v>
      </c>
      <c r="B1510" s="1" t="s">
        <v>2716</v>
      </c>
      <c r="C1510" s="5" t="s">
        <v>163</v>
      </c>
      <c r="D1510" s="5" t="s">
        <v>1882</v>
      </c>
      <c r="E1510" s="1">
        <v>501</v>
      </c>
      <c r="F1510" s="1">
        <v>48</v>
      </c>
      <c r="G1510" s="1" t="s">
        <v>5491</v>
      </c>
      <c r="H1510" s="234">
        <v>1.47</v>
      </c>
      <c r="I1510" s="235">
        <f t="shared" si="139"/>
        <v>70.56</v>
      </c>
      <c r="K1510" s="250">
        <f>1.4*48</f>
        <v>67.199999999999989</v>
      </c>
      <c r="L1510" s="237">
        <v>41346</v>
      </c>
      <c r="M1510" s="1" t="s">
        <v>167</v>
      </c>
      <c r="N1510" s="235">
        <f t="shared" si="131"/>
        <v>70.56</v>
      </c>
      <c r="O1510" s="235">
        <f t="shared" si="140"/>
        <v>0</v>
      </c>
      <c r="P1510" s="238" t="s">
        <v>5508</v>
      </c>
      <c r="Q1510" s="1" t="s">
        <v>5509</v>
      </c>
      <c r="R1510" s="239" t="s">
        <v>2712</v>
      </c>
      <c r="S1510" s="238" t="s">
        <v>2713</v>
      </c>
      <c r="T1510" s="238" t="s">
        <v>2581</v>
      </c>
      <c r="U1510" s="238" t="s">
        <v>5510</v>
      </c>
      <c r="V1510" s="238" t="s">
        <v>6389</v>
      </c>
      <c r="W1510" s="236">
        <v>3174</v>
      </c>
      <c r="X1510" s="233">
        <v>41381</v>
      </c>
      <c r="Y1510" s="238" t="s">
        <v>6390</v>
      </c>
      <c r="AB1510" s="1" t="s">
        <v>1570</v>
      </c>
    </row>
    <row r="1511" spans="1:28">
      <c r="A1511" s="233">
        <v>41345</v>
      </c>
      <c r="B1511" s="1" t="s">
        <v>2384</v>
      </c>
      <c r="C1511" s="5" t="s">
        <v>163</v>
      </c>
      <c r="D1511" s="1" t="s">
        <v>2024</v>
      </c>
      <c r="E1511" s="327">
        <v>10434</v>
      </c>
      <c r="F1511" s="1">
        <v>100</v>
      </c>
      <c r="G1511" s="1" t="s">
        <v>5495</v>
      </c>
      <c r="H1511" s="234">
        <v>15.6</v>
      </c>
      <c r="I1511" s="235">
        <f t="shared" si="139"/>
        <v>1560</v>
      </c>
      <c r="K1511" s="250">
        <f>14.2*100</f>
        <v>1420</v>
      </c>
      <c r="L1511" s="237">
        <v>41345</v>
      </c>
      <c r="M1511" s="1" t="s">
        <v>5499</v>
      </c>
      <c r="N1511" s="235">
        <f t="shared" si="131"/>
        <v>1560</v>
      </c>
      <c r="O1511" s="235">
        <f t="shared" si="140"/>
        <v>0</v>
      </c>
      <c r="P1511" s="238" t="s">
        <v>5503</v>
      </c>
      <c r="Q1511" s="1" t="s">
        <v>5536</v>
      </c>
      <c r="R1511" s="239" t="s">
        <v>2386</v>
      </c>
      <c r="S1511" s="238" t="s">
        <v>3967</v>
      </c>
      <c r="T1511" s="238" t="s">
        <v>2294</v>
      </c>
      <c r="U1511" s="238" t="s">
        <v>5504</v>
      </c>
      <c r="V1511" s="238" t="s">
        <v>5571</v>
      </c>
      <c r="W1511" s="236">
        <v>2435</v>
      </c>
      <c r="X1511" s="233">
        <v>41347</v>
      </c>
      <c r="Y1511" s="238" t="s">
        <v>5572</v>
      </c>
      <c r="AB1511" s="1" t="s">
        <v>1570</v>
      </c>
    </row>
    <row r="1512" spans="1:28">
      <c r="A1512" s="233">
        <v>41345</v>
      </c>
      <c r="B1512" s="1" t="s">
        <v>5447</v>
      </c>
      <c r="C1512" s="1" t="s">
        <v>163</v>
      </c>
      <c r="D1512" s="5" t="s">
        <v>1895</v>
      </c>
      <c r="E1512" s="5" t="s">
        <v>146</v>
      </c>
      <c r="F1512" s="1">
        <v>220</v>
      </c>
      <c r="G1512" s="1" t="s">
        <v>5491</v>
      </c>
      <c r="H1512" s="234">
        <v>18.350000000000001</v>
      </c>
      <c r="I1512" s="235">
        <f t="shared" si="139"/>
        <v>4037.0000000000005</v>
      </c>
      <c r="K1512" s="250">
        <f>17.25*220</f>
        <v>3795</v>
      </c>
      <c r="L1512" s="237">
        <v>41352</v>
      </c>
      <c r="M1512" s="1" t="s">
        <v>167</v>
      </c>
      <c r="N1512" s="235">
        <f t="shared" si="131"/>
        <v>4037.0000000000005</v>
      </c>
      <c r="O1512" s="235">
        <f t="shared" si="140"/>
        <v>0</v>
      </c>
      <c r="P1512" s="238" t="s">
        <v>5513</v>
      </c>
      <c r="Q1512" s="1" t="s">
        <v>4284</v>
      </c>
      <c r="R1512" s="239" t="s">
        <v>5450</v>
      </c>
      <c r="S1512" s="238" t="s">
        <v>5449</v>
      </c>
      <c r="T1512" s="238" t="s">
        <v>5448</v>
      </c>
      <c r="U1512" s="238" t="s">
        <v>5514</v>
      </c>
      <c r="V1512" s="238" t="s">
        <v>6391</v>
      </c>
      <c r="W1512" s="236">
        <v>5505</v>
      </c>
      <c r="X1512" s="233">
        <v>41381</v>
      </c>
      <c r="Y1512" s="238" t="s">
        <v>6392</v>
      </c>
      <c r="AB1512" s="1" t="s">
        <v>1570</v>
      </c>
    </row>
    <row r="1513" spans="1:28">
      <c r="A1513" s="233">
        <v>41346</v>
      </c>
      <c r="B1513" s="228" t="s">
        <v>1496</v>
      </c>
      <c r="C1513" s="1" t="s">
        <v>163</v>
      </c>
      <c r="D1513" s="328" t="s">
        <v>1929</v>
      </c>
      <c r="E1513" s="1">
        <v>6800</v>
      </c>
      <c r="F1513" s="1">
        <v>26</v>
      </c>
      <c r="G1513" s="1" t="s">
        <v>5505</v>
      </c>
      <c r="H1513" s="234">
        <v>455</v>
      </c>
      <c r="I1513" s="236">
        <f>H1513*F1513</f>
        <v>11830</v>
      </c>
      <c r="K1513" s="250">
        <f>430*26</f>
        <v>11180</v>
      </c>
      <c r="L1513" s="237">
        <v>41347</v>
      </c>
      <c r="M1513" s="1" t="s">
        <v>167</v>
      </c>
      <c r="N1513" s="235">
        <f t="shared" si="131"/>
        <v>11830</v>
      </c>
      <c r="O1513" s="235">
        <f t="shared" si="140"/>
        <v>0</v>
      </c>
      <c r="P1513" s="238" t="s">
        <v>5526</v>
      </c>
      <c r="Q1513" s="329" t="s">
        <v>5536</v>
      </c>
      <c r="R1513" s="239" t="s">
        <v>4357</v>
      </c>
      <c r="S1513" s="238" t="s">
        <v>4358</v>
      </c>
      <c r="T1513" s="238" t="s">
        <v>1479</v>
      </c>
      <c r="U1513" s="238" t="s">
        <v>5537</v>
      </c>
      <c r="V1513" s="238" t="s">
        <v>5577</v>
      </c>
      <c r="W1513" s="236">
        <v>18140</v>
      </c>
      <c r="X1513" s="233">
        <v>41347</v>
      </c>
      <c r="Y1513" s="238" t="s">
        <v>5587</v>
      </c>
      <c r="AB1513" s="1" t="s">
        <v>1570</v>
      </c>
    </row>
    <row r="1514" spans="1:28" ht="11.25" customHeight="1">
      <c r="A1514" s="233">
        <v>41346</v>
      </c>
      <c r="B1514" s="1" t="s">
        <v>701</v>
      </c>
      <c r="C1514" s="1" t="s">
        <v>163</v>
      </c>
      <c r="D1514" s="5" t="s">
        <v>1914</v>
      </c>
      <c r="E1514" s="1">
        <v>52000183617</v>
      </c>
      <c r="F1514" s="1">
        <v>1</v>
      </c>
      <c r="G1514" s="1" t="s">
        <v>3840</v>
      </c>
      <c r="H1514" s="234">
        <v>966</v>
      </c>
      <c r="I1514" s="235">
        <f t="shared" ref="I1514:I1515" si="141">F1514*H1514</f>
        <v>966</v>
      </c>
      <c r="K1514" s="241">
        <f>938*1</f>
        <v>938</v>
      </c>
      <c r="M1514" s="264"/>
      <c r="N1514" s="235">
        <v>0</v>
      </c>
      <c r="O1514" s="235">
        <f>I1514-N1514</f>
        <v>966</v>
      </c>
      <c r="P1514" s="238" t="s">
        <v>168</v>
      </c>
      <c r="Q1514" s="1" t="s">
        <v>728</v>
      </c>
      <c r="R1514" s="239" t="s">
        <v>4668</v>
      </c>
      <c r="S1514" s="238" t="s">
        <v>1700</v>
      </c>
      <c r="T1514" s="238" t="s">
        <v>1699</v>
      </c>
      <c r="U1514" s="238" t="s">
        <v>5551</v>
      </c>
      <c r="V1514" s="238" t="s">
        <v>5575</v>
      </c>
      <c r="W1514" s="236">
        <v>2806.8</v>
      </c>
      <c r="X1514" s="233">
        <v>41347</v>
      </c>
      <c r="Y1514" s="238" t="s">
        <v>5576</v>
      </c>
      <c r="AB1514" s="329" t="s">
        <v>4555</v>
      </c>
    </row>
    <row r="1515" spans="1:28" ht="11.25" customHeight="1">
      <c r="A1515" s="233">
        <v>41346</v>
      </c>
      <c r="B1515" s="1" t="s">
        <v>701</v>
      </c>
      <c r="C1515" s="1" t="s">
        <v>163</v>
      </c>
      <c r="D1515" s="5" t="s">
        <v>843</v>
      </c>
      <c r="E1515" s="1">
        <v>10197</v>
      </c>
      <c r="F1515" s="1">
        <v>1</v>
      </c>
      <c r="G1515" s="1" t="s">
        <v>5554</v>
      </c>
      <c r="H1515" s="234">
        <v>41</v>
      </c>
      <c r="I1515" s="235">
        <f t="shared" si="141"/>
        <v>41</v>
      </c>
      <c r="K1515" s="241">
        <f>39.078*1</f>
        <v>39.078000000000003</v>
      </c>
      <c r="L1515" s="237">
        <v>41346</v>
      </c>
      <c r="M1515" s="5" t="s">
        <v>5555</v>
      </c>
      <c r="N1515" s="235">
        <f t="shared" si="131"/>
        <v>41</v>
      </c>
      <c r="O1515" s="235">
        <f>I1515-N1515</f>
        <v>0</v>
      </c>
      <c r="P1515" s="238" t="s">
        <v>5529</v>
      </c>
      <c r="Q1515" s="1" t="s">
        <v>5529</v>
      </c>
      <c r="R1515" s="1" t="s">
        <v>5529</v>
      </c>
      <c r="S1515" s="1" t="s">
        <v>5529</v>
      </c>
      <c r="T1515" s="1" t="s">
        <v>5529</v>
      </c>
      <c r="U1515" s="1" t="s">
        <v>5529</v>
      </c>
      <c r="V1515" s="238" t="s">
        <v>176</v>
      </c>
      <c r="AB1515" s="329" t="s">
        <v>4555</v>
      </c>
    </row>
    <row r="1516" spans="1:28">
      <c r="A1516" s="233">
        <v>41346</v>
      </c>
      <c r="B1516" s="1" t="s">
        <v>2121</v>
      </c>
      <c r="C1516" s="1" t="s">
        <v>163</v>
      </c>
      <c r="D1516" s="329" t="s">
        <v>5312</v>
      </c>
      <c r="E1516" s="1" t="s">
        <v>5522</v>
      </c>
      <c r="F1516" s="1">
        <v>100</v>
      </c>
      <c r="G1516" s="1" t="s">
        <v>5505</v>
      </c>
      <c r="H1516" s="234">
        <v>1.92</v>
      </c>
      <c r="I1516" s="235">
        <f t="shared" ref="I1516:I1525" si="142">F1516*H1516</f>
        <v>192</v>
      </c>
      <c r="K1516" s="250">
        <f>1.75*100</f>
        <v>175</v>
      </c>
      <c r="L1516" s="237">
        <v>41375</v>
      </c>
      <c r="M1516" s="1" t="s">
        <v>166</v>
      </c>
      <c r="N1516" s="235">
        <f t="shared" si="131"/>
        <v>192</v>
      </c>
      <c r="O1516" s="235">
        <f t="shared" ref="O1516:O1518" si="143">I1516-N1516</f>
        <v>0</v>
      </c>
      <c r="P1516" s="238" t="s">
        <v>5533</v>
      </c>
      <c r="Q1516" s="1" t="s">
        <v>5534</v>
      </c>
      <c r="R1516" s="239" t="s">
        <v>2493</v>
      </c>
      <c r="S1516" s="238" t="s">
        <v>2119</v>
      </c>
      <c r="T1516" s="238" t="s">
        <v>775</v>
      </c>
      <c r="U1516" s="238" t="s">
        <v>5535</v>
      </c>
      <c r="V1516" s="238" t="s">
        <v>176</v>
      </c>
      <c r="AB1516" s="1" t="s">
        <v>1570</v>
      </c>
    </row>
    <row r="1517" spans="1:28">
      <c r="A1517" s="233">
        <v>41346</v>
      </c>
      <c r="B1517" s="1" t="s">
        <v>2121</v>
      </c>
      <c r="C1517" s="1" t="s">
        <v>163</v>
      </c>
      <c r="D1517" s="1" t="s">
        <v>2024</v>
      </c>
      <c r="E1517" s="1">
        <v>10434</v>
      </c>
      <c r="F1517" s="1">
        <v>100</v>
      </c>
      <c r="G1517" s="1" t="s">
        <v>5523</v>
      </c>
      <c r="H1517" s="234">
        <v>16.559999999999999</v>
      </c>
      <c r="I1517" s="235">
        <f t="shared" si="142"/>
        <v>1655.9999999999998</v>
      </c>
      <c r="K1517" s="250">
        <f>14.8*100</f>
        <v>1480</v>
      </c>
      <c r="L1517" s="237">
        <v>41375</v>
      </c>
      <c r="M1517" s="1" t="s">
        <v>166</v>
      </c>
      <c r="N1517" s="235">
        <f t="shared" si="131"/>
        <v>1655.9999999999998</v>
      </c>
      <c r="O1517" s="235">
        <f t="shared" si="143"/>
        <v>0</v>
      </c>
      <c r="P1517" s="238" t="s">
        <v>5533</v>
      </c>
      <c r="Q1517" s="1" t="s">
        <v>5534</v>
      </c>
      <c r="R1517" s="239" t="s">
        <v>2493</v>
      </c>
      <c r="S1517" s="238" t="s">
        <v>2119</v>
      </c>
      <c r="T1517" s="238" t="s">
        <v>775</v>
      </c>
      <c r="U1517" s="238" t="s">
        <v>5535</v>
      </c>
      <c r="V1517" s="238" t="s">
        <v>176</v>
      </c>
      <c r="AB1517" s="1" t="s">
        <v>1570</v>
      </c>
    </row>
    <row r="1518" spans="1:28">
      <c r="A1518" s="233">
        <v>41346</v>
      </c>
      <c r="B1518" s="1" t="s">
        <v>2121</v>
      </c>
      <c r="C1518" s="1" t="s">
        <v>163</v>
      </c>
      <c r="D1518" s="1" t="s">
        <v>1720</v>
      </c>
      <c r="E1518" s="1">
        <v>8210</v>
      </c>
      <c r="F1518" s="1">
        <v>1000</v>
      </c>
      <c r="G1518" s="1" t="s">
        <v>5505</v>
      </c>
      <c r="H1518" s="234">
        <v>4.6500000000000004</v>
      </c>
      <c r="I1518" s="235">
        <f t="shared" si="142"/>
        <v>4650</v>
      </c>
      <c r="K1518" s="250">
        <f>3.78*1000</f>
        <v>3780</v>
      </c>
      <c r="M1518" s="1" t="s">
        <v>166</v>
      </c>
      <c r="N1518" s="235">
        <v>3457</v>
      </c>
      <c r="O1518" s="235">
        <f t="shared" si="143"/>
        <v>1193</v>
      </c>
      <c r="P1518" s="238" t="s">
        <v>5533</v>
      </c>
      <c r="Q1518" s="1" t="s">
        <v>5534</v>
      </c>
      <c r="R1518" s="239" t="s">
        <v>2493</v>
      </c>
      <c r="S1518" s="238" t="s">
        <v>2119</v>
      </c>
      <c r="T1518" s="238" t="s">
        <v>775</v>
      </c>
      <c r="U1518" s="238" t="s">
        <v>5535</v>
      </c>
      <c r="V1518" s="238" t="s">
        <v>176</v>
      </c>
      <c r="AB1518" s="1" t="s">
        <v>1570</v>
      </c>
    </row>
    <row r="1519" spans="1:28">
      <c r="A1519" s="233">
        <v>41346</v>
      </c>
      <c r="B1519" s="1" t="s">
        <v>4369</v>
      </c>
      <c r="C1519" s="1" t="s">
        <v>163</v>
      </c>
      <c r="D1519" s="328" t="s">
        <v>704</v>
      </c>
      <c r="E1519" s="1" t="s">
        <v>5524</v>
      </c>
      <c r="F1519" s="1">
        <v>3172</v>
      </c>
      <c r="G1519" s="1" t="s">
        <v>5505</v>
      </c>
      <c r="H1519" s="234">
        <v>2.6</v>
      </c>
      <c r="I1519" s="235">
        <f t="shared" si="142"/>
        <v>8247.2000000000007</v>
      </c>
      <c r="K1519" s="250">
        <f>2.36*3172</f>
        <v>7485.9199999999992</v>
      </c>
      <c r="L1519" s="237">
        <v>41347</v>
      </c>
      <c r="M1519" s="1" t="s">
        <v>166</v>
      </c>
      <c r="N1519" s="235">
        <f t="shared" si="131"/>
        <v>8247.2000000000007</v>
      </c>
      <c r="O1519" s="235">
        <f t="shared" ref="O1519:O1525" si="144">I1519-N1519</f>
        <v>0</v>
      </c>
      <c r="P1519" s="238" t="s">
        <v>5561</v>
      </c>
      <c r="Q1519" s="1" t="s">
        <v>5416</v>
      </c>
      <c r="R1519" s="239" t="s">
        <v>4372</v>
      </c>
      <c r="S1519" s="238" t="s">
        <v>4373</v>
      </c>
      <c r="T1519" s="238" t="s">
        <v>2256</v>
      </c>
      <c r="U1519" s="238" t="s">
        <v>5532</v>
      </c>
      <c r="V1519" s="238" t="s">
        <v>5578</v>
      </c>
      <c r="W1519" s="236">
        <v>9279.93</v>
      </c>
      <c r="X1519" s="233">
        <v>41347</v>
      </c>
      <c r="Y1519" s="238" t="s">
        <v>5589</v>
      </c>
      <c r="AB1519" s="1" t="s">
        <v>1570</v>
      </c>
    </row>
    <row r="1520" spans="1:28">
      <c r="A1520" s="233">
        <v>41346</v>
      </c>
      <c r="B1520" s="1" t="s">
        <v>2191</v>
      </c>
      <c r="C1520" s="1" t="s">
        <v>163</v>
      </c>
      <c r="D1520" s="1" t="s">
        <v>5559</v>
      </c>
      <c r="E1520" s="1">
        <v>9031</v>
      </c>
      <c r="F1520" s="1">
        <v>20</v>
      </c>
      <c r="G1520" s="1" t="s">
        <v>171</v>
      </c>
      <c r="H1520" s="234">
        <v>1.63</v>
      </c>
      <c r="I1520" s="235">
        <f t="shared" si="142"/>
        <v>32.599999999999994</v>
      </c>
      <c r="K1520" s="250">
        <f>1.4929*20</f>
        <v>29.857999999999997</v>
      </c>
      <c r="L1520" s="237">
        <v>41346</v>
      </c>
      <c r="M1520" s="1" t="s">
        <v>5528</v>
      </c>
      <c r="N1520" s="235">
        <f t="shared" si="131"/>
        <v>32.599999999999994</v>
      </c>
      <c r="O1520" s="235">
        <f t="shared" si="144"/>
        <v>0</v>
      </c>
      <c r="P1520" s="238" t="s">
        <v>5560</v>
      </c>
      <c r="Q1520" s="1" t="s">
        <v>2529</v>
      </c>
      <c r="R1520" s="239" t="s">
        <v>2193</v>
      </c>
      <c r="S1520" s="238" t="s">
        <v>2194</v>
      </c>
      <c r="T1520" s="238" t="s">
        <v>3562</v>
      </c>
      <c r="U1520" s="238" t="s">
        <v>168</v>
      </c>
      <c r="V1520" s="246" t="s">
        <v>176</v>
      </c>
      <c r="W1520" s="236" t="s">
        <v>168</v>
      </c>
      <c r="X1520" s="233" t="s">
        <v>168</v>
      </c>
      <c r="Y1520" s="238" t="s">
        <v>168</v>
      </c>
      <c r="AB1520" s="5" t="s">
        <v>1570</v>
      </c>
    </row>
    <row r="1521" spans="1:28">
      <c r="A1521" s="233">
        <v>41346</v>
      </c>
      <c r="B1521" s="1" t="s">
        <v>2191</v>
      </c>
      <c r="C1521" s="1" t="s">
        <v>163</v>
      </c>
      <c r="D1521" s="1" t="s">
        <v>5558</v>
      </c>
      <c r="E1521" s="1">
        <v>1110</v>
      </c>
      <c r="F1521" s="1">
        <v>20</v>
      </c>
      <c r="G1521" s="1" t="s">
        <v>5554</v>
      </c>
      <c r="H1521" s="234">
        <v>0.82</v>
      </c>
      <c r="I1521" s="235">
        <f t="shared" si="142"/>
        <v>16.399999999999999</v>
      </c>
      <c r="K1521" s="250">
        <f>0.77*20</f>
        <v>15.4</v>
      </c>
      <c r="L1521" s="237">
        <v>41346</v>
      </c>
      <c r="M1521" s="1" t="s">
        <v>5528</v>
      </c>
      <c r="N1521" s="235">
        <f t="shared" si="131"/>
        <v>16.399999999999999</v>
      </c>
      <c r="O1521" s="235">
        <f t="shared" si="144"/>
        <v>0</v>
      </c>
      <c r="P1521" s="238" t="s">
        <v>5560</v>
      </c>
      <c r="Q1521" s="1" t="s">
        <v>2529</v>
      </c>
      <c r="R1521" s="239" t="s">
        <v>2193</v>
      </c>
      <c r="S1521" s="238" t="s">
        <v>2194</v>
      </c>
      <c r="T1521" s="238" t="s">
        <v>3562</v>
      </c>
      <c r="U1521" s="238" t="s">
        <v>168</v>
      </c>
      <c r="V1521" s="246" t="s">
        <v>176</v>
      </c>
      <c r="W1521" s="236" t="s">
        <v>168</v>
      </c>
      <c r="X1521" s="233" t="s">
        <v>168</v>
      </c>
      <c r="Y1521" s="238" t="s">
        <v>168</v>
      </c>
      <c r="AB1521" s="5" t="s">
        <v>1570</v>
      </c>
    </row>
    <row r="1522" spans="1:28">
      <c r="A1522" s="233">
        <v>41346</v>
      </c>
      <c r="B1522" s="1" t="s">
        <v>2716</v>
      </c>
      <c r="C1522" s="5" t="s">
        <v>163</v>
      </c>
      <c r="D1522" s="328" t="s">
        <v>672</v>
      </c>
      <c r="E1522" s="1" t="s">
        <v>5518</v>
      </c>
      <c r="F1522" s="1">
        <v>180</v>
      </c>
      <c r="G1522" s="1" t="s">
        <v>172</v>
      </c>
      <c r="H1522" s="234">
        <v>4.3</v>
      </c>
      <c r="I1522" s="235">
        <f t="shared" si="142"/>
        <v>774</v>
      </c>
      <c r="K1522" s="250">
        <f>3.59*180</f>
        <v>646.19999999999993</v>
      </c>
      <c r="L1522" s="237">
        <v>41346</v>
      </c>
      <c r="M1522" s="1" t="s">
        <v>167</v>
      </c>
      <c r="N1522" s="235">
        <f t="shared" si="131"/>
        <v>774</v>
      </c>
      <c r="O1522" s="235">
        <f t="shared" si="144"/>
        <v>0</v>
      </c>
      <c r="P1522" s="238" t="s">
        <v>5529</v>
      </c>
      <c r="Q1522" s="1" t="s">
        <v>5531</v>
      </c>
      <c r="R1522" s="239" t="s">
        <v>2718</v>
      </c>
      <c r="S1522" s="238" t="s">
        <v>2719</v>
      </c>
      <c r="T1522" s="238" t="s">
        <v>2720</v>
      </c>
      <c r="U1522" s="238" t="s">
        <v>5530</v>
      </c>
      <c r="V1522" s="238" t="s">
        <v>6389</v>
      </c>
      <c r="W1522" s="236">
        <v>3174</v>
      </c>
      <c r="X1522" s="233">
        <v>41381</v>
      </c>
      <c r="Y1522" s="238" t="s">
        <v>6390</v>
      </c>
      <c r="AB1522" s="1" t="s">
        <v>1570</v>
      </c>
    </row>
    <row r="1523" spans="1:28">
      <c r="A1523" s="233">
        <v>41346</v>
      </c>
      <c r="B1523" s="1" t="s">
        <v>4087</v>
      </c>
      <c r="C1523" s="5" t="s">
        <v>163</v>
      </c>
      <c r="D1523" s="1" t="s">
        <v>2024</v>
      </c>
      <c r="E1523" s="1">
        <v>10434</v>
      </c>
      <c r="F1523" s="1">
        <v>65</v>
      </c>
      <c r="G1523" s="1" t="s">
        <v>173</v>
      </c>
      <c r="H1523" s="234">
        <v>23</v>
      </c>
      <c r="I1523" s="235">
        <f t="shared" si="142"/>
        <v>1495</v>
      </c>
      <c r="K1523" s="250">
        <f>14.8*60+14.2*5</f>
        <v>959</v>
      </c>
      <c r="N1523" s="235">
        <v>0</v>
      </c>
      <c r="O1523" s="235">
        <f t="shared" si="144"/>
        <v>1495</v>
      </c>
      <c r="P1523" s="238" t="s">
        <v>5527</v>
      </c>
      <c r="Q1523" s="1" t="s">
        <v>5245</v>
      </c>
      <c r="R1523" s="239" t="s">
        <v>5516</v>
      </c>
      <c r="S1523" s="238" t="s">
        <v>5517</v>
      </c>
      <c r="T1523" s="238" t="s">
        <v>3953</v>
      </c>
      <c r="U1523" s="238" t="s">
        <v>5563</v>
      </c>
      <c r="V1523" s="238" t="s">
        <v>5545</v>
      </c>
      <c r="W1523" s="236">
        <v>4580</v>
      </c>
      <c r="X1523" s="233">
        <v>41346</v>
      </c>
      <c r="Y1523" s="238" t="s">
        <v>5563</v>
      </c>
      <c r="AB1523" s="1" t="s">
        <v>2079</v>
      </c>
    </row>
    <row r="1524" spans="1:28">
      <c r="A1524" s="233">
        <v>41346</v>
      </c>
      <c r="B1524" s="1" t="s">
        <v>4087</v>
      </c>
      <c r="C1524" s="5" t="s">
        <v>163</v>
      </c>
      <c r="D1524" s="5" t="s">
        <v>51</v>
      </c>
      <c r="E1524" s="1">
        <v>9032</v>
      </c>
      <c r="F1524" s="1">
        <v>500</v>
      </c>
      <c r="G1524" s="1" t="s">
        <v>171</v>
      </c>
      <c r="H1524" s="234">
        <v>2.7</v>
      </c>
      <c r="I1524" s="235">
        <f t="shared" si="142"/>
        <v>1350</v>
      </c>
      <c r="K1524" s="250">
        <f>1.4929*F1524</f>
        <v>746.44999999999993</v>
      </c>
      <c r="N1524" s="235">
        <v>0</v>
      </c>
      <c r="O1524" s="235">
        <f t="shared" si="144"/>
        <v>1350</v>
      </c>
      <c r="P1524" s="238" t="s">
        <v>5527</v>
      </c>
      <c r="Q1524" s="1" t="s">
        <v>5245</v>
      </c>
      <c r="R1524" s="239" t="s">
        <v>5516</v>
      </c>
      <c r="S1524" s="238" t="s">
        <v>5517</v>
      </c>
      <c r="T1524" s="238" t="s">
        <v>3953</v>
      </c>
      <c r="U1524" s="238" t="s">
        <v>5563</v>
      </c>
      <c r="V1524" s="238" t="s">
        <v>5545</v>
      </c>
      <c r="W1524" s="236">
        <v>4580</v>
      </c>
      <c r="X1524" s="233">
        <v>41346</v>
      </c>
      <c r="Y1524" s="238" t="s">
        <v>5563</v>
      </c>
      <c r="AB1524" s="1" t="s">
        <v>2079</v>
      </c>
    </row>
    <row r="1525" spans="1:28">
      <c r="A1525" s="233">
        <v>41346</v>
      </c>
      <c r="B1525" s="1" t="s">
        <v>4087</v>
      </c>
      <c r="C1525" s="5" t="s">
        <v>163</v>
      </c>
      <c r="D1525" s="5" t="s">
        <v>1915</v>
      </c>
      <c r="E1525" s="1">
        <v>1270</v>
      </c>
      <c r="F1525" s="1">
        <v>40</v>
      </c>
      <c r="G1525" s="1" t="s">
        <v>173</v>
      </c>
      <c r="H1525" s="234">
        <v>6.5</v>
      </c>
      <c r="I1525" s="235">
        <f t="shared" si="142"/>
        <v>260</v>
      </c>
      <c r="K1525" s="250">
        <f>4.2*40</f>
        <v>168</v>
      </c>
      <c r="N1525" s="235">
        <v>0</v>
      </c>
      <c r="O1525" s="235">
        <f t="shared" si="144"/>
        <v>260</v>
      </c>
      <c r="P1525" s="238" t="s">
        <v>5527</v>
      </c>
      <c r="Q1525" s="1" t="s">
        <v>5245</v>
      </c>
      <c r="R1525" s="239" t="s">
        <v>5516</v>
      </c>
      <c r="S1525" s="238" t="s">
        <v>5517</v>
      </c>
      <c r="T1525" s="238" t="s">
        <v>3953</v>
      </c>
      <c r="U1525" s="238" t="s">
        <v>5563</v>
      </c>
      <c r="V1525" s="238" t="s">
        <v>5545</v>
      </c>
      <c r="W1525" s="236">
        <v>4580</v>
      </c>
      <c r="X1525" s="233">
        <v>41346</v>
      </c>
      <c r="Y1525" s="238" t="s">
        <v>5563</v>
      </c>
      <c r="AB1525" s="1" t="s">
        <v>2079</v>
      </c>
    </row>
    <row r="1526" spans="1:28">
      <c r="A1526" s="233">
        <v>41347</v>
      </c>
      <c r="B1526" s="1" t="s">
        <v>4369</v>
      </c>
      <c r="C1526" s="1" t="s">
        <v>163</v>
      </c>
      <c r="D1526" s="1" t="s">
        <v>1216</v>
      </c>
      <c r="E1526" s="1">
        <v>3200</v>
      </c>
      <c r="F1526" s="1">
        <v>20</v>
      </c>
      <c r="G1526" s="1" t="s">
        <v>5557</v>
      </c>
      <c r="H1526" s="234">
        <v>26.5</v>
      </c>
      <c r="I1526" s="235">
        <f>F1526*H1526</f>
        <v>530</v>
      </c>
      <c r="K1526" s="250">
        <f>23.94*20</f>
        <v>478.8</v>
      </c>
      <c r="L1526" s="237">
        <v>41347</v>
      </c>
      <c r="M1526" s="1" t="s">
        <v>166</v>
      </c>
      <c r="N1526" s="235">
        <f t="shared" si="131"/>
        <v>530</v>
      </c>
      <c r="O1526" s="235">
        <f t="shared" ref="O1526:O1534" si="145">I1526-N1526</f>
        <v>0</v>
      </c>
      <c r="P1526" s="238" t="s">
        <v>5561</v>
      </c>
      <c r="Q1526" s="1" t="s">
        <v>5416</v>
      </c>
      <c r="R1526" s="239" t="s">
        <v>4372</v>
      </c>
      <c r="S1526" s="238" t="s">
        <v>4373</v>
      </c>
      <c r="T1526" s="238" t="s">
        <v>2256</v>
      </c>
      <c r="U1526" s="238" t="s">
        <v>5589</v>
      </c>
      <c r="V1526" s="238" t="s">
        <v>5578</v>
      </c>
      <c r="W1526" s="236">
        <v>9279.93</v>
      </c>
      <c r="X1526" s="233">
        <v>41347</v>
      </c>
      <c r="Y1526" s="238" t="s">
        <v>5589</v>
      </c>
      <c r="AB1526" s="1" t="s">
        <v>1570</v>
      </c>
    </row>
    <row r="1527" spans="1:28">
      <c r="A1527" s="233">
        <v>41347</v>
      </c>
      <c r="B1527" s="1" t="s">
        <v>4369</v>
      </c>
      <c r="C1527" s="1" t="s">
        <v>163</v>
      </c>
      <c r="D1527" s="5" t="s">
        <v>183</v>
      </c>
      <c r="E1527" s="1" t="s">
        <v>187</v>
      </c>
      <c r="F1527" s="1">
        <v>200</v>
      </c>
      <c r="G1527" s="1" t="s">
        <v>5562</v>
      </c>
      <c r="H1527" s="234">
        <v>1.75</v>
      </c>
      <c r="I1527" s="235">
        <f>F1527*H1527</f>
        <v>350</v>
      </c>
      <c r="K1527" s="250">
        <f>1.54*200</f>
        <v>308</v>
      </c>
      <c r="L1527" s="237">
        <v>41347</v>
      </c>
      <c r="M1527" s="1" t="s">
        <v>166</v>
      </c>
      <c r="N1527" s="235">
        <f t="shared" si="131"/>
        <v>350</v>
      </c>
      <c r="O1527" s="235">
        <f t="shared" si="145"/>
        <v>0</v>
      </c>
      <c r="P1527" s="238" t="s">
        <v>5561</v>
      </c>
      <c r="Q1527" s="1" t="s">
        <v>5416</v>
      </c>
      <c r="R1527" s="239" t="s">
        <v>4372</v>
      </c>
      <c r="S1527" s="238" t="s">
        <v>4373</v>
      </c>
      <c r="T1527" s="238" t="s">
        <v>2256</v>
      </c>
      <c r="U1527" s="238" t="s">
        <v>5589</v>
      </c>
      <c r="V1527" s="238" t="s">
        <v>5578</v>
      </c>
      <c r="W1527" s="236">
        <v>9279.93</v>
      </c>
      <c r="X1527" s="233">
        <v>41347</v>
      </c>
      <c r="Y1527" s="238" t="s">
        <v>5589</v>
      </c>
      <c r="AB1527" s="1" t="s">
        <v>1570</v>
      </c>
    </row>
    <row r="1528" spans="1:28">
      <c r="A1528" s="233">
        <v>41347</v>
      </c>
      <c r="B1528" s="1" t="s">
        <v>3799</v>
      </c>
      <c r="C1528" s="1" t="s">
        <v>5430</v>
      </c>
      <c r="D1528" s="1" t="s">
        <v>5429</v>
      </c>
      <c r="E1528" s="1">
        <v>7475</v>
      </c>
      <c r="F1528" s="1">
        <v>10</v>
      </c>
      <c r="G1528" s="1" t="s">
        <v>5428</v>
      </c>
      <c r="H1528" s="234">
        <v>310</v>
      </c>
      <c r="I1528" s="235">
        <f t="shared" ref="I1528" si="146">F1528*H1528</f>
        <v>3100</v>
      </c>
      <c r="K1528" s="250">
        <f>280*10</f>
        <v>2800</v>
      </c>
      <c r="L1528" s="237">
        <v>41339</v>
      </c>
      <c r="M1528" s="1" t="s">
        <v>167</v>
      </c>
      <c r="N1528" s="235">
        <f t="shared" si="131"/>
        <v>3100</v>
      </c>
      <c r="O1528" s="235">
        <f t="shared" si="145"/>
        <v>0</v>
      </c>
      <c r="P1528" s="238" t="s">
        <v>5569</v>
      </c>
      <c r="Q1528" s="1" t="s">
        <v>5570</v>
      </c>
      <c r="R1528" s="1" t="s">
        <v>3801</v>
      </c>
      <c r="S1528" s="238" t="s">
        <v>3802</v>
      </c>
      <c r="T1528" s="238" t="s">
        <v>4435</v>
      </c>
      <c r="U1528" s="238" t="s">
        <v>168</v>
      </c>
      <c r="V1528" s="238" t="s">
        <v>5580</v>
      </c>
      <c r="W1528" s="236">
        <v>4281.6000000000004</v>
      </c>
      <c r="X1528" s="233">
        <v>41347</v>
      </c>
      <c r="Y1528" s="238" t="s">
        <v>1571</v>
      </c>
      <c r="AB1528" s="1" t="s">
        <v>1570</v>
      </c>
    </row>
    <row r="1529" spans="1:28">
      <c r="A1529" s="233">
        <v>41347</v>
      </c>
      <c r="B1529" s="1" t="s">
        <v>2255</v>
      </c>
      <c r="C1529" s="1" t="s">
        <v>163</v>
      </c>
      <c r="D1529" s="5" t="s">
        <v>1912</v>
      </c>
      <c r="E1529" s="1">
        <v>6200</v>
      </c>
      <c r="F1529" s="1">
        <v>80</v>
      </c>
      <c r="G1529" s="1" t="s">
        <v>171</v>
      </c>
      <c r="H1529" s="234">
        <v>79.400000000000006</v>
      </c>
      <c r="I1529" s="235">
        <f t="shared" ref="I1529:I1534" si="147">F1529*H1529</f>
        <v>6352</v>
      </c>
      <c r="K1529" s="250">
        <f>46.5*80</f>
        <v>3720</v>
      </c>
      <c r="N1529" s="235">
        <v>0</v>
      </c>
      <c r="O1529" s="235">
        <f t="shared" si="145"/>
        <v>6352</v>
      </c>
      <c r="P1529" s="238" t="s">
        <v>5568</v>
      </c>
      <c r="Q1529" s="1" t="s">
        <v>5586</v>
      </c>
      <c r="R1529" s="239" t="s">
        <v>2473</v>
      </c>
      <c r="S1529" s="238" t="s">
        <v>3521</v>
      </c>
      <c r="T1529" s="238" t="s">
        <v>799</v>
      </c>
      <c r="U1529" s="238" t="s">
        <v>5590</v>
      </c>
      <c r="V1529" s="238" t="s">
        <v>5579</v>
      </c>
      <c r="W1529" s="236">
        <v>29540.799999999999</v>
      </c>
      <c r="X1529" s="233">
        <v>41347</v>
      </c>
      <c r="Y1529" s="238" t="s">
        <v>5590</v>
      </c>
      <c r="AA1529" s="240" t="s">
        <v>2746</v>
      </c>
      <c r="AB1529" s="1" t="s">
        <v>2079</v>
      </c>
    </row>
    <row r="1530" spans="1:28">
      <c r="A1530" s="233">
        <v>41347</v>
      </c>
      <c r="B1530" s="1" t="s">
        <v>2255</v>
      </c>
      <c r="C1530" s="1" t="s">
        <v>163</v>
      </c>
      <c r="D1530" s="5" t="s">
        <v>1895</v>
      </c>
      <c r="E1530" s="1" t="s">
        <v>146</v>
      </c>
      <c r="F1530" s="1">
        <v>380</v>
      </c>
      <c r="G1530" s="1" t="s">
        <v>171</v>
      </c>
      <c r="H1530" s="234">
        <v>28.6</v>
      </c>
      <c r="I1530" s="235">
        <f t="shared" si="147"/>
        <v>10868</v>
      </c>
      <c r="K1530" s="250">
        <f>18.25*160+18.37*80+17.25*140</f>
        <v>6804.6</v>
      </c>
      <c r="N1530" s="235">
        <v>0</v>
      </c>
      <c r="O1530" s="235">
        <f t="shared" si="145"/>
        <v>10868</v>
      </c>
      <c r="P1530" s="238" t="s">
        <v>5568</v>
      </c>
      <c r="Q1530" s="1" t="s">
        <v>5586</v>
      </c>
      <c r="R1530" s="239" t="s">
        <v>2473</v>
      </c>
      <c r="S1530" s="238" t="s">
        <v>3521</v>
      </c>
      <c r="T1530" s="238" t="s">
        <v>799</v>
      </c>
      <c r="U1530" s="238" t="s">
        <v>5590</v>
      </c>
      <c r="V1530" s="238" t="s">
        <v>5579</v>
      </c>
      <c r="W1530" s="236">
        <v>29540.799999999999</v>
      </c>
      <c r="X1530" s="233">
        <v>41347</v>
      </c>
      <c r="Y1530" s="238" t="s">
        <v>5590</v>
      </c>
      <c r="AA1530" s="240" t="s">
        <v>2746</v>
      </c>
      <c r="AB1530" s="1" t="s">
        <v>2079</v>
      </c>
    </row>
    <row r="1531" spans="1:28">
      <c r="A1531" s="233">
        <v>41347</v>
      </c>
      <c r="B1531" s="1" t="s">
        <v>2255</v>
      </c>
      <c r="C1531" s="1" t="s">
        <v>163</v>
      </c>
      <c r="D1531" s="5" t="s">
        <v>183</v>
      </c>
      <c r="E1531" s="1" t="s">
        <v>195</v>
      </c>
      <c r="F1531" s="1">
        <v>380</v>
      </c>
      <c r="G1531" s="1" t="s">
        <v>232</v>
      </c>
      <c r="H1531" s="234">
        <v>7.99</v>
      </c>
      <c r="I1531" s="235">
        <f t="shared" si="147"/>
        <v>3036.2000000000003</v>
      </c>
      <c r="K1531" s="250">
        <f>5.25*320+4.75*60</f>
        <v>1965</v>
      </c>
      <c r="N1531" s="235">
        <v>0</v>
      </c>
      <c r="O1531" s="235">
        <f t="shared" si="145"/>
        <v>3036.2000000000003</v>
      </c>
      <c r="P1531" s="238" t="s">
        <v>5568</v>
      </c>
      <c r="Q1531" s="1" t="s">
        <v>5586</v>
      </c>
      <c r="R1531" s="239" t="s">
        <v>2473</v>
      </c>
      <c r="S1531" s="238" t="s">
        <v>3521</v>
      </c>
      <c r="T1531" s="238" t="s">
        <v>799</v>
      </c>
      <c r="U1531" s="238" t="s">
        <v>5590</v>
      </c>
      <c r="V1531" s="238" t="s">
        <v>5579</v>
      </c>
      <c r="W1531" s="236">
        <v>29540.799999999999</v>
      </c>
      <c r="X1531" s="233">
        <v>41347</v>
      </c>
      <c r="Y1531" s="238" t="s">
        <v>5590</v>
      </c>
      <c r="AA1531" s="240" t="s">
        <v>2746</v>
      </c>
      <c r="AB1531" s="1" t="s">
        <v>2079</v>
      </c>
    </row>
    <row r="1532" spans="1:28">
      <c r="A1532" s="233">
        <v>41347</v>
      </c>
      <c r="B1532" s="1" t="s">
        <v>2255</v>
      </c>
      <c r="C1532" s="1" t="s">
        <v>163</v>
      </c>
      <c r="D1532" s="5" t="s">
        <v>1882</v>
      </c>
      <c r="E1532" s="1">
        <v>501</v>
      </c>
      <c r="F1532" s="1">
        <v>160</v>
      </c>
      <c r="G1532" s="1" t="s">
        <v>171</v>
      </c>
      <c r="H1532" s="234">
        <v>2.12</v>
      </c>
      <c r="I1532" s="235">
        <f t="shared" si="147"/>
        <v>339.20000000000005</v>
      </c>
      <c r="K1532" s="250">
        <f>1.82*160</f>
        <v>291.2</v>
      </c>
      <c r="N1532" s="235">
        <v>0</v>
      </c>
      <c r="O1532" s="235">
        <f t="shared" si="145"/>
        <v>339.20000000000005</v>
      </c>
      <c r="P1532" s="238" t="s">
        <v>5568</v>
      </c>
      <c r="Q1532" s="1" t="s">
        <v>5586</v>
      </c>
      <c r="R1532" s="239" t="s">
        <v>2473</v>
      </c>
      <c r="S1532" s="238" t="s">
        <v>3521</v>
      </c>
      <c r="T1532" s="238" t="s">
        <v>799</v>
      </c>
      <c r="U1532" s="238" t="s">
        <v>5590</v>
      </c>
      <c r="V1532" s="238" t="s">
        <v>5579</v>
      </c>
      <c r="W1532" s="236">
        <v>29540.799999999999</v>
      </c>
      <c r="X1532" s="233">
        <v>41347</v>
      </c>
      <c r="Y1532" s="238" t="s">
        <v>5590</v>
      </c>
      <c r="AA1532" s="240" t="s">
        <v>2746</v>
      </c>
      <c r="AB1532" s="1" t="s">
        <v>2079</v>
      </c>
    </row>
    <row r="1533" spans="1:28">
      <c r="A1533" s="233">
        <v>41347</v>
      </c>
      <c r="B1533" s="1" t="s">
        <v>3697</v>
      </c>
      <c r="C1533" s="5" t="s">
        <v>163</v>
      </c>
      <c r="D1533" s="5" t="s">
        <v>87</v>
      </c>
      <c r="E1533" s="5">
        <v>9032</v>
      </c>
      <c r="F1533" s="1">
        <v>1500</v>
      </c>
      <c r="G1533" s="1" t="s">
        <v>171</v>
      </c>
      <c r="H1533" s="234">
        <v>2.2999999999999998</v>
      </c>
      <c r="I1533" s="235">
        <f t="shared" si="147"/>
        <v>3449.9999999999995</v>
      </c>
      <c r="K1533" s="250">
        <f>1.4929*F1533</f>
        <v>2239.35</v>
      </c>
      <c r="N1533" s="235">
        <v>0</v>
      </c>
      <c r="O1533" s="235">
        <f t="shared" si="145"/>
        <v>3449.9999999999995</v>
      </c>
      <c r="P1533" s="238" t="s">
        <v>5609</v>
      </c>
      <c r="Q1533" s="1" t="s">
        <v>5680</v>
      </c>
      <c r="R1533" s="239" t="s">
        <v>4234</v>
      </c>
      <c r="S1533" s="238" t="s">
        <v>4235</v>
      </c>
      <c r="T1533" s="238" t="s">
        <v>3701</v>
      </c>
      <c r="U1533" s="238" t="s">
        <v>5681</v>
      </c>
      <c r="AB1533" s="1" t="s">
        <v>2079</v>
      </c>
    </row>
    <row r="1534" spans="1:28">
      <c r="A1534" s="233">
        <v>41347</v>
      </c>
      <c r="B1534" s="1" t="s">
        <v>3697</v>
      </c>
      <c r="C1534" s="5" t="s">
        <v>163</v>
      </c>
      <c r="D1534" s="1" t="s">
        <v>1720</v>
      </c>
      <c r="E1534" s="5">
        <v>8210</v>
      </c>
      <c r="F1534" s="1">
        <v>480</v>
      </c>
      <c r="G1534" s="1" t="s">
        <v>171</v>
      </c>
      <c r="H1534" s="234">
        <v>6.5</v>
      </c>
      <c r="I1534" s="235">
        <f t="shared" si="147"/>
        <v>3120</v>
      </c>
      <c r="K1534" s="250">
        <f>3.78*200</f>
        <v>756</v>
      </c>
      <c r="N1534" s="235">
        <v>0</v>
      </c>
      <c r="O1534" s="235">
        <f t="shared" si="145"/>
        <v>3120</v>
      </c>
      <c r="P1534" s="238" t="s">
        <v>5609</v>
      </c>
      <c r="Q1534" s="1" t="s">
        <v>5680</v>
      </c>
      <c r="R1534" s="239" t="s">
        <v>4234</v>
      </c>
      <c r="S1534" s="238" t="s">
        <v>4235</v>
      </c>
      <c r="T1534" s="238" t="s">
        <v>3701</v>
      </c>
      <c r="U1534" s="238" t="s">
        <v>5681</v>
      </c>
      <c r="AB1534" s="1" t="s">
        <v>2079</v>
      </c>
    </row>
    <row r="1535" spans="1:28">
      <c r="A1535" s="233">
        <v>41347</v>
      </c>
      <c r="B1535" s="1" t="s">
        <v>3530</v>
      </c>
      <c r="C1535" s="1" t="s">
        <v>163</v>
      </c>
      <c r="D1535" s="5" t="s">
        <v>857</v>
      </c>
      <c r="E1535" s="1">
        <v>9032</v>
      </c>
      <c r="F1535" s="1">
        <v>1000</v>
      </c>
      <c r="G1535" s="232" t="s">
        <v>171</v>
      </c>
      <c r="H1535" s="234">
        <v>2.2999999999999998</v>
      </c>
      <c r="I1535" s="236">
        <f t="shared" ref="I1535" si="148">H1535*F1535</f>
        <v>2300</v>
      </c>
      <c r="K1535" s="250">
        <f>1.4929*F1535</f>
        <v>1492.8999999999999</v>
      </c>
      <c r="L1535" s="237">
        <v>41330</v>
      </c>
      <c r="M1535" s="1" t="s">
        <v>167</v>
      </c>
      <c r="N1535" s="235">
        <f t="shared" ref="N1535:N1597" si="149">I1535</f>
        <v>2300</v>
      </c>
      <c r="O1535" s="235">
        <f t="shared" ref="O1535:O1542" si="150">I1535-N1535</f>
        <v>0</v>
      </c>
      <c r="P1535" s="238" t="s">
        <v>5485</v>
      </c>
      <c r="Q1535" s="1" t="s">
        <v>5591</v>
      </c>
      <c r="R1535" s="239" t="s">
        <v>3532</v>
      </c>
      <c r="S1535" s="238" t="s">
        <v>3533</v>
      </c>
      <c r="T1535" s="238" t="s">
        <v>3534</v>
      </c>
      <c r="U1535" s="238" t="s">
        <v>5592</v>
      </c>
      <c r="V1535" s="238" t="s">
        <v>5546</v>
      </c>
      <c r="W1535" s="236">
        <v>2300</v>
      </c>
      <c r="X1535" s="233">
        <v>41346</v>
      </c>
      <c r="Y1535" s="238" t="s">
        <v>5592</v>
      </c>
      <c r="AB1535" s="1" t="s">
        <v>2079</v>
      </c>
    </row>
    <row r="1536" spans="1:28">
      <c r="A1536" s="233">
        <v>41347</v>
      </c>
      <c r="B1536" s="1" t="s">
        <v>976</v>
      </c>
      <c r="C1536" s="5" t="s">
        <v>163</v>
      </c>
      <c r="D1536" s="5" t="s">
        <v>857</v>
      </c>
      <c r="E1536" s="1">
        <v>9032</v>
      </c>
      <c r="F1536" s="1">
        <v>2000</v>
      </c>
      <c r="G1536" s="1" t="s">
        <v>5491</v>
      </c>
      <c r="H1536" s="234">
        <v>2.4</v>
      </c>
      <c r="I1536" s="235">
        <f t="shared" ref="I1536" si="151">F1536*H1536</f>
        <v>4800</v>
      </c>
      <c r="K1536" s="250">
        <f>1.4929*2000</f>
        <v>2985.7999999999997</v>
      </c>
      <c r="L1536" s="237">
        <v>41352</v>
      </c>
      <c r="M1536" s="1" t="s">
        <v>5652</v>
      </c>
      <c r="N1536" s="235">
        <f t="shared" si="149"/>
        <v>4800</v>
      </c>
      <c r="O1536" s="235">
        <f t="shared" si="150"/>
        <v>0</v>
      </c>
      <c r="P1536" s="238" t="s">
        <v>5679</v>
      </c>
      <c r="Q1536" s="1" t="s">
        <v>5414</v>
      </c>
      <c r="R1536" s="247" t="s">
        <v>3609</v>
      </c>
      <c r="S1536" s="246" t="s">
        <v>3351</v>
      </c>
      <c r="T1536" s="238" t="s">
        <v>5550</v>
      </c>
      <c r="U1536" s="238" t="s">
        <v>5588</v>
      </c>
      <c r="V1536" s="238" t="s">
        <v>5543</v>
      </c>
      <c r="W1536" s="236">
        <v>4800</v>
      </c>
      <c r="X1536" s="233">
        <v>41346</v>
      </c>
      <c r="Y1536" s="238" t="s">
        <v>5588</v>
      </c>
      <c r="AB1536" s="5" t="s">
        <v>2079</v>
      </c>
    </row>
    <row r="1537" spans="1:28">
      <c r="A1537" s="233">
        <v>41347</v>
      </c>
      <c r="B1537" s="1" t="s">
        <v>5519</v>
      </c>
      <c r="C1537" s="5" t="s">
        <v>163</v>
      </c>
      <c r="D1537" s="1" t="s">
        <v>1216</v>
      </c>
      <c r="E1537" s="1">
        <v>3200</v>
      </c>
      <c r="F1537" s="1">
        <v>2000</v>
      </c>
      <c r="G1537" s="1" t="s">
        <v>5505</v>
      </c>
      <c r="H1537" s="234">
        <v>25.25</v>
      </c>
      <c r="I1537" s="235">
        <f t="shared" ref="I1537" si="152">F1537*H1537</f>
        <v>50500</v>
      </c>
      <c r="K1537" s="250">
        <f>23.94*2000</f>
        <v>47880</v>
      </c>
      <c r="L1537" s="237">
        <v>41346</v>
      </c>
      <c r="M1537" s="1" t="s">
        <v>5520</v>
      </c>
      <c r="N1537" s="235">
        <f t="shared" si="149"/>
        <v>50500</v>
      </c>
      <c r="O1537" s="235">
        <f t="shared" si="150"/>
        <v>0</v>
      </c>
      <c r="P1537" s="238" t="s">
        <v>5679</v>
      </c>
      <c r="Q1537" s="1" t="s">
        <v>5621</v>
      </c>
      <c r="R1537" s="239" t="s">
        <v>5623</v>
      </c>
      <c r="S1537" s="238" t="s">
        <v>5622</v>
      </c>
      <c r="T1537" s="238" t="s">
        <v>5521</v>
      </c>
      <c r="U1537" s="238" t="s">
        <v>5762</v>
      </c>
      <c r="AB1537" s="1" t="s">
        <v>1570</v>
      </c>
    </row>
    <row r="1538" spans="1:28">
      <c r="A1538" s="233">
        <v>41347</v>
      </c>
      <c r="B1538" s="228" t="s">
        <v>1496</v>
      </c>
      <c r="C1538" s="1" t="s">
        <v>163</v>
      </c>
      <c r="D1538" s="5" t="s">
        <v>2026</v>
      </c>
      <c r="E1538" s="1" t="s">
        <v>5564</v>
      </c>
      <c r="F1538" s="1">
        <v>500</v>
      </c>
      <c r="G1538" s="1" t="s">
        <v>171</v>
      </c>
      <c r="H1538" s="234">
        <v>1.7</v>
      </c>
      <c r="I1538" s="236">
        <f>H1538*F1538</f>
        <v>850</v>
      </c>
      <c r="K1538" s="250">
        <f>1.48*500</f>
        <v>740</v>
      </c>
      <c r="L1538" s="237">
        <v>41351</v>
      </c>
      <c r="M1538" s="1" t="s">
        <v>167</v>
      </c>
      <c r="N1538" s="235">
        <f t="shared" si="149"/>
        <v>850</v>
      </c>
      <c r="O1538" s="235">
        <f t="shared" si="150"/>
        <v>0</v>
      </c>
      <c r="P1538" s="238" t="s">
        <v>5581</v>
      </c>
      <c r="Q1538" s="1" t="s">
        <v>5586</v>
      </c>
      <c r="R1538" s="239" t="s">
        <v>4357</v>
      </c>
      <c r="S1538" s="238" t="s">
        <v>4358</v>
      </c>
      <c r="T1538" s="238" t="s">
        <v>1479</v>
      </c>
      <c r="U1538" s="238" t="s">
        <v>5587</v>
      </c>
      <c r="V1538" s="238" t="s">
        <v>5577</v>
      </c>
      <c r="W1538" s="236">
        <v>18140</v>
      </c>
      <c r="X1538" s="233">
        <v>41347</v>
      </c>
      <c r="Y1538" s="238" t="s">
        <v>5587</v>
      </c>
      <c r="AB1538" s="1" t="s">
        <v>1570</v>
      </c>
    </row>
    <row r="1539" spans="1:28">
      <c r="A1539" s="233">
        <v>41347</v>
      </c>
      <c r="B1539" s="1" t="s">
        <v>4140</v>
      </c>
      <c r="C1539" s="1" t="s">
        <v>163</v>
      </c>
      <c r="D1539" s="5" t="s">
        <v>1912</v>
      </c>
      <c r="E1539" s="1" t="s">
        <v>4538</v>
      </c>
      <c r="F1539" s="1">
        <v>6</v>
      </c>
      <c r="G1539" s="1" t="s">
        <v>5565</v>
      </c>
      <c r="H1539" s="234">
        <v>47.8</v>
      </c>
      <c r="I1539" s="235">
        <f>H1539*F1539</f>
        <v>286.79999999999995</v>
      </c>
      <c r="K1539" s="250">
        <f>42.5*3+44.5*3</f>
        <v>261</v>
      </c>
      <c r="L1539" s="237">
        <v>41380</v>
      </c>
      <c r="M1539" s="1" t="s">
        <v>700</v>
      </c>
      <c r="N1539" s="235">
        <f t="shared" si="149"/>
        <v>286.79999999999995</v>
      </c>
      <c r="O1539" s="235">
        <f t="shared" si="150"/>
        <v>0</v>
      </c>
      <c r="P1539" s="238" t="s">
        <v>5584</v>
      </c>
      <c r="Q1539" s="1" t="s">
        <v>1571</v>
      </c>
      <c r="R1539" s="239" t="s">
        <v>4142</v>
      </c>
      <c r="S1539" s="238" t="s">
        <v>4143</v>
      </c>
      <c r="T1539" s="238" t="s">
        <v>4144</v>
      </c>
      <c r="V1539" s="238" t="s">
        <v>176</v>
      </c>
      <c r="AB1539" s="1" t="s">
        <v>1570</v>
      </c>
    </row>
    <row r="1540" spans="1:28">
      <c r="A1540" s="233">
        <v>41347</v>
      </c>
      <c r="B1540" s="1" t="s">
        <v>4140</v>
      </c>
      <c r="C1540" s="1" t="s">
        <v>163</v>
      </c>
      <c r="D1540" s="5" t="s">
        <v>355</v>
      </c>
      <c r="E1540" s="1" t="s">
        <v>146</v>
      </c>
      <c r="F1540" s="1">
        <v>12</v>
      </c>
      <c r="G1540" s="1" t="s">
        <v>5565</v>
      </c>
      <c r="H1540" s="234">
        <v>19</v>
      </c>
      <c r="I1540" s="235">
        <f>H1540*F1540</f>
        <v>228</v>
      </c>
      <c r="K1540" s="250">
        <f>17.25*12</f>
        <v>207</v>
      </c>
      <c r="L1540" s="237">
        <v>41380</v>
      </c>
      <c r="M1540" s="1" t="s">
        <v>700</v>
      </c>
      <c r="N1540" s="235">
        <f t="shared" si="149"/>
        <v>228</v>
      </c>
      <c r="O1540" s="235">
        <f t="shared" si="150"/>
        <v>0</v>
      </c>
      <c r="P1540" s="238" t="s">
        <v>5584</v>
      </c>
      <c r="Q1540" s="1" t="s">
        <v>1571</v>
      </c>
      <c r="R1540" s="239" t="s">
        <v>4142</v>
      </c>
      <c r="S1540" s="238" t="s">
        <v>4143</v>
      </c>
      <c r="T1540" s="238" t="s">
        <v>4144</v>
      </c>
      <c r="V1540" s="238" t="s">
        <v>176</v>
      </c>
      <c r="AB1540" s="1" t="s">
        <v>1570</v>
      </c>
    </row>
    <row r="1541" spans="1:28">
      <c r="A1541" s="233">
        <v>41347</v>
      </c>
      <c r="B1541" s="1" t="s">
        <v>4140</v>
      </c>
      <c r="C1541" s="1" t="s">
        <v>163</v>
      </c>
      <c r="D1541" s="5" t="s">
        <v>183</v>
      </c>
      <c r="E1541" s="1" t="s">
        <v>195</v>
      </c>
      <c r="F1541" s="1">
        <v>12</v>
      </c>
      <c r="G1541" s="1" t="s">
        <v>5582</v>
      </c>
      <c r="H1541" s="234">
        <v>5.6</v>
      </c>
      <c r="I1541" s="235">
        <f t="shared" ref="I1541:I1542" si="153">H1541*F1541</f>
        <v>67.199999999999989</v>
      </c>
      <c r="K1541" s="250">
        <f>4.78*2+4.75*10</f>
        <v>57.06</v>
      </c>
      <c r="L1541" s="237">
        <v>41380</v>
      </c>
      <c r="M1541" s="1" t="s">
        <v>700</v>
      </c>
      <c r="N1541" s="235">
        <f t="shared" si="149"/>
        <v>67.199999999999989</v>
      </c>
      <c r="O1541" s="235">
        <f t="shared" si="150"/>
        <v>0</v>
      </c>
      <c r="P1541" s="238" t="s">
        <v>5584</v>
      </c>
      <c r="Q1541" s="1" t="s">
        <v>1571</v>
      </c>
      <c r="R1541" s="239" t="s">
        <v>4142</v>
      </c>
      <c r="S1541" s="238" t="s">
        <v>4143</v>
      </c>
      <c r="T1541" s="238" t="s">
        <v>4144</v>
      </c>
      <c r="V1541" s="238" t="s">
        <v>176</v>
      </c>
      <c r="AB1541" s="1" t="s">
        <v>1570</v>
      </c>
    </row>
    <row r="1542" spans="1:28">
      <c r="A1542" s="233">
        <v>41347</v>
      </c>
      <c r="B1542" s="1" t="s">
        <v>4140</v>
      </c>
      <c r="C1542" s="1" t="s">
        <v>163</v>
      </c>
      <c r="D1542" s="5" t="s">
        <v>1882</v>
      </c>
      <c r="E1542" s="1">
        <v>501</v>
      </c>
      <c r="F1542" s="1">
        <v>12</v>
      </c>
      <c r="G1542" s="1" t="s">
        <v>5565</v>
      </c>
      <c r="H1542" s="234">
        <v>1.5</v>
      </c>
      <c r="I1542" s="235">
        <f t="shared" si="153"/>
        <v>18</v>
      </c>
      <c r="K1542" s="250">
        <f>1.39*22</f>
        <v>30.58</v>
      </c>
      <c r="L1542" s="237">
        <v>41380</v>
      </c>
      <c r="M1542" s="1" t="s">
        <v>700</v>
      </c>
      <c r="N1542" s="235">
        <f t="shared" si="149"/>
        <v>18</v>
      </c>
      <c r="O1542" s="235">
        <f t="shared" si="150"/>
        <v>0</v>
      </c>
      <c r="P1542" s="238" t="s">
        <v>5584</v>
      </c>
      <c r="Q1542" s="1" t="s">
        <v>1571</v>
      </c>
      <c r="R1542" s="239" t="s">
        <v>4142</v>
      </c>
      <c r="S1542" s="238" t="s">
        <v>4143</v>
      </c>
      <c r="T1542" s="238" t="s">
        <v>4144</v>
      </c>
      <c r="V1542" s="238" t="s">
        <v>176</v>
      </c>
      <c r="AB1542" s="1" t="s">
        <v>1570</v>
      </c>
    </row>
    <row r="1543" spans="1:28">
      <c r="A1543" s="233">
        <v>41348</v>
      </c>
      <c r="B1543" s="1" t="s">
        <v>5598</v>
      </c>
      <c r="C1543" s="1" t="s">
        <v>2851</v>
      </c>
      <c r="D1543" s="1" t="s">
        <v>306</v>
      </c>
      <c r="E1543" s="1">
        <v>1426</v>
      </c>
      <c r="F1543" s="1">
        <v>20</v>
      </c>
      <c r="G1543" s="1" t="s">
        <v>5593</v>
      </c>
      <c r="H1543" s="234">
        <v>24</v>
      </c>
      <c r="I1543" s="235">
        <f t="shared" ref="I1543:I1548" si="154">F1543*H1543</f>
        <v>480</v>
      </c>
      <c r="K1543" s="250">
        <f>19.422*9+18.51*11</f>
        <v>378.40800000000002</v>
      </c>
      <c r="L1543" s="237">
        <v>41348</v>
      </c>
      <c r="M1543" s="1" t="s">
        <v>5599</v>
      </c>
      <c r="N1543" s="235">
        <f t="shared" si="149"/>
        <v>480</v>
      </c>
      <c r="O1543" s="235">
        <f>I1543-N1543</f>
        <v>0</v>
      </c>
      <c r="P1543" s="238" t="s">
        <v>5600</v>
      </c>
      <c r="Q1543" s="1" t="s">
        <v>5601</v>
      </c>
      <c r="R1543" s="239" t="s">
        <v>5602</v>
      </c>
      <c r="S1543" s="238" t="s">
        <v>5602</v>
      </c>
      <c r="T1543" s="238" t="s">
        <v>5602</v>
      </c>
      <c r="U1543" s="238" t="s">
        <v>5602</v>
      </c>
      <c r="V1543" s="238" t="s">
        <v>5603</v>
      </c>
      <c r="AB1543" s="1" t="s">
        <v>2850</v>
      </c>
    </row>
    <row r="1544" spans="1:28">
      <c r="A1544" s="233">
        <v>41348</v>
      </c>
      <c r="B1544" s="1" t="s">
        <v>4140</v>
      </c>
      <c r="C1544" s="1" t="s">
        <v>2851</v>
      </c>
      <c r="D1544" s="1" t="s">
        <v>1947</v>
      </c>
      <c r="E1544" s="1">
        <v>1110</v>
      </c>
      <c r="F1544" s="1">
        <v>1</v>
      </c>
      <c r="G1544" s="1" t="s">
        <v>5593</v>
      </c>
      <c r="H1544" s="234">
        <v>0.8</v>
      </c>
      <c r="I1544" s="235">
        <f t="shared" si="154"/>
        <v>0.8</v>
      </c>
      <c r="K1544" s="250">
        <f>0.77*1</f>
        <v>0.77</v>
      </c>
      <c r="L1544" s="237">
        <v>41380</v>
      </c>
      <c r="M1544" s="1" t="s">
        <v>700</v>
      </c>
      <c r="N1544" s="235">
        <f t="shared" si="149"/>
        <v>0.8</v>
      </c>
      <c r="O1544" s="235">
        <f t="shared" ref="O1544:O1546" si="155">I1544-N1544</f>
        <v>0</v>
      </c>
      <c r="P1544" s="238" t="s">
        <v>5608</v>
      </c>
      <c r="Q1544" s="1" t="s">
        <v>1571</v>
      </c>
      <c r="R1544" s="239" t="s">
        <v>4142</v>
      </c>
      <c r="S1544" s="238" t="s">
        <v>4143</v>
      </c>
      <c r="T1544" s="238" t="s">
        <v>4144</v>
      </c>
      <c r="V1544" s="238" t="s">
        <v>176</v>
      </c>
      <c r="AB1544" s="1" t="s">
        <v>1570</v>
      </c>
    </row>
    <row r="1545" spans="1:28">
      <c r="A1545" s="233">
        <v>41348</v>
      </c>
      <c r="B1545" s="1" t="s">
        <v>4140</v>
      </c>
      <c r="C1545" s="1" t="s">
        <v>2851</v>
      </c>
      <c r="D1545" s="1" t="s">
        <v>1225</v>
      </c>
      <c r="E1545" s="1" t="s">
        <v>5605</v>
      </c>
      <c r="F1545" s="1">
        <v>1</v>
      </c>
      <c r="G1545" s="1" t="s">
        <v>5606</v>
      </c>
      <c r="H1545" s="234">
        <v>4.2</v>
      </c>
      <c r="I1545" s="235">
        <f t="shared" si="154"/>
        <v>4.2</v>
      </c>
      <c r="K1545" s="254">
        <f>3.56*1</f>
        <v>3.56</v>
      </c>
      <c r="L1545" s="237">
        <v>41380</v>
      </c>
      <c r="M1545" s="1" t="s">
        <v>700</v>
      </c>
      <c r="N1545" s="235">
        <f t="shared" si="149"/>
        <v>4.2</v>
      </c>
      <c r="O1545" s="235">
        <f t="shared" si="155"/>
        <v>0</v>
      </c>
      <c r="P1545" s="238" t="s">
        <v>5608</v>
      </c>
      <c r="Q1545" s="1" t="s">
        <v>1571</v>
      </c>
      <c r="R1545" s="239" t="s">
        <v>4142</v>
      </c>
      <c r="S1545" s="238" t="s">
        <v>4143</v>
      </c>
      <c r="T1545" s="238" t="s">
        <v>4144</v>
      </c>
      <c r="V1545" s="238" t="s">
        <v>176</v>
      </c>
      <c r="Z1545" s="255" t="s">
        <v>5607</v>
      </c>
      <c r="AB1545" s="1" t="s">
        <v>1570</v>
      </c>
    </row>
    <row r="1546" spans="1:28">
      <c r="A1546" s="233">
        <v>41348</v>
      </c>
      <c r="B1546" s="1" t="s">
        <v>1572</v>
      </c>
      <c r="C1546" s="1" t="s">
        <v>2851</v>
      </c>
      <c r="D1546" s="5" t="s">
        <v>3019</v>
      </c>
      <c r="E1546" s="1">
        <v>4620</v>
      </c>
      <c r="F1546" s="1">
        <v>30</v>
      </c>
      <c r="G1546" s="1" t="s">
        <v>3825</v>
      </c>
      <c r="H1546" s="234">
        <v>22.5</v>
      </c>
      <c r="I1546" s="235">
        <f t="shared" si="154"/>
        <v>675</v>
      </c>
      <c r="K1546" s="250">
        <f>17.79*30</f>
        <v>533.69999999999993</v>
      </c>
      <c r="N1546" s="235">
        <v>0</v>
      </c>
      <c r="O1546" s="235">
        <f t="shared" si="155"/>
        <v>675</v>
      </c>
      <c r="P1546" s="238" t="s">
        <v>5613</v>
      </c>
      <c r="Q1546" s="1" t="s">
        <v>3827</v>
      </c>
      <c r="R1546" s="239" t="s">
        <v>6061</v>
      </c>
      <c r="S1546" s="238" t="s">
        <v>6062</v>
      </c>
      <c r="T1546" s="238" t="s">
        <v>2275</v>
      </c>
      <c r="U1546" s="238" t="s">
        <v>2276</v>
      </c>
      <c r="V1546" s="238" t="s">
        <v>5738</v>
      </c>
      <c r="W1546" s="236">
        <v>2150</v>
      </c>
      <c r="X1546" s="233">
        <v>41354</v>
      </c>
      <c r="Y1546" s="238" t="s">
        <v>5739</v>
      </c>
      <c r="AB1546" s="1" t="s">
        <v>3822</v>
      </c>
    </row>
    <row r="1547" spans="1:28">
      <c r="A1547" s="233">
        <v>41348</v>
      </c>
      <c r="B1547" s="228" t="s">
        <v>5612</v>
      </c>
      <c r="C1547" s="1" t="s">
        <v>2851</v>
      </c>
      <c r="D1547" s="1" t="s">
        <v>1905</v>
      </c>
      <c r="E1547" s="1">
        <v>9031</v>
      </c>
      <c r="F1547" s="1">
        <v>600</v>
      </c>
      <c r="G1547" s="1" t="s">
        <v>171</v>
      </c>
      <c r="H1547" s="234">
        <v>1.65</v>
      </c>
      <c r="I1547" s="235">
        <f t="shared" si="154"/>
        <v>990</v>
      </c>
      <c r="K1547" s="250">
        <f>1.4929*600</f>
        <v>895.7399999999999</v>
      </c>
      <c r="L1547" s="237">
        <v>41348</v>
      </c>
      <c r="M1547" s="1" t="s">
        <v>5599</v>
      </c>
      <c r="N1547" s="235">
        <f t="shared" si="149"/>
        <v>990</v>
      </c>
      <c r="O1547" s="235">
        <f>I1547-N1547</f>
        <v>0</v>
      </c>
      <c r="P1547" s="238" t="s">
        <v>5614</v>
      </c>
      <c r="Q1547" s="1" t="s">
        <v>5615</v>
      </c>
      <c r="R1547" s="239" t="s">
        <v>5616</v>
      </c>
      <c r="S1547" s="238" t="s">
        <v>5617</v>
      </c>
      <c r="T1547" s="238" t="s">
        <v>5618</v>
      </c>
      <c r="AB1547" s="1" t="s">
        <v>1570</v>
      </c>
    </row>
    <row r="1548" spans="1:28">
      <c r="A1548" s="233">
        <v>41348</v>
      </c>
      <c r="B1548" s="5" t="s">
        <v>2589</v>
      </c>
      <c r="C1548" s="1" t="s">
        <v>2851</v>
      </c>
      <c r="D1548" s="1" t="s">
        <v>1225</v>
      </c>
      <c r="E1548" s="1" t="s">
        <v>5873</v>
      </c>
      <c r="F1548" s="1">
        <v>400</v>
      </c>
      <c r="G1548" s="1" t="s">
        <v>5606</v>
      </c>
      <c r="H1548" s="234">
        <v>4.3</v>
      </c>
      <c r="I1548" s="235">
        <f t="shared" si="154"/>
        <v>1720</v>
      </c>
      <c r="K1548" s="250">
        <f>3.6*300+100*3.96</f>
        <v>1476</v>
      </c>
      <c r="N1548" s="235">
        <v>0</v>
      </c>
      <c r="O1548" s="235">
        <f>I1548-N1548</f>
        <v>1720</v>
      </c>
      <c r="P1548" s="238" t="s">
        <v>5619</v>
      </c>
      <c r="Q1548" s="1" t="s">
        <v>3676</v>
      </c>
      <c r="R1548" s="247" t="s">
        <v>2591</v>
      </c>
      <c r="S1548" s="246" t="s">
        <v>2592</v>
      </c>
      <c r="T1548" s="246" t="s">
        <v>3723</v>
      </c>
      <c r="U1548" s="238" t="s">
        <v>5625</v>
      </c>
      <c r="V1548" s="238" t="s">
        <v>176</v>
      </c>
      <c r="AB1548" s="1" t="s">
        <v>1570</v>
      </c>
    </row>
    <row r="1549" spans="1:28">
      <c r="A1549" s="233">
        <v>41348</v>
      </c>
      <c r="B1549" s="1" t="s">
        <v>4803</v>
      </c>
      <c r="C1549" s="1" t="s">
        <v>2851</v>
      </c>
      <c r="D1549" s="1" t="s">
        <v>34</v>
      </c>
      <c r="E1549" s="1">
        <v>12235</v>
      </c>
      <c r="F1549" s="1">
        <v>20</v>
      </c>
      <c r="G1549" s="1" t="s">
        <v>5593</v>
      </c>
      <c r="H1549" s="234">
        <v>42</v>
      </c>
      <c r="I1549" s="235">
        <f t="shared" ref="I1549:I1559" si="156">F1549*H1549</f>
        <v>840</v>
      </c>
      <c r="K1549" s="250">
        <f>40.2*20</f>
        <v>804</v>
      </c>
      <c r="L1549" s="237">
        <v>41348</v>
      </c>
      <c r="M1549" s="1" t="s">
        <v>2853</v>
      </c>
      <c r="N1549" s="235">
        <f t="shared" si="149"/>
        <v>840</v>
      </c>
      <c r="O1549" s="235">
        <f t="shared" ref="O1549:O1556" si="157">I1549-N1549</f>
        <v>0</v>
      </c>
      <c r="P1549" s="238" t="s">
        <v>5602</v>
      </c>
      <c r="Q1549" s="1" t="s">
        <v>5354</v>
      </c>
      <c r="R1549" s="239" t="s">
        <v>5594</v>
      </c>
      <c r="S1549" s="238" t="s">
        <v>5595</v>
      </c>
      <c r="T1549" s="238" t="s">
        <v>5596</v>
      </c>
      <c r="U1549" s="238" t="s">
        <v>5597</v>
      </c>
      <c r="AB1549" s="5" t="s">
        <v>2850</v>
      </c>
    </row>
    <row r="1550" spans="1:28">
      <c r="A1550" s="233">
        <v>41351</v>
      </c>
      <c r="B1550" s="1" t="s">
        <v>2139</v>
      </c>
      <c r="C1550" s="1" t="s">
        <v>163</v>
      </c>
      <c r="D1550" s="1" t="s">
        <v>241</v>
      </c>
      <c r="E1550" s="1">
        <v>6200</v>
      </c>
      <c r="F1550" s="5">
        <v>1</v>
      </c>
      <c r="G1550" s="1" t="s">
        <v>171</v>
      </c>
      <c r="H1550" s="234">
        <v>59</v>
      </c>
      <c r="I1550" s="236">
        <f>H1550*F1550</f>
        <v>59</v>
      </c>
      <c r="K1550" s="250">
        <f>44.5*1</f>
        <v>44.5</v>
      </c>
      <c r="L1550" s="237">
        <v>41351</v>
      </c>
      <c r="M1550" s="1" t="s">
        <v>700</v>
      </c>
      <c r="N1550" s="235">
        <f t="shared" si="149"/>
        <v>59</v>
      </c>
      <c r="O1550" s="235">
        <f t="shared" si="157"/>
        <v>0</v>
      </c>
      <c r="P1550" s="238" t="s">
        <v>5632</v>
      </c>
      <c r="Q1550" s="1" t="s">
        <v>393</v>
      </c>
      <c r="R1550" s="239" t="s">
        <v>2137</v>
      </c>
      <c r="S1550" s="238" t="s">
        <v>2680</v>
      </c>
      <c r="T1550" s="238" t="s">
        <v>2681</v>
      </c>
      <c r="V1550" s="238" t="s">
        <v>176</v>
      </c>
      <c r="AB1550" s="1" t="s">
        <v>1570</v>
      </c>
    </row>
    <row r="1551" spans="1:28">
      <c r="A1551" s="233">
        <v>41351</v>
      </c>
      <c r="B1551" s="1" t="s">
        <v>2139</v>
      </c>
      <c r="C1551" s="1" t="s">
        <v>163</v>
      </c>
      <c r="D1551" s="1" t="s">
        <v>355</v>
      </c>
      <c r="E1551" s="1" t="s">
        <v>146</v>
      </c>
      <c r="F1551" s="5">
        <v>2</v>
      </c>
      <c r="G1551" s="1" t="s">
        <v>230</v>
      </c>
      <c r="H1551" s="234">
        <v>22</v>
      </c>
      <c r="I1551" s="236">
        <f>H1551*F1551</f>
        <v>44</v>
      </c>
      <c r="K1551" s="250">
        <f>17.25*2</f>
        <v>34.5</v>
      </c>
      <c r="L1551" s="237">
        <v>41351</v>
      </c>
      <c r="M1551" s="1" t="s">
        <v>700</v>
      </c>
      <c r="N1551" s="235">
        <f t="shared" si="149"/>
        <v>44</v>
      </c>
      <c r="O1551" s="235">
        <f t="shared" si="157"/>
        <v>0</v>
      </c>
      <c r="P1551" s="238" t="s">
        <v>5632</v>
      </c>
      <c r="Q1551" s="1" t="s">
        <v>393</v>
      </c>
      <c r="R1551" s="239" t="s">
        <v>2137</v>
      </c>
      <c r="S1551" s="238" t="s">
        <v>2680</v>
      </c>
      <c r="T1551" s="238" t="s">
        <v>2681</v>
      </c>
      <c r="V1551" s="238" t="s">
        <v>176</v>
      </c>
      <c r="AB1551" s="1" t="s">
        <v>1570</v>
      </c>
    </row>
    <row r="1552" spans="1:28">
      <c r="A1552" s="233">
        <v>41351</v>
      </c>
      <c r="B1552" s="1" t="s">
        <v>2139</v>
      </c>
      <c r="C1552" s="1" t="s">
        <v>163</v>
      </c>
      <c r="D1552" s="1" t="s">
        <v>233</v>
      </c>
      <c r="E1552" s="1" t="s">
        <v>195</v>
      </c>
      <c r="F1552" s="5">
        <v>2</v>
      </c>
      <c r="G1552" s="1" t="s">
        <v>232</v>
      </c>
      <c r="H1552" s="234">
        <v>7</v>
      </c>
      <c r="I1552" s="236">
        <f t="shared" ref="I1552:I1553" si="158">H1552*F1552</f>
        <v>14</v>
      </c>
      <c r="K1552" s="250">
        <f>4.75*2</f>
        <v>9.5</v>
      </c>
      <c r="L1552" s="237">
        <v>41351</v>
      </c>
      <c r="M1552" s="1" t="s">
        <v>700</v>
      </c>
      <c r="N1552" s="235">
        <f t="shared" si="149"/>
        <v>14</v>
      </c>
      <c r="O1552" s="235">
        <f t="shared" si="157"/>
        <v>0</v>
      </c>
      <c r="P1552" s="238" t="s">
        <v>5632</v>
      </c>
      <c r="Q1552" s="1" t="s">
        <v>393</v>
      </c>
      <c r="R1552" s="239" t="s">
        <v>2137</v>
      </c>
      <c r="S1552" s="238" t="s">
        <v>2680</v>
      </c>
      <c r="T1552" s="238" t="s">
        <v>2681</v>
      </c>
      <c r="V1552" s="238" t="s">
        <v>176</v>
      </c>
      <c r="AB1552" s="1" t="s">
        <v>1570</v>
      </c>
    </row>
    <row r="1553" spans="1:28">
      <c r="A1553" s="233">
        <v>41351</v>
      </c>
      <c r="B1553" s="1" t="s">
        <v>2139</v>
      </c>
      <c r="C1553" s="1" t="s">
        <v>163</v>
      </c>
      <c r="D1553" s="1" t="s">
        <v>264</v>
      </c>
      <c r="E1553" s="1">
        <v>501</v>
      </c>
      <c r="F1553" s="5">
        <v>2</v>
      </c>
      <c r="G1553" s="1" t="s">
        <v>230</v>
      </c>
      <c r="H1553" s="234">
        <v>1.5</v>
      </c>
      <c r="I1553" s="236">
        <f t="shared" si="158"/>
        <v>3</v>
      </c>
      <c r="K1553" s="250">
        <f>1.39*2</f>
        <v>2.78</v>
      </c>
      <c r="L1553" s="237">
        <v>41351</v>
      </c>
      <c r="M1553" s="1" t="s">
        <v>700</v>
      </c>
      <c r="N1553" s="235">
        <f t="shared" si="149"/>
        <v>3</v>
      </c>
      <c r="O1553" s="235">
        <f t="shared" si="157"/>
        <v>0</v>
      </c>
      <c r="P1553" s="238" t="s">
        <v>5632</v>
      </c>
      <c r="Q1553" s="1" t="s">
        <v>393</v>
      </c>
      <c r="R1553" s="239" t="s">
        <v>2137</v>
      </c>
      <c r="S1553" s="238" t="s">
        <v>2680</v>
      </c>
      <c r="T1553" s="238" t="s">
        <v>2681</v>
      </c>
      <c r="V1553" s="238" t="s">
        <v>176</v>
      </c>
      <c r="AB1553" s="1" t="s">
        <v>1570</v>
      </c>
    </row>
    <row r="1554" spans="1:28">
      <c r="A1554" s="233">
        <v>41351</v>
      </c>
      <c r="B1554" s="1" t="s">
        <v>5638</v>
      </c>
      <c r="C1554" s="1" t="s">
        <v>163</v>
      </c>
      <c r="D1554" s="5" t="s">
        <v>666</v>
      </c>
      <c r="E1554" s="1">
        <v>8246</v>
      </c>
      <c r="F1554" s="5">
        <v>400</v>
      </c>
      <c r="G1554" s="1" t="s">
        <v>5641</v>
      </c>
      <c r="H1554" s="234">
        <v>19.8</v>
      </c>
      <c r="I1554" s="235">
        <f t="shared" ref="I1554:I1555" si="159">F1554*H1554</f>
        <v>7920</v>
      </c>
      <c r="K1554" s="250">
        <f>12*400</f>
        <v>4800</v>
      </c>
      <c r="N1554" s="235">
        <v>0</v>
      </c>
      <c r="O1554" s="235">
        <f t="shared" si="157"/>
        <v>7920</v>
      </c>
      <c r="P1554" s="238" t="s">
        <v>5642</v>
      </c>
      <c r="Q1554" s="1" t="s">
        <v>5643</v>
      </c>
      <c r="R1554" s="239" t="s">
        <v>168</v>
      </c>
      <c r="S1554" s="238" t="s">
        <v>168</v>
      </c>
      <c r="T1554" s="238" t="s">
        <v>168</v>
      </c>
      <c r="U1554" s="238" t="s">
        <v>168</v>
      </c>
      <c r="V1554" s="238" t="s">
        <v>5644</v>
      </c>
      <c r="W1554" s="236">
        <v>7920</v>
      </c>
      <c r="AA1554" s="282" t="s">
        <v>5646</v>
      </c>
      <c r="AB1554" s="1" t="s">
        <v>5647</v>
      </c>
    </row>
    <row r="1555" spans="1:28">
      <c r="A1555" s="233">
        <v>41351</v>
      </c>
      <c r="B1555" s="1" t="s">
        <v>5638</v>
      </c>
      <c r="C1555" s="1" t="s">
        <v>163</v>
      </c>
      <c r="D1555" s="5" t="s">
        <v>2029</v>
      </c>
      <c r="E1555" s="1">
        <v>7502</v>
      </c>
      <c r="F1555" s="5">
        <v>5</v>
      </c>
      <c r="G1555" s="1" t="s">
        <v>5641</v>
      </c>
      <c r="H1555" s="234">
        <v>189</v>
      </c>
      <c r="I1555" s="236">
        <f t="shared" si="159"/>
        <v>945</v>
      </c>
      <c r="K1555" s="250">
        <f>110*5</f>
        <v>550</v>
      </c>
      <c r="N1555" s="235">
        <v>0</v>
      </c>
      <c r="O1555" s="235">
        <f t="shared" si="157"/>
        <v>945</v>
      </c>
      <c r="P1555" s="238" t="s">
        <v>5642</v>
      </c>
      <c r="Q1555" s="1" t="s">
        <v>5643</v>
      </c>
      <c r="R1555" s="239" t="s">
        <v>168</v>
      </c>
      <c r="S1555" s="238" t="s">
        <v>168</v>
      </c>
      <c r="T1555" s="238" t="s">
        <v>168</v>
      </c>
      <c r="U1555" s="238" t="s">
        <v>168</v>
      </c>
      <c r="V1555" s="238" t="s">
        <v>5645</v>
      </c>
      <c r="W1555" s="236">
        <v>4425</v>
      </c>
      <c r="AA1555" s="282" t="s">
        <v>5646</v>
      </c>
      <c r="AB1555" s="1" t="s">
        <v>5647</v>
      </c>
    </row>
    <row r="1556" spans="1:28">
      <c r="A1556" s="233">
        <v>41351</v>
      </c>
      <c r="B1556" s="1" t="s">
        <v>5638</v>
      </c>
      <c r="C1556" s="1" t="s">
        <v>163</v>
      </c>
      <c r="D1556" s="5" t="s">
        <v>274</v>
      </c>
      <c r="E1556" s="1" t="s">
        <v>5639</v>
      </c>
      <c r="F1556" s="5">
        <v>60</v>
      </c>
      <c r="G1556" s="1" t="s">
        <v>171</v>
      </c>
      <c r="H1556" s="234">
        <v>58</v>
      </c>
      <c r="I1556" s="235">
        <f t="shared" ref="I1556" si="160">F1556*H1556</f>
        <v>3480</v>
      </c>
      <c r="K1556" s="250">
        <f>31.7*60</f>
        <v>1902</v>
      </c>
      <c r="N1556" s="235">
        <v>0</v>
      </c>
      <c r="O1556" s="235">
        <f t="shared" si="157"/>
        <v>3480</v>
      </c>
      <c r="P1556" s="238" t="s">
        <v>5642</v>
      </c>
      <c r="Q1556" s="1" t="s">
        <v>5643</v>
      </c>
      <c r="R1556" s="239" t="s">
        <v>168</v>
      </c>
      <c r="S1556" s="238" t="s">
        <v>168</v>
      </c>
      <c r="T1556" s="238" t="s">
        <v>168</v>
      </c>
      <c r="U1556" s="238" t="s">
        <v>168</v>
      </c>
      <c r="V1556" s="238" t="s">
        <v>5645</v>
      </c>
      <c r="W1556" s="236">
        <v>4425</v>
      </c>
      <c r="AA1556" s="282" t="s">
        <v>5646</v>
      </c>
      <c r="AB1556" s="1" t="s">
        <v>5647</v>
      </c>
    </row>
    <row r="1557" spans="1:28">
      <c r="A1557" s="233">
        <v>41351</v>
      </c>
      <c r="B1557" s="1" t="s">
        <v>3410</v>
      </c>
      <c r="C1557" s="1" t="s">
        <v>163</v>
      </c>
      <c r="D1557" s="5" t="s">
        <v>4801</v>
      </c>
      <c r="E1557" s="1">
        <v>2078</v>
      </c>
      <c r="F1557" s="1">
        <v>200</v>
      </c>
      <c r="G1557" s="1" t="s">
        <v>232</v>
      </c>
      <c r="H1557" s="234">
        <v>13.23</v>
      </c>
      <c r="I1557" s="235">
        <f>F1557*H1557</f>
        <v>2646</v>
      </c>
      <c r="K1557" s="250">
        <f>10.7*200</f>
        <v>2140</v>
      </c>
      <c r="L1557" s="237">
        <v>41333</v>
      </c>
      <c r="M1557" s="1" t="s">
        <v>5446</v>
      </c>
      <c r="N1557" s="235">
        <f t="shared" si="149"/>
        <v>2646</v>
      </c>
      <c r="O1557" s="235">
        <f>I1557-N1557</f>
        <v>0</v>
      </c>
      <c r="P1557" s="238" t="s">
        <v>5640</v>
      </c>
      <c r="Q1557" s="1" t="s">
        <v>5648</v>
      </c>
      <c r="R1557" s="239" t="s">
        <v>5413</v>
      </c>
      <c r="S1557" s="238" t="s">
        <v>3412</v>
      </c>
      <c r="T1557" s="238" t="s">
        <v>3200</v>
      </c>
      <c r="U1557" s="238" t="s">
        <v>5649</v>
      </c>
      <c r="V1557" s="238" t="s">
        <v>6070</v>
      </c>
      <c r="W1557" s="236">
        <v>6912</v>
      </c>
      <c r="X1557" s="233">
        <v>41371</v>
      </c>
      <c r="Y1557" s="238" t="s">
        <v>6071</v>
      </c>
      <c r="AB1557" s="1" t="s">
        <v>1570</v>
      </c>
    </row>
    <row r="1558" spans="1:28">
      <c r="A1558" s="233">
        <v>41351</v>
      </c>
      <c r="B1558" s="1" t="s">
        <v>5629</v>
      </c>
      <c r="C1558" s="1" t="s">
        <v>189</v>
      </c>
      <c r="D1558" s="333" t="s">
        <v>5010</v>
      </c>
      <c r="E1558" s="1" t="s">
        <v>5630</v>
      </c>
      <c r="F1558" s="1">
        <v>60</v>
      </c>
      <c r="G1558" s="1" t="s">
        <v>5631</v>
      </c>
      <c r="H1558" s="234">
        <v>14.62</v>
      </c>
      <c r="I1558" s="235">
        <f t="shared" si="156"/>
        <v>877.19999999999993</v>
      </c>
      <c r="K1558" s="250">
        <f>14.15*60</f>
        <v>849</v>
      </c>
      <c r="N1558" s="235">
        <v>0</v>
      </c>
      <c r="O1558" s="235">
        <f>I1558-N1558</f>
        <v>877.19999999999993</v>
      </c>
      <c r="Q1558" s="5" t="s">
        <v>5655</v>
      </c>
      <c r="R1558" s="239" t="s">
        <v>168</v>
      </c>
      <c r="S1558" s="238" t="s">
        <v>168</v>
      </c>
      <c r="T1558" s="238" t="s">
        <v>168</v>
      </c>
      <c r="U1558" s="238" t="s">
        <v>168</v>
      </c>
      <c r="AB1558" s="5" t="s">
        <v>1570</v>
      </c>
    </row>
    <row r="1559" spans="1:28">
      <c r="A1559" s="233">
        <v>41352</v>
      </c>
      <c r="B1559" s="1" t="s">
        <v>5666</v>
      </c>
      <c r="C1559" s="1" t="s">
        <v>163</v>
      </c>
      <c r="D1559" s="1" t="s">
        <v>2037</v>
      </c>
      <c r="E1559" s="1">
        <v>8511</v>
      </c>
      <c r="F1559" s="1">
        <v>10</v>
      </c>
      <c r="G1559" s="1" t="s">
        <v>5654</v>
      </c>
      <c r="H1559" s="234">
        <v>12</v>
      </c>
      <c r="I1559" s="235">
        <f t="shared" si="156"/>
        <v>120</v>
      </c>
      <c r="K1559" s="282">
        <f>8.05*10</f>
        <v>80.5</v>
      </c>
      <c r="L1559" s="237">
        <v>41354</v>
      </c>
      <c r="M1559" s="1" t="s">
        <v>166</v>
      </c>
      <c r="N1559" s="235">
        <f t="shared" si="149"/>
        <v>120</v>
      </c>
      <c r="O1559" s="235">
        <f t="shared" ref="O1559:O1575" si="161">I1559-N1559</f>
        <v>0</v>
      </c>
      <c r="P1559" s="238" t="s">
        <v>5668</v>
      </c>
      <c r="Q1559" s="5" t="s">
        <v>728</v>
      </c>
      <c r="R1559" s="239" t="s">
        <v>5669</v>
      </c>
      <c r="S1559" s="238" t="s">
        <v>5670</v>
      </c>
      <c r="T1559" s="238" t="s">
        <v>5671</v>
      </c>
      <c r="U1559" s="238" t="s">
        <v>5672</v>
      </c>
      <c r="V1559" s="238" t="s">
        <v>6119</v>
      </c>
      <c r="Z1559" s="255" t="s">
        <v>5673</v>
      </c>
      <c r="AB1559" s="5" t="s">
        <v>2079</v>
      </c>
    </row>
    <row r="1560" spans="1:28">
      <c r="A1560" s="233">
        <v>41352</v>
      </c>
      <c r="B1560" s="1" t="s">
        <v>5653</v>
      </c>
      <c r="C1560" s="1" t="s">
        <v>163</v>
      </c>
      <c r="D1560" s="5" t="s">
        <v>51</v>
      </c>
      <c r="E1560" s="1">
        <v>9032</v>
      </c>
      <c r="F1560" s="1">
        <v>150</v>
      </c>
      <c r="G1560" s="1" t="s">
        <v>5654</v>
      </c>
      <c r="H1560" s="234">
        <v>1.62</v>
      </c>
      <c r="I1560" s="235">
        <f>F1560*H1560</f>
        <v>243.00000000000003</v>
      </c>
      <c r="K1560" s="250">
        <f>1.4929*150</f>
        <v>223.93499999999997</v>
      </c>
      <c r="L1560" s="237">
        <v>41355</v>
      </c>
      <c r="M1560" s="1" t="s">
        <v>5780</v>
      </c>
      <c r="N1560" s="235">
        <f t="shared" si="149"/>
        <v>243.00000000000003</v>
      </c>
      <c r="O1560" s="235">
        <f t="shared" si="161"/>
        <v>0</v>
      </c>
      <c r="P1560" s="238" t="s">
        <v>5661</v>
      </c>
      <c r="Q1560" s="1" t="s">
        <v>728</v>
      </c>
      <c r="R1560" s="239" t="s">
        <v>5662</v>
      </c>
      <c r="S1560" s="238" t="s">
        <v>5663</v>
      </c>
      <c r="T1560" s="238" t="s">
        <v>5664</v>
      </c>
      <c r="U1560" s="238" t="s">
        <v>5665</v>
      </c>
      <c r="AB1560" s="1" t="s">
        <v>1570</v>
      </c>
    </row>
    <row r="1561" spans="1:28">
      <c r="A1561" s="233">
        <v>41352</v>
      </c>
      <c r="B1561" s="1" t="s">
        <v>2331</v>
      </c>
      <c r="C1561" s="1" t="s">
        <v>163</v>
      </c>
      <c r="D1561" s="5" t="s">
        <v>986</v>
      </c>
      <c r="E1561" s="1">
        <v>6800</v>
      </c>
      <c r="F1561" s="1">
        <v>1</v>
      </c>
      <c r="G1561" s="1" t="s">
        <v>5654</v>
      </c>
      <c r="H1561" s="234">
        <v>458</v>
      </c>
      <c r="I1561" s="235">
        <f>H1561*F1561</f>
        <v>458</v>
      </c>
      <c r="K1561" s="250">
        <f>430*1</f>
        <v>430</v>
      </c>
      <c r="L1561" s="237">
        <v>41352</v>
      </c>
      <c r="M1561" s="1" t="s">
        <v>167</v>
      </c>
      <c r="N1561" s="235">
        <f t="shared" si="149"/>
        <v>458</v>
      </c>
      <c r="O1561" s="235">
        <f t="shared" si="161"/>
        <v>0</v>
      </c>
      <c r="P1561" s="238" t="s">
        <v>5676</v>
      </c>
      <c r="Q1561" s="1" t="s">
        <v>1571</v>
      </c>
      <c r="R1561" s="239" t="s">
        <v>3174</v>
      </c>
      <c r="S1561" s="238" t="s">
        <v>3175</v>
      </c>
      <c r="T1561" s="239" t="s">
        <v>168</v>
      </c>
      <c r="U1561" s="239" t="s">
        <v>168</v>
      </c>
      <c r="AB1561" s="1" t="s">
        <v>1570</v>
      </c>
    </row>
    <row r="1562" spans="1:28">
      <c r="A1562" s="233">
        <v>41352</v>
      </c>
      <c r="B1562" s="1" t="s">
        <v>2331</v>
      </c>
      <c r="C1562" s="1" t="s">
        <v>163</v>
      </c>
      <c r="D1562" s="1" t="s">
        <v>274</v>
      </c>
      <c r="E1562" s="1" t="s">
        <v>5675</v>
      </c>
      <c r="F1562" s="1">
        <v>10</v>
      </c>
      <c r="G1562" s="1" t="s">
        <v>5654</v>
      </c>
      <c r="H1562" s="234">
        <v>35</v>
      </c>
      <c r="I1562" s="235">
        <f>H1562*F1562</f>
        <v>350</v>
      </c>
      <c r="K1562" s="250">
        <f>32*10</f>
        <v>320</v>
      </c>
      <c r="L1562" s="237">
        <v>41352</v>
      </c>
      <c r="M1562" s="1" t="s">
        <v>167</v>
      </c>
      <c r="N1562" s="235">
        <f t="shared" si="149"/>
        <v>350</v>
      </c>
      <c r="O1562" s="235">
        <f t="shared" si="161"/>
        <v>0</v>
      </c>
      <c r="P1562" s="238" t="s">
        <v>5676</v>
      </c>
      <c r="Q1562" s="1" t="s">
        <v>1571</v>
      </c>
      <c r="R1562" s="239" t="s">
        <v>3174</v>
      </c>
      <c r="S1562" s="238" t="s">
        <v>3175</v>
      </c>
      <c r="T1562" s="239" t="s">
        <v>168</v>
      </c>
      <c r="U1562" s="239" t="s">
        <v>168</v>
      </c>
      <c r="AB1562" s="1" t="s">
        <v>1570</v>
      </c>
    </row>
    <row r="1563" spans="1:28">
      <c r="A1563" s="233">
        <v>41353</v>
      </c>
      <c r="B1563" s="1" t="s">
        <v>3281</v>
      </c>
      <c r="C1563" s="1" t="s">
        <v>163</v>
      </c>
      <c r="D1563" s="5" t="s">
        <v>2027</v>
      </c>
      <c r="E1563" s="1" t="s">
        <v>5656</v>
      </c>
      <c r="F1563" s="1">
        <v>10</v>
      </c>
      <c r="G1563" s="1" t="s">
        <v>5659</v>
      </c>
      <c r="H1563" s="234">
        <v>48</v>
      </c>
      <c r="I1563" s="236">
        <f t="shared" ref="I1563:I1567" si="162">H1563*F1563</f>
        <v>480</v>
      </c>
      <c r="K1563" s="250">
        <f>33.111*10</f>
        <v>331.10999999999996</v>
      </c>
      <c r="L1563" s="237">
        <v>41353</v>
      </c>
      <c r="M1563" s="1" t="s">
        <v>166</v>
      </c>
      <c r="N1563" s="235">
        <f t="shared" si="149"/>
        <v>480</v>
      </c>
      <c r="O1563" s="235">
        <f t="shared" si="161"/>
        <v>0</v>
      </c>
      <c r="P1563" s="238" t="s">
        <v>5674</v>
      </c>
      <c r="Q1563" s="1" t="s">
        <v>3676</v>
      </c>
      <c r="R1563" s="239" t="s">
        <v>2164</v>
      </c>
      <c r="S1563" s="238" t="s">
        <v>3285</v>
      </c>
      <c r="T1563" s="238" t="s">
        <v>2166</v>
      </c>
      <c r="U1563" s="238" t="s">
        <v>5742</v>
      </c>
      <c r="V1563" s="238" t="s">
        <v>6006</v>
      </c>
      <c r="W1563" s="236">
        <v>1306</v>
      </c>
      <c r="X1563" s="233">
        <v>41366</v>
      </c>
      <c r="Y1563" s="238" t="s">
        <v>6008</v>
      </c>
      <c r="AB1563" s="1" t="s">
        <v>2079</v>
      </c>
    </row>
    <row r="1564" spans="1:28">
      <c r="A1564" s="233">
        <v>41353</v>
      </c>
      <c r="B1564" s="1" t="s">
        <v>3281</v>
      </c>
      <c r="C1564" s="1" t="s">
        <v>163</v>
      </c>
      <c r="D1564" s="65" t="s">
        <v>1575</v>
      </c>
      <c r="E1564" s="1" t="s">
        <v>5657</v>
      </c>
      <c r="F1564" s="1">
        <v>10</v>
      </c>
      <c r="G1564" s="1" t="s">
        <v>5659</v>
      </c>
      <c r="H1564" s="234">
        <v>58</v>
      </c>
      <c r="I1564" s="236">
        <f t="shared" si="162"/>
        <v>580</v>
      </c>
      <c r="K1564" s="250">
        <f>42.939*10</f>
        <v>429.39</v>
      </c>
      <c r="L1564" s="237">
        <v>41353</v>
      </c>
      <c r="M1564" s="1" t="s">
        <v>166</v>
      </c>
      <c r="N1564" s="235">
        <f t="shared" si="149"/>
        <v>580</v>
      </c>
      <c r="O1564" s="235">
        <f t="shared" si="161"/>
        <v>0</v>
      </c>
      <c r="P1564" s="238" t="s">
        <v>5674</v>
      </c>
      <c r="Q1564" s="1" t="s">
        <v>3676</v>
      </c>
      <c r="R1564" s="239" t="s">
        <v>2164</v>
      </c>
      <c r="S1564" s="238" t="s">
        <v>3285</v>
      </c>
      <c r="T1564" s="238" t="s">
        <v>2166</v>
      </c>
      <c r="U1564" s="238" t="s">
        <v>5742</v>
      </c>
      <c r="V1564" s="238" t="s">
        <v>6006</v>
      </c>
      <c r="W1564" s="236">
        <v>1306</v>
      </c>
      <c r="X1564" s="233">
        <v>41366</v>
      </c>
      <c r="Y1564" s="238" t="s">
        <v>6008</v>
      </c>
      <c r="AB1564" s="1" t="s">
        <v>2079</v>
      </c>
    </row>
    <row r="1565" spans="1:28">
      <c r="A1565" s="233">
        <v>41353</v>
      </c>
      <c r="B1565" s="1" t="s">
        <v>3281</v>
      </c>
      <c r="C1565" s="1" t="s">
        <v>163</v>
      </c>
      <c r="D1565" s="5" t="s">
        <v>183</v>
      </c>
      <c r="E1565" s="1" t="s">
        <v>2064</v>
      </c>
      <c r="F1565" s="1">
        <v>20</v>
      </c>
      <c r="G1565" s="1" t="s">
        <v>5660</v>
      </c>
      <c r="H1565" s="234">
        <v>2.2999999999999998</v>
      </c>
      <c r="I1565" s="236">
        <f t="shared" si="162"/>
        <v>46</v>
      </c>
      <c r="K1565" s="250">
        <f>1.24*20</f>
        <v>24.8</v>
      </c>
      <c r="L1565" s="237">
        <v>41353</v>
      </c>
      <c r="M1565" s="1" t="s">
        <v>166</v>
      </c>
      <c r="N1565" s="235">
        <f t="shared" si="149"/>
        <v>46</v>
      </c>
      <c r="O1565" s="235">
        <f t="shared" si="161"/>
        <v>0</v>
      </c>
      <c r="P1565" s="238" t="s">
        <v>5674</v>
      </c>
      <c r="Q1565" s="1" t="s">
        <v>3676</v>
      </c>
      <c r="R1565" s="239" t="s">
        <v>2164</v>
      </c>
      <c r="S1565" s="238" t="s">
        <v>3285</v>
      </c>
      <c r="T1565" s="238" t="s">
        <v>2166</v>
      </c>
      <c r="U1565" s="238" t="s">
        <v>5742</v>
      </c>
      <c r="V1565" s="238" t="s">
        <v>6006</v>
      </c>
      <c r="W1565" s="236">
        <v>1306</v>
      </c>
      <c r="X1565" s="233">
        <v>41366</v>
      </c>
      <c r="Y1565" s="238" t="s">
        <v>6008</v>
      </c>
      <c r="AB1565" s="1" t="s">
        <v>2079</v>
      </c>
    </row>
    <row r="1566" spans="1:28">
      <c r="A1566" s="233">
        <v>41353</v>
      </c>
      <c r="B1566" s="1" t="s">
        <v>3281</v>
      </c>
      <c r="C1566" s="1" t="s">
        <v>163</v>
      </c>
      <c r="D1566" s="1" t="s">
        <v>355</v>
      </c>
      <c r="E1566" s="1" t="s">
        <v>22</v>
      </c>
      <c r="F1566" s="1">
        <v>10</v>
      </c>
      <c r="G1566" s="1" t="s">
        <v>5654</v>
      </c>
      <c r="H1566" s="234">
        <v>18</v>
      </c>
      <c r="I1566" s="236">
        <f t="shared" si="162"/>
        <v>180</v>
      </c>
      <c r="K1566" s="250">
        <f>10.94*10</f>
        <v>109.39999999999999</v>
      </c>
      <c r="L1566" s="237">
        <v>41353</v>
      </c>
      <c r="M1566" s="1" t="s">
        <v>166</v>
      </c>
      <c r="N1566" s="235">
        <f t="shared" si="149"/>
        <v>180</v>
      </c>
      <c r="O1566" s="235">
        <f t="shared" si="161"/>
        <v>0</v>
      </c>
      <c r="P1566" s="238" t="s">
        <v>5674</v>
      </c>
      <c r="Q1566" s="1" t="s">
        <v>3676</v>
      </c>
      <c r="R1566" s="239" t="s">
        <v>2164</v>
      </c>
      <c r="S1566" s="238" t="s">
        <v>3285</v>
      </c>
      <c r="T1566" s="238" t="s">
        <v>2166</v>
      </c>
      <c r="U1566" s="238" t="s">
        <v>5742</v>
      </c>
      <c r="V1566" s="238" t="s">
        <v>6006</v>
      </c>
      <c r="W1566" s="236">
        <v>1306</v>
      </c>
      <c r="X1566" s="233">
        <v>41366</v>
      </c>
      <c r="Y1566" s="238" t="s">
        <v>6008</v>
      </c>
      <c r="AB1566" s="1" t="s">
        <v>2079</v>
      </c>
    </row>
    <row r="1567" spans="1:28">
      <c r="A1567" s="233">
        <v>41353</v>
      </c>
      <c r="B1567" s="1" t="s">
        <v>3281</v>
      </c>
      <c r="C1567" s="1" t="s">
        <v>163</v>
      </c>
      <c r="D1567" s="1" t="s">
        <v>269</v>
      </c>
      <c r="E1567" s="1" t="s">
        <v>5658</v>
      </c>
      <c r="F1567" s="1">
        <v>10</v>
      </c>
      <c r="G1567" s="1" t="s">
        <v>172</v>
      </c>
      <c r="H1567" s="234">
        <v>2</v>
      </c>
      <c r="I1567" s="236">
        <f t="shared" si="162"/>
        <v>20</v>
      </c>
      <c r="K1567" s="250">
        <f>1.17*10</f>
        <v>11.7</v>
      </c>
      <c r="L1567" s="237">
        <v>41353</v>
      </c>
      <c r="M1567" s="1" t="s">
        <v>166</v>
      </c>
      <c r="N1567" s="235">
        <f t="shared" si="149"/>
        <v>20</v>
      </c>
      <c r="O1567" s="235">
        <f t="shared" si="161"/>
        <v>0</v>
      </c>
      <c r="P1567" s="238" t="s">
        <v>5674</v>
      </c>
      <c r="Q1567" s="1" t="s">
        <v>3676</v>
      </c>
      <c r="R1567" s="239" t="s">
        <v>2164</v>
      </c>
      <c r="S1567" s="238" t="s">
        <v>3285</v>
      </c>
      <c r="T1567" s="238" t="s">
        <v>2166</v>
      </c>
      <c r="U1567" s="238" t="s">
        <v>5742</v>
      </c>
      <c r="V1567" s="238" t="s">
        <v>6006</v>
      </c>
      <c r="W1567" s="236">
        <v>1306</v>
      </c>
      <c r="X1567" s="233">
        <v>41366</v>
      </c>
      <c r="Y1567" s="238" t="s">
        <v>6008</v>
      </c>
      <c r="AB1567" s="1" t="s">
        <v>2079</v>
      </c>
    </row>
    <row r="1568" spans="1:28">
      <c r="A1568" s="233">
        <v>41353</v>
      </c>
      <c r="B1568" s="1" t="s">
        <v>5288</v>
      </c>
      <c r="C1568" s="1" t="s">
        <v>163</v>
      </c>
      <c r="D1568" s="1" t="s">
        <v>1216</v>
      </c>
      <c r="E1568" s="1">
        <v>3200</v>
      </c>
      <c r="F1568" s="1">
        <v>60</v>
      </c>
      <c r="G1568" s="1" t="s">
        <v>5565</v>
      </c>
      <c r="H1568" s="234">
        <v>26.5</v>
      </c>
      <c r="I1568" s="235">
        <f t="shared" ref="I1568:I1637" si="163">F1568*H1568</f>
        <v>1590</v>
      </c>
      <c r="K1568" s="250">
        <f>23.94*60</f>
        <v>1436.4</v>
      </c>
      <c r="L1568" s="237">
        <v>41354</v>
      </c>
      <c r="M1568" s="1" t="s">
        <v>167</v>
      </c>
      <c r="N1568" s="235">
        <f t="shared" si="149"/>
        <v>1590</v>
      </c>
      <c r="O1568" s="235">
        <f t="shared" si="161"/>
        <v>0</v>
      </c>
      <c r="P1568" s="238" t="s">
        <v>5698</v>
      </c>
      <c r="Q1568" s="1" t="s">
        <v>3676</v>
      </c>
      <c r="R1568" s="239" t="s">
        <v>5290</v>
      </c>
      <c r="S1568" s="238" t="s">
        <v>5291</v>
      </c>
      <c r="T1568" s="238" t="s">
        <v>5289</v>
      </c>
      <c r="U1568" s="238" t="s">
        <v>5743</v>
      </c>
      <c r="V1568" s="238" t="s">
        <v>6216</v>
      </c>
      <c r="W1568" s="236">
        <v>41752</v>
      </c>
      <c r="X1568" s="233">
        <v>41376</v>
      </c>
      <c r="Y1568" s="238" t="s">
        <v>6217</v>
      </c>
      <c r="AB1568" s="1" t="s">
        <v>1570</v>
      </c>
    </row>
    <row r="1569" spans="1:28">
      <c r="A1569" s="233">
        <v>41353</v>
      </c>
      <c r="B1569" s="1" t="s">
        <v>5288</v>
      </c>
      <c r="C1569" s="1" t="s">
        <v>163</v>
      </c>
      <c r="D1569" s="330" t="s">
        <v>1984</v>
      </c>
      <c r="E1569" s="1" t="s">
        <v>5564</v>
      </c>
      <c r="F1569" s="1">
        <v>4000</v>
      </c>
      <c r="G1569" s="1" t="s">
        <v>5565</v>
      </c>
      <c r="H1569" s="234">
        <v>1.62</v>
      </c>
      <c r="I1569" s="235">
        <f t="shared" si="163"/>
        <v>6480</v>
      </c>
      <c r="K1569" s="250">
        <f>1.44*3500+1.48*500</f>
        <v>5780</v>
      </c>
      <c r="L1569" s="237">
        <v>41354</v>
      </c>
      <c r="M1569" s="1" t="s">
        <v>167</v>
      </c>
      <c r="N1569" s="235">
        <f t="shared" si="149"/>
        <v>6480</v>
      </c>
      <c r="O1569" s="235">
        <f t="shared" si="161"/>
        <v>0</v>
      </c>
      <c r="P1569" s="238" t="s">
        <v>5698</v>
      </c>
      <c r="Q1569" s="1" t="s">
        <v>3676</v>
      </c>
      <c r="R1569" s="239" t="s">
        <v>5290</v>
      </c>
      <c r="S1569" s="238" t="s">
        <v>5291</v>
      </c>
      <c r="T1569" s="238" t="s">
        <v>5289</v>
      </c>
      <c r="U1569" s="238" t="s">
        <v>5743</v>
      </c>
      <c r="V1569" s="238" t="s">
        <v>6216</v>
      </c>
      <c r="W1569" s="236">
        <v>41752</v>
      </c>
      <c r="X1569" s="233">
        <v>41376</v>
      </c>
      <c r="Y1569" s="238" t="s">
        <v>6217</v>
      </c>
      <c r="AB1569" s="1" t="s">
        <v>1570</v>
      </c>
    </row>
    <row r="1570" spans="1:28">
      <c r="A1570" s="233">
        <v>41353</v>
      </c>
      <c r="B1570" s="1" t="s">
        <v>5288</v>
      </c>
      <c r="C1570" s="1" t="s">
        <v>163</v>
      </c>
      <c r="D1570" s="5" t="s">
        <v>1726</v>
      </c>
      <c r="E1570" s="1">
        <v>10435</v>
      </c>
      <c r="F1570" s="1">
        <v>10</v>
      </c>
      <c r="G1570" s="1" t="s">
        <v>5566</v>
      </c>
      <c r="H1570" s="234">
        <v>15.8</v>
      </c>
      <c r="I1570" s="235">
        <f t="shared" si="163"/>
        <v>158</v>
      </c>
      <c r="K1570" s="282">
        <f>14.8*10</f>
        <v>148</v>
      </c>
      <c r="L1570" s="237">
        <v>41354</v>
      </c>
      <c r="M1570" s="1" t="s">
        <v>167</v>
      </c>
      <c r="N1570" s="235">
        <f t="shared" si="149"/>
        <v>158</v>
      </c>
      <c r="O1570" s="235">
        <f t="shared" si="161"/>
        <v>0</v>
      </c>
      <c r="P1570" s="238" t="s">
        <v>5698</v>
      </c>
      <c r="Q1570" s="1" t="s">
        <v>3676</v>
      </c>
      <c r="R1570" s="239" t="s">
        <v>5290</v>
      </c>
      <c r="S1570" s="238" t="s">
        <v>5291</v>
      </c>
      <c r="T1570" s="238" t="s">
        <v>5289</v>
      </c>
      <c r="U1570" s="238" t="s">
        <v>5743</v>
      </c>
      <c r="V1570" s="238" t="s">
        <v>6216</v>
      </c>
      <c r="W1570" s="236">
        <v>41752</v>
      </c>
      <c r="X1570" s="233">
        <v>41376</v>
      </c>
      <c r="Y1570" s="238" t="s">
        <v>6217</v>
      </c>
      <c r="Z1570" s="255" t="s">
        <v>5567</v>
      </c>
      <c r="AB1570" s="1" t="s">
        <v>1570</v>
      </c>
    </row>
    <row r="1571" spans="1:28">
      <c r="A1571" s="233">
        <v>41353</v>
      </c>
      <c r="B1571" s="1" t="s">
        <v>5288</v>
      </c>
      <c r="C1571" s="1" t="s">
        <v>7</v>
      </c>
      <c r="D1571" s="339" t="s">
        <v>5009</v>
      </c>
      <c r="E1571" s="1" t="s">
        <v>5695</v>
      </c>
      <c r="F1571" s="1">
        <v>50</v>
      </c>
      <c r="G1571" s="1" t="s">
        <v>5693</v>
      </c>
      <c r="H1571" s="234">
        <v>1.42</v>
      </c>
      <c r="I1571" s="235">
        <f t="shared" si="163"/>
        <v>71</v>
      </c>
      <c r="K1571" s="282">
        <v>0</v>
      </c>
      <c r="L1571" s="237">
        <v>41354</v>
      </c>
      <c r="M1571" s="1" t="s">
        <v>167</v>
      </c>
      <c r="N1571" s="235">
        <f t="shared" si="149"/>
        <v>71</v>
      </c>
      <c r="O1571" s="235">
        <f t="shared" si="161"/>
        <v>0</v>
      </c>
      <c r="P1571" s="238" t="s">
        <v>5698</v>
      </c>
      <c r="Q1571" s="1" t="s">
        <v>3676</v>
      </c>
      <c r="R1571" s="239" t="s">
        <v>5290</v>
      </c>
      <c r="S1571" s="238" t="s">
        <v>5291</v>
      </c>
      <c r="T1571" s="238" t="s">
        <v>5289</v>
      </c>
      <c r="U1571" s="238" t="s">
        <v>5743</v>
      </c>
      <c r="V1571" s="238" t="s">
        <v>6216</v>
      </c>
      <c r="W1571" s="236">
        <v>41752</v>
      </c>
      <c r="X1571" s="233">
        <v>41376</v>
      </c>
      <c r="Y1571" s="238" t="s">
        <v>6217</v>
      </c>
      <c r="Z1571" s="255" t="s">
        <v>6079</v>
      </c>
      <c r="AB1571" s="1" t="s">
        <v>1570</v>
      </c>
    </row>
    <row r="1572" spans="1:28">
      <c r="A1572" s="233">
        <v>41354</v>
      </c>
      <c r="B1572" s="1" t="s">
        <v>2331</v>
      </c>
      <c r="C1572" s="1" t="s">
        <v>163</v>
      </c>
      <c r="D1572" s="1" t="s">
        <v>1216</v>
      </c>
      <c r="E1572" s="1">
        <v>3200</v>
      </c>
      <c r="F1572" s="1">
        <v>15</v>
      </c>
      <c r="G1572" s="1" t="s">
        <v>171</v>
      </c>
      <c r="H1572" s="234">
        <v>26.5</v>
      </c>
      <c r="I1572" s="235">
        <f>H1572*F1572</f>
        <v>397.5</v>
      </c>
      <c r="K1572" s="250">
        <f>23.94*15</f>
        <v>359.1</v>
      </c>
      <c r="L1572" s="237">
        <v>41354</v>
      </c>
      <c r="M1572" s="1" t="s">
        <v>5728</v>
      </c>
      <c r="N1572" s="235">
        <f t="shared" si="149"/>
        <v>397.5</v>
      </c>
      <c r="O1572" s="235">
        <f t="shared" si="161"/>
        <v>0</v>
      </c>
      <c r="P1572" s="238" t="s">
        <v>5729</v>
      </c>
      <c r="Q1572" s="1" t="s">
        <v>1571</v>
      </c>
      <c r="R1572" s="239" t="s">
        <v>3174</v>
      </c>
      <c r="S1572" s="238" t="s">
        <v>3175</v>
      </c>
      <c r="T1572" s="239" t="s">
        <v>168</v>
      </c>
      <c r="U1572" s="239" t="s">
        <v>168</v>
      </c>
      <c r="AB1572" s="1" t="s">
        <v>1570</v>
      </c>
    </row>
    <row r="1573" spans="1:28">
      <c r="A1573" s="233">
        <v>41354</v>
      </c>
      <c r="B1573" s="1" t="s">
        <v>1578</v>
      </c>
      <c r="C1573" s="1" t="s">
        <v>163</v>
      </c>
      <c r="D1573" s="336" t="s">
        <v>595</v>
      </c>
      <c r="E1573" s="1">
        <v>3200</v>
      </c>
      <c r="F1573" s="1">
        <v>1</v>
      </c>
      <c r="G1573" s="1" t="s">
        <v>171</v>
      </c>
      <c r="H1573" s="234">
        <v>27</v>
      </c>
      <c r="I1573" s="235">
        <f>H1573*F1573</f>
        <v>27</v>
      </c>
      <c r="K1573" s="250">
        <f>23.94*1</f>
        <v>23.94</v>
      </c>
      <c r="N1573" s="235">
        <v>0</v>
      </c>
      <c r="O1573" s="235">
        <f t="shared" si="161"/>
        <v>27</v>
      </c>
      <c r="P1573" s="238" t="s">
        <v>5731</v>
      </c>
      <c r="Q1573" s="1" t="s">
        <v>1580</v>
      </c>
      <c r="R1573" s="239" t="s">
        <v>1579</v>
      </c>
      <c r="S1573" s="238">
        <v>13368068212</v>
      </c>
      <c r="T1573" s="238" t="s">
        <v>168</v>
      </c>
      <c r="U1573" s="238" t="s">
        <v>168</v>
      </c>
      <c r="AB1573" s="5" t="s">
        <v>1570</v>
      </c>
    </row>
    <row r="1574" spans="1:28">
      <c r="A1574" s="233">
        <v>41354</v>
      </c>
      <c r="B1574" s="1" t="s">
        <v>1578</v>
      </c>
      <c r="C1574" s="1" t="s">
        <v>163</v>
      </c>
      <c r="D1574" s="5" t="s">
        <v>348</v>
      </c>
      <c r="E1574" s="1">
        <v>3700</v>
      </c>
      <c r="F1574" s="1">
        <v>11</v>
      </c>
      <c r="G1574" s="1" t="s">
        <v>171</v>
      </c>
      <c r="H1574" s="234">
        <v>3.48</v>
      </c>
      <c r="I1574" s="235">
        <f t="shared" ref="I1574:I1575" si="164">H1574*F1574</f>
        <v>38.28</v>
      </c>
      <c r="K1574" s="250">
        <f>3.09*11</f>
        <v>33.989999999999995</v>
      </c>
      <c r="N1574" s="235">
        <v>0</v>
      </c>
      <c r="O1574" s="235">
        <f t="shared" si="161"/>
        <v>38.28</v>
      </c>
      <c r="P1574" s="238" t="s">
        <v>5731</v>
      </c>
      <c r="Q1574" s="1" t="s">
        <v>1580</v>
      </c>
      <c r="R1574" s="239" t="s">
        <v>1579</v>
      </c>
      <c r="S1574" s="238">
        <v>13368068212</v>
      </c>
      <c r="T1574" s="238" t="s">
        <v>168</v>
      </c>
      <c r="U1574" s="238" t="s">
        <v>168</v>
      </c>
      <c r="AB1574" s="5" t="s">
        <v>1570</v>
      </c>
    </row>
    <row r="1575" spans="1:28">
      <c r="A1575" s="233">
        <v>41354</v>
      </c>
      <c r="B1575" s="1" t="s">
        <v>1578</v>
      </c>
      <c r="C1575" s="1" t="s">
        <v>163</v>
      </c>
      <c r="D1575" s="5" t="s">
        <v>183</v>
      </c>
      <c r="E1575" s="1" t="s">
        <v>187</v>
      </c>
      <c r="F1575" s="1">
        <v>500</v>
      </c>
      <c r="G1575" s="1" t="s">
        <v>5730</v>
      </c>
      <c r="H1575" s="234">
        <v>1.65</v>
      </c>
      <c r="I1575" s="235">
        <f t="shared" si="164"/>
        <v>825</v>
      </c>
      <c r="K1575" s="250">
        <f>1.54*500</f>
        <v>770</v>
      </c>
      <c r="N1575" s="235">
        <v>0</v>
      </c>
      <c r="O1575" s="235">
        <f t="shared" si="161"/>
        <v>825</v>
      </c>
      <c r="P1575" s="238" t="s">
        <v>5731</v>
      </c>
      <c r="Q1575" s="1" t="s">
        <v>1580</v>
      </c>
      <c r="R1575" s="239" t="s">
        <v>1579</v>
      </c>
      <c r="S1575" s="238">
        <v>13368068212</v>
      </c>
      <c r="T1575" s="238" t="s">
        <v>168</v>
      </c>
      <c r="U1575" s="238" t="s">
        <v>168</v>
      </c>
      <c r="AB1575" s="5" t="s">
        <v>1570</v>
      </c>
    </row>
    <row r="1576" spans="1:28">
      <c r="A1576" s="233">
        <v>41354</v>
      </c>
      <c r="B1576" s="228" t="s">
        <v>1496</v>
      </c>
      <c r="C1576" s="1" t="s">
        <v>163</v>
      </c>
      <c r="D1576" s="5" t="s">
        <v>183</v>
      </c>
      <c r="E1576" s="1" t="s">
        <v>187</v>
      </c>
      <c r="F1576" s="1">
        <v>500</v>
      </c>
      <c r="G1576" s="1" t="s">
        <v>5730</v>
      </c>
      <c r="H1576" s="234">
        <v>1.65</v>
      </c>
      <c r="I1576" s="236">
        <f>H1576*F1576</f>
        <v>825</v>
      </c>
      <c r="K1576" s="250">
        <f>1.54*500</f>
        <v>770</v>
      </c>
      <c r="L1576" s="237">
        <v>41359</v>
      </c>
      <c r="M1576" s="1" t="s">
        <v>167</v>
      </c>
      <c r="N1576" s="235">
        <f t="shared" si="149"/>
        <v>825</v>
      </c>
      <c r="O1576" s="235">
        <f t="shared" ref="O1576:O1580" si="165">I1576-N1576</f>
        <v>0</v>
      </c>
      <c r="P1576" s="238" t="s">
        <v>5732</v>
      </c>
      <c r="Q1576" s="1" t="s">
        <v>5763</v>
      </c>
      <c r="R1576" s="239" t="s">
        <v>4357</v>
      </c>
      <c r="S1576" s="238" t="s">
        <v>4358</v>
      </c>
      <c r="T1576" s="238" t="s">
        <v>1479</v>
      </c>
      <c r="U1576" s="238" t="s">
        <v>5764</v>
      </c>
      <c r="V1576" s="238" t="s">
        <v>6218</v>
      </c>
      <c r="W1576" s="236">
        <v>16862.8</v>
      </c>
      <c r="X1576" s="233">
        <v>41376</v>
      </c>
      <c r="Y1576" s="238" t="s">
        <v>6219</v>
      </c>
      <c r="AB1576" s="1" t="s">
        <v>1570</v>
      </c>
    </row>
    <row r="1577" spans="1:28">
      <c r="A1577" s="233">
        <v>41355</v>
      </c>
      <c r="B1577" s="1" t="s">
        <v>2552</v>
      </c>
      <c r="C1577" s="1" t="s">
        <v>163</v>
      </c>
      <c r="D1577" s="5" t="s">
        <v>2026</v>
      </c>
      <c r="E1577" s="1" t="s">
        <v>5785</v>
      </c>
      <c r="F1577" s="1">
        <v>500</v>
      </c>
      <c r="G1577" s="1" t="s">
        <v>5774</v>
      </c>
      <c r="H1577" s="234">
        <v>1.65</v>
      </c>
      <c r="I1577" s="235">
        <f>F1577*H1577</f>
        <v>825</v>
      </c>
      <c r="K1577" s="250">
        <f>1.48*500</f>
        <v>740</v>
      </c>
      <c r="L1577" s="237">
        <v>41355</v>
      </c>
      <c r="M1577" s="1" t="s">
        <v>5787</v>
      </c>
      <c r="N1577" s="235">
        <f t="shared" si="149"/>
        <v>825</v>
      </c>
      <c r="O1577" s="235">
        <f t="shared" si="165"/>
        <v>0</v>
      </c>
      <c r="P1577" s="238" t="s">
        <v>5786</v>
      </c>
      <c r="Q1577" s="1" t="s">
        <v>1571</v>
      </c>
      <c r="R1577" s="239" t="s">
        <v>2843</v>
      </c>
      <c r="S1577" s="238" t="s">
        <v>2556</v>
      </c>
      <c r="T1577" s="238" t="s">
        <v>2557</v>
      </c>
      <c r="V1577" s="238" t="s">
        <v>2286</v>
      </c>
      <c r="AB1577" s="1" t="s">
        <v>1570</v>
      </c>
    </row>
    <row r="1578" spans="1:28">
      <c r="A1578" s="233">
        <v>41355</v>
      </c>
      <c r="B1578" s="1" t="s">
        <v>4678</v>
      </c>
      <c r="C1578" s="1" t="s">
        <v>163</v>
      </c>
      <c r="D1578" s="1" t="s">
        <v>1216</v>
      </c>
      <c r="E1578" s="1">
        <v>3200</v>
      </c>
      <c r="F1578" s="1">
        <v>20</v>
      </c>
      <c r="G1578" s="1" t="s">
        <v>171</v>
      </c>
      <c r="H1578" s="234">
        <v>29.51</v>
      </c>
      <c r="I1578" s="235">
        <f>F1578*H1578</f>
        <v>590.20000000000005</v>
      </c>
      <c r="K1578" s="250">
        <f>23.94*20</f>
        <v>478.8</v>
      </c>
      <c r="L1578" s="237">
        <v>41362</v>
      </c>
      <c r="M1578" s="1" t="s">
        <v>166</v>
      </c>
      <c r="N1578" s="235">
        <f t="shared" si="149"/>
        <v>590.20000000000005</v>
      </c>
      <c r="O1578" s="235">
        <f t="shared" si="165"/>
        <v>0</v>
      </c>
      <c r="P1578" s="238" t="s">
        <v>5778</v>
      </c>
      <c r="Q1578" s="1" t="s">
        <v>3629</v>
      </c>
      <c r="R1578" s="239" t="s">
        <v>4681</v>
      </c>
      <c r="S1578" s="238" t="s">
        <v>4682</v>
      </c>
      <c r="T1578" s="238" t="s">
        <v>5791</v>
      </c>
      <c r="U1578" s="238" t="s">
        <v>5792</v>
      </c>
      <c r="V1578" s="238" t="s">
        <v>5779</v>
      </c>
      <c r="W1578" s="236">
        <v>3400</v>
      </c>
      <c r="X1578" s="233">
        <v>41355</v>
      </c>
      <c r="Y1578" s="238" t="s">
        <v>6116</v>
      </c>
      <c r="AA1578" s="282" t="s">
        <v>2158</v>
      </c>
      <c r="AB1578" s="1" t="s">
        <v>1570</v>
      </c>
    </row>
    <row r="1579" spans="1:28">
      <c r="A1579" s="233">
        <v>41355</v>
      </c>
      <c r="B1579" s="1" t="s">
        <v>4678</v>
      </c>
      <c r="C1579" s="1" t="s">
        <v>163</v>
      </c>
      <c r="D1579" s="5" t="s">
        <v>348</v>
      </c>
      <c r="E1579" s="1">
        <v>3700</v>
      </c>
      <c r="F1579" s="1">
        <v>20</v>
      </c>
      <c r="G1579" s="1" t="s">
        <v>171</v>
      </c>
      <c r="H1579" s="234">
        <v>3.66</v>
      </c>
      <c r="I1579" s="235">
        <f>F1579*H1579</f>
        <v>73.2</v>
      </c>
      <c r="K1579" s="250">
        <f>3.09*20</f>
        <v>61.8</v>
      </c>
      <c r="L1579" s="237">
        <v>41362</v>
      </c>
      <c r="M1579" s="1" t="s">
        <v>166</v>
      </c>
      <c r="N1579" s="235">
        <f t="shared" si="149"/>
        <v>73.2</v>
      </c>
      <c r="O1579" s="235">
        <f t="shared" si="165"/>
        <v>0</v>
      </c>
      <c r="P1579" s="238" t="s">
        <v>5778</v>
      </c>
      <c r="Q1579" s="1" t="s">
        <v>3629</v>
      </c>
      <c r="R1579" s="239" t="s">
        <v>4681</v>
      </c>
      <c r="S1579" s="238" t="s">
        <v>4682</v>
      </c>
      <c r="T1579" s="238" t="s">
        <v>5791</v>
      </c>
      <c r="U1579" s="238" t="s">
        <v>5792</v>
      </c>
      <c r="V1579" s="238" t="s">
        <v>5779</v>
      </c>
      <c r="W1579" s="236">
        <v>3400</v>
      </c>
      <c r="X1579" s="233">
        <v>41355</v>
      </c>
      <c r="Y1579" s="238" t="s">
        <v>6116</v>
      </c>
      <c r="AA1579" s="282" t="s">
        <v>2158</v>
      </c>
      <c r="AB1579" s="1" t="s">
        <v>1570</v>
      </c>
    </row>
    <row r="1580" spans="1:28">
      <c r="A1580" s="233">
        <v>41355</v>
      </c>
      <c r="B1580" s="1" t="s">
        <v>4678</v>
      </c>
      <c r="C1580" s="1" t="s">
        <v>163</v>
      </c>
      <c r="D1580" s="1" t="s">
        <v>233</v>
      </c>
      <c r="E1580" s="1" t="s">
        <v>187</v>
      </c>
      <c r="F1580" s="1">
        <v>1020</v>
      </c>
      <c r="G1580" s="1" t="s">
        <v>172</v>
      </c>
      <c r="H1580" s="234">
        <v>1.83</v>
      </c>
      <c r="I1580" s="235">
        <f>F1580*H1580</f>
        <v>1866.6000000000001</v>
      </c>
      <c r="K1580" s="250">
        <f>1.54*1020</f>
        <v>1570.8</v>
      </c>
      <c r="L1580" s="237">
        <v>41362</v>
      </c>
      <c r="M1580" s="1" t="s">
        <v>166</v>
      </c>
      <c r="N1580" s="235">
        <f t="shared" si="149"/>
        <v>1866.6000000000001</v>
      </c>
      <c r="O1580" s="235">
        <f t="shared" si="165"/>
        <v>0</v>
      </c>
      <c r="P1580" s="238" t="s">
        <v>5778</v>
      </c>
      <c r="Q1580" s="1" t="s">
        <v>3629</v>
      </c>
      <c r="R1580" s="239" t="s">
        <v>4681</v>
      </c>
      <c r="S1580" s="238" t="s">
        <v>4682</v>
      </c>
      <c r="T1580" s="238" t="s">
        <v>5791</v>
      </c>
      <c r="U1580" s="238" t="s">
        <v>5792</v>
      </c>
      <c r="V1580" s="238" t="s">
        <v>5779</v>
      </c>
      <c r="W1580" s="236">
        <v>3400</v>
      </c>
      <c r="X1580" s="233">
        <v>41355</v>
      </c>
      <c r="Y1580" s="238" t="s">
        <v>6116</v>
      </c>
      <c r="AA1580" s="282" t="s">
        <v>2158</v>
      </c>
      <c r="AB1580" s="1" t="s">
        <v>1570</v>
      </c>
    </row>
    <row r="1581" spans="1:28">
      <c r="A1581" s="233">
        <v>41358</v>
      </c>
      <c r="B1581" s="1" t="s">
        <v>4140</v>
      </c>
      <c r="C1581" s="1" t="s">
        <v>163</v>
      </c>
      <c r="D1581" s="1" t="s">
        <v>5803</v>
      </c>
      <c r="E1581" s="1" t="s">
        <v>5802</v>
      </c>
      <c r="F1581" s="1">
        <v>1</v>
      </c>
      <c r="G1581" s="1" t="s">
        <v>5804</v>
      </c>
      <c r="H1581" s="234">
        <v>33.6</v>
      </c>
      <c r="I1581" s="235">
        <f t="shared" ref="I1581" si="166">F1581*H1581</f>
        <v>33.6</v>
      </c>
      <c r="K1581" s="250">
        <f>27.144*1</f>
        <v>27.143999999999998</v>
      </c>
      <c r="L1581" s="237">
        <v>41358</v>
      </c>
      <c r="M1581" s="1" t="s">
        <v>700</v>
      </c>
      <c r="N1581" s="235">
        <f t="shared" si="149"/>
        <v>33.6</v>
      </c>
      <c r="O1581" s="235">
        <f t="shared" ref="O1581:O1593" si="167">I1581-N1581</f>
        <v>0</v>
      </c>
      <c r="P1581" s="238" t="s">
        <v>5805</v>
      </c>
      <c r="Q1581" s="1" t="s">
        <v>2529</v>
      </c>
      <c r="R1581" s="239" t="s">
        <v>4142</v>
      </c>
      <c r="S1581" s="238" t="s">
        <v>4143</v>
      </c>
      <c r="T1581" s="238" t="s">
        <v>4144</v>
      </c>
      <c r="V1581" s="238" t="s">
        <v>176</v>
      </c>
      <c r="AB1581" s="1" t="s">
        <v>1570</v>
      </c>
    </row>
    <row r="1582" spans="1:28">
      <c r="A1582" s="233">
        <v>41358</v>
      </c>
      <c r="B1582" s="1" t="s">
        <v>2552</v>
      </c>
      <c r="C1582" s="1" t="s">
        <v>163</v>
      </c>
      <c r="D1582" s="1" t="s">
        <v>355</v>
      </c>
      <c r="E1582" s="1" t="s">
        <v>5818</v>
      </c>
      <c r="F1582" s="1">
        <v>60</v>
      </c>
      <c r="G1582" s="1" t="s">
        <v>5774</v>
      </c>
      <c r="H1582" s="234">
        <v>12.93</v>
      </c>
      <c r="I1582" s="235">
        <f>F1582*H1582</f>
        <v>775.8</v>
      </c>
      <c r="K1582" s="250">
        <f>10.94*60</f>
        <v>656.4</v>
      </c>
      <c r="L1582" s="237">
        <v>41358</v>
      </c>
      <c r="M1582" s="1" t="s">
        <v>5821</v>
      </c>
      <c r="N1582" s="235">
        <f t="shared" si="149"/>
        <v>775.8</v>
      </c>
      <c r="O1582" s="235">
        <f t="shared" si="167"/>
        <v>0</v>
      </c>
      <c r="P1582" s="238" t="s">
        <v>5819</v>
      </c>
      <c r="Q1582" s="1" t="s">
        <v>1571</v>
      </c>
      <c r="R1582" s="239" t="s">
        <v>2843</v>
      </c>
      <c r="S1582" s="238" t="s">
        <v>2556</v>
      </c>
      <c r="T1582" s="238" t="s">
        <v>2557</v>
      </c>
      <c r="V1582" s="238" t="s">
        <v>2286</v>
      </c>
      <c r="AB1582" s="1" t="s">
        <v>1570</v>
      </c>
    </row>
    <row r="1583" spans="1:28">
      <c r="A1583" s="233">
        <v>41358</v>
      </c>
      <c r="B1583" s="1" t="s">
        <v>2331</v>
      </c>
      <c r="C1583" s="1" t="s">
        <v>163</v>
      </c>
      <c r="D1583" s="1" t="s">
        <v>1216</v>
      </c>
      <c r="E1583" s="1">
        <v>3200</v>
      </c>
      <c r="F1583" s="1">
        <v>5</v>
      </c>
      <c r="G1583" s="1" t="s">
        <v>171</v>
      </c>
      <c r="H1583" s="234">
        <v>26.5</v>
      </c>
      <c r="I1583" s="235">
        <f>H1583*F1583</f>
        <v>132.5</v>
      </c>
      <c r="K1583" s="250">
        <f>23.94*5</f>
        <v>119.7</v>
      </c>
      <c r="L1583" s="237">
        <v>41358</v>
      </c>
      <c r="M1583" s="1" t="s">
        <v>167</v>
      </c>
      <c r="N1583" s="235">
        <f t="shared" si="149"/>
        <v>132.5</v>
      </c>
      <c r="O1583" s="235">
        <f t="shared" si="167"/>
        <v>0</v>
      </c>
      <c r="P1583" s="238" t="s">
        <v>5823</v>
      </c>
      <c r="Q1583" s="1" t="s">
        <v>1571</v>
      </c>
      <c r="R1583" s="239" t="s">
        <v>3174</v>
      </c>
      <c r="S1583" s="238" t="s">
        <v>3175</v>
      </c>
      <c r="T1583" s="239" t="s">
        <v>168</v>
      </c>
      <c r="U1583" s="239" t="s">
        <v>168</v>
      </c>
      <c r="AB1583" s="1" t="s">
        <v>1570</v>
      </c>
    </row>
    <row r="1584" spans="1:28">
      <c r="A1584" s="233">
        <v>41358</v>
      </c>
      <c r="B1584" s="1" t="s">
        <v>2331</v>
      </c>
      <c r="C1584" s="1" t="s">
        <v>163</v>
      </c>
      <c r="D1584" s="338" t="s">
        <v>355</v>
      </c>
      <c r="E1584" s="1" t="s">
        <v>5818</v>
      </c>
      <c r="F1584" s="1">
        <v>5</v>
      </c>
      <c r="G1584" s="1" t="s">
        <v>171</v>
      </c>
      <c r="H1584" s="234">
        <v>13</v>
      </c>
      <c r="I1584" s="235">
        <f>H1584*F1584</f>
        <v>65</v>
      </c>
      <c r="K1584" s="250">
        <f>10.94*5</f>
        <v>54.699999999999996</v>
      </c>
      <c r="L1584" s="237">
        <v>41358</v>
      </c>
      <c r="M1584" s="1" t="s">
        <v>167</v>
      </c>
      <c r="N1584" s="235">
        <f t="shared" si="149"/>
        <v>65</v>
      </c>
      <c r="O1584" s="235">
        <f t="shared" si="167"/>
        <v>0</v>
      </c>
      <c r="P1584" s="238" t="s">
        <v>5823</v>
      </c>
      <c r="Q1584" s="1" t="s">
        <v>1571</v>
      </c>
      <c r="R1584" s="239" t="s">
        <v>3174</v>
      </c>
      <c r="S1584" s="238" t="s">
        <v>3175</v>
      </c>
      <c r="T1584" s="239" t="s">
        <v>168</v>
      </c>
      <c r="U1584" s="239" t="s">
        <v>168</v>
      </c>
      <c r="AB1584" s="1" t="s">
        <v>1570</v>
      </c>
    </row>
    <row r="1585" spans="1:28">
      <c r="A1585" s="233">
        <v>41358</v>
      </c>
      <c r="B1585" s="1" t="s">
        <v>2331</v>
      </c>
      <c r="C1585" s="1" t="s">
        <v>163</v>
      </c>
      <c r="D1585" s="1" t="s">
        <v>269</v>
      </c>
      <c r="E1585" s="1" t="s">
        <v>178</v>
      </c>
      <c r="F1585" s="1">
        <v>800</v>
      </c>
      <c r="G1585" s="1" t="s">
        <v>5822</v>
      </c>
      <c r="H1585" s="234">
        <v>1.32</v>
      </c>
      <c r="I1585" s="235">
        <f>H1585*F1585</f>
        <v>1056</v>
      </c>
      <c r="K1585" s="250">
        <f>1.17*800</f>
        <v>936</v>
      </c>
      <c r="L1585" s="237">
        <v>41358</v>
      </c>
      <c r="M1585" s="1" t="s">
        <v>167</v>
      </c>
      <c r="N1585" s="235">
        <f t="shared" si="149"/>
        <v>1056</v>
      </c>
      <c r="O1585" s="235">
        <f t="shared" si="167"/>
        <v>0</v>
      </c>
      <c r="P1585" s="238" t="s">
        <v>5823</v>
      </c>
      <c r="Q1585" s="1" t="s">
        <v>1571</v>
      </c>
      <c r="R1585" s="239" t="s">
        <v>3174</v>
      </c>
      <c r="S1585" s="238" t="s">
        <v>3175</v>
      </c>
      <c r="T1585" s="239" t="s">
        <v>168</v>
      </c>
      <c r="U1585" s="239" t="s">
        <v>168</v>
      </c>
      <c r="AB1585" s="1" t="s">
        <v>1570</v>
      </c>
    </row>
    <row r="1586" spans="1:28">
      <c r="A1586" s="233">
        <v>41358</v>
      </c>
      <c r="B1586" s="1" t="s">
        <v>5834</v>
      </c>
      <c r="C1586" s="1" t="s">
        <v>163</v>
      </c>
      <c r="D1586" s="1" t="s">
        <v>1216</v>
      </c>
      <c r="E1586" s="1">
        <v>3200</v>
      </c>
      <c r="F1586" s="1">
        <v>1</v>
      </c>
      <c r="G1586" s="1" t="s">
        <v>5835</v>
      </c>
      <c r="H1586" s="234">
        <v>28.5</v>
      </c>
      <c r="I1586" s="235">
        <f>H1586*F1586</f>
        <v>28.5</v>
      </c>
      <c r="K1586" s="250">
        <f>23.94*1</f>
        <v>23.94</v>
      </c>
      <c r="L1586" s="237">
        <v>41358</v>
      </c>
      <c r="M1586" s="1" t="s">
        <v>5836</v>
      </c>
      <c r="N1586" s="235">
        <f t="shared" si="149"/>
        <v>28.5</v>
      </c>
      <c r="O1586" s="235">
        <f t="shared" si="167"/>
        <v>0</v>
      </c>
      <c r="P1586" s="238" t="s">
        <v>5831</v>
      </c>
      <c r="Q1586" s="1" t="s">
        <v>1571</v>
      </c>
      <c r="R1586" s="239" t="s">
        <v>5831</v>
      </c>
      <c r="S1586" s="238" t="s">
        <v>5831</v>
      </c>
      <c r="T1586" s="239" t="s">
        <v>5831</v>
      </c>
      <c r="U1586" s="239" t="s">
        <v>5831</v>
      </c>
      <c r="V1586" s="238" t="s">
        <v>176</v>
      </c>
      <c r="W1586" s="236" t="s">
        <v>5831</v>
      </c>
      <c r="X1586" s="233" t="s">
        <v>5831</v>
      </c>
      <c r="Y1586" s="238" t="s">
        <v>5837</v>
      </c>
      <c r="AB1586" s="1" t="s">
        <v>1570</v>
      </c>
    </row>
    <row r="1587" spans="1:28">
      <c r="A1587" s="233">
        <v>41358</v>
      </c>
      <c r="B1587" s="136" t="s">
        <v>6018</v>
      </c>
      <c r="C1587" s="1" t="s">
        <v>5716</v>
      </c>
      <c r="D1587" s="1" t="s">
        <v>5717</v>
      </c>
      <c r="E1587" s="1" t="s">
        <v>5716</v>
      </c>
      <c r="F1587" s="1">
        <v>45</v>
      </c>
      <c r="G1587" s="1" t="s">
        <v>5723</v>
      </c>
      <c r="H1587" s="234">
        <v>2</v>
      </c>
      <c r="I1587" s="235">
        <f t="shared" ref="I1587:I1598" si="168">F1587*H1587</f>
        <v>90</v>
      </c>
      <c r="K1587" s="250">
        <f>1.68*F1587</f>
        <v>75.599999999999994</v>
      </c>
      <c r="N1587" s="235">
        <v>0</v>
      </c>
      <c r="O1587" s="235">
        <f t="shared" si="167"/>
        <v>90</v>
      </c>
      <c r="P1587" s="238" t="s">
        <v>5806</v>
      </c>
      <c r="Q1587" s="1" t="s">
        <v>5807</v>
      </c>
      <c r="R1587" s="239" t="s">
        <v>5352</v>
      </c>
      <c r="S1587" s="238" t="s">
        <v>5353</v>
      </c>
      <c r="T1587" s="238" t="s">
        <v>5351</v>
      </c>
      <c r="U1587" s="238" t="s">
        <v>6253</v>
      </c>
      <c r="V1587" s="238" t="s">
        <v>6019</v>
      </c>
      <c r="W1587" s="236">
        <v>3653</v>
      </c>
      <c r="X1587" s="233">
        <v>41366</v>
      </c>
      <c r="Y1587" s="238" t="s">
        <v>6020</v>
      </c>
      <c r="AB1587" s="1" t="s">
        <v>2079</v>
      </c>
    </row>
    <row r="1588" spans="1:28">
      <c r="A1588" s="233">
        <v>41358</v>
      </c>
      <c r="B1588" s="136" t="s">
        <v>6018</v>
      </c>
      <c r="C1588" s="1" t="s">
        <v>168</v>
      </c>
      <c r="D1588" s="1" t="s">
        <v>5718</v>
      </c>
      <c r="E1588" s="1" t="s">
        <v>5716</v>
      </c>
      <c r="F1588" s="1">
        <v>15</v>
      </c>
      <c r="G1588" s="1" t="s">
        <v>5724</v>
      </c>
      <c r="H1588" s="234">
        <v>38</v>
      </c>
      <c r="I1588" s="235">
        <f t="shared" si="168"/>
        <v>570</v>
      </c>
      <c r="K1588" s="250">
        <f>15*30</f>
        <v>450</v>
      </c>
      <c r="N1588" s="235">
        <v>0</v>
      </c>
      <c r="O1588" s="235">
        <f t="shared" si="167"/>
        <v>570</v>
      </c>
      <c r="P1588" s="238" t="s">
        <v>5806</v>
      </c>
      <c r="Q1588" s="1" t="s">
        <v>5807</v>
      </c>
      <c r="R1588" s="239" t="s">
        <v>5352</v>
      </c>
      <c r="S1588" s="238" t="s">
        <v>5353</v>
      </c>
      <c r="T1588" s="238" t="s">
        <v>5351</v>
      </c>
      <c r="U1588" s="238" t="s">
        <v>6253</v>
      </c>
      <c r="V1588" s="238" t="s">
        <v>6019</v>
      </c>
      <c r="W1588" s="236">
        <v>3653</v>
      </c>
      <c r="X1588" s="233">
        <v>41366</v>
      </c>
      <c r="Y1588" s="238" t="s">
        <v>6020</v>
      </c>
      <c r="AB1588" s="1" t="s">
        <v>2079</v>
      </c>
    </row>
    <row r="1589" spans="1:28">
      <c r="A1589" s="233">
        <v>41358</v>
      </c>
      <c r="B1589" s="136" t="s">
        <v>6018</v>
      </c>
      <c r="C1589" s="1" t="s">
        <v>168</v>
      </c>
      <c r="D1589" s="1" t="s">
        <v>5719</v>
      </c>
      <c r="E1589" s="1" t="s">
        <v>5716</v>
      </c>
      <c r="F1589" s="1">
        <v>400</v>
      </c>
      <c r="G1589" s="1" t="s">
        <v>5723</v>
      </c>
      <c r="H1589" s="234">
        <v>1.3</v>
      </c>
      <c r="I1589" s="235">
        <f t="shared" si="168"/>
        <v>520</v>
      </c>
      <c r="K1589" s="250">
        <f>0.7*400</f>
        <v>280</v>
      </c>
      <c r="N1589" s="235">
        <v>0</v>
      </c>
      <c r="O1589" s="235">
        <f t="shared" si="167"/>
        <v>520</v>
      </c>
      <c r="P1589" s="238" t="s">
        <v>5806</v>
      </c>
      <c r="Q1589" s="1" t="s">
        <v>5807</v>
      </c>
      <c r="R1589" s="239" t="s">
        <v>5352</v>
      </c>
      <c r="S1589" s="238" t="s">
        <v>5353</v>
      </c>
      <c r="T1589" s="238" t="s">
        <v>5351</v>
      </c>
      <c r="U1589" s="238" t="s">
        <v>6253</v>
      </c>
      <c r="V1589" s="238" t="s">
        <v>6019</v>
      </c>
      <c r="W1589" s="236">
        <v>3653</v>
      </c>
      <c r="X1589" s="233">
        <v>41366</v>
      </c>
      <c r="Y1589" s="238" t="s">
        <v>6020</v>
      </c>
      <c r="AB1589" s="1" t="s">
        <v>2079</v>
      </c>
    </row>
    <row r="1590" spans="1:28">
      <c r="A1590" s="233">
        <v>41358</v>
      </c>
      <c r="B1590" s="136" t="s">
        <v>6018</v>
      </c>
      <c r="C1590" s="1" t="s">
        <v>7</v>
      </c>
      <c r="D1590" s="1" t="s">
        <v>5808</v>
      </c>
      <c r="E1590" s="1" t="s">
        <v>5392</v>
      </c>
      <c r="F1590" s="1">
        <v>50</v>
      </c>
      <c r="G1590" s="1" t="s">
        <v>5723</v>
      </c>
      <c r="H1590" s="234">
        <v>9</v>
      </c>
      <c r="I1590" s="235">
        <f t="shared" si="168"/>
        <v>450</v>
      </c>
      <c r="K1590" s="282">
        <v>0</v>
      </c>
      <c r="N1590" s="235">
        <v>0</v>
      </c>
      <c r="O1590" s="235">
        <f t="shared" si="167"/>
        <v>450</v>
      </c>
      <c r="P1590" s="238" t="s">
        <v>5806</v>
      </c>
      <c r="Q1590" s="1" t="s">
        <v>5807</v>
      </c>
      <c r="R1590" s="239" t="s">
        <v>5352</v>
      </c>
      <c r="S1590" s="238" t="s">
        <v>5353</v>
      </c>
      <c r="T1590" s="238" t="s">
        <v>5351</v>
      </c>
      <c r="U1590" s="238" t="s">
        <v>6253</v>
      </c>
      <c r="V1590" s="238" t="s">
        <v>6019</v>
      </c>
      <c r="W1590" s="236">
        <v>3653</v>
      </c>
      <c r="X1590" s="233">
        <v>41366</v>
      </c>
      <c r="Y1590" s="238" t="s">
        <v>6020</v>
      </c>
      <c r="Z1590" s="255" t="s">
        <v>6079</v>
      </c>
      <c r="AB1590" s="1" t="s">
        <v>2079</v>
      </c>
    </row>
    <row r="1591" spans="1:28">
      <c r="A1591" s="233">
        <v>41358</v>
      </c>
      <c r="B1591" s="136" t="s">
        <v>6018</v>
      </c>
      <c r="C1591" s="1" t="s">
        <v>7</v>
      </c>
      <c r="D1591" s="1" t="s">
        <v>5720</v>
      </c>
      <c r="E1591" s="1">
        <v>3895</v>
      </c>
      <c r="F1591" s="1">
        <v>150</v>
      </c>
      <c r="G1591" s="1" t="s">
        <v>5723</v>
      </c>
      <c r="H1591" s="234">
        <v>8</v>
      </c>
      <c r="I1591" s="235">
        <f t="shared" si="168"/>
        <v>1200</v>
      </c>
      <c r="K1591" s="282">
        <v>0</v>
      </c>
      <c r="N1591" s="235">
        <v>0</v>
      </c>
      <c r="O1591" s="235">
        <f t="shared" si="167"/>
        <v>1200</v>
      </c>
      <c r="P1591" s="238" t="s">
        <v>5806</v>
      </c>
      <c r="Q1591" s="1" t="s">
        <v>5807</v>
      </c>
      <c r="R1591" s="239" t="s">
        <v>5352</v>
      </c>
      <c r="S1591" s="238" t="s">
        <v>5353</v>
      </c>
      <c r="T1591" s="238" t="s">
        <v>5351</v>
      </c>
      <c r="U1591" s="238" t="s">
        <v>6253</v>
      </c>
      <c r="V1591" s="238" t="s">
        <v>6019</v>
      </c>
      <c r="W1591" s="236">
        <v>3653</v>
      </c>
      <c r="X1591" s="233">
        <v>41366</v>
      </c>
      <c r="Y1591" s="238" t="s">
        <v>6020</v>
      </c>
      <c r="Z1591" s="255" t="s">
        <v>6079</v>
      </c>
      <c r="AB1591" s="1" t="s">
        <v>2079</v>
      </c>
    </row>
    <row r="1592" spans="1:28">
      <c r="A1592" s="233">
        <v>41358</v>
      </c>
      <c r="B1592" s="136" t="s">
        <v>6018</v>
      </c>
      <c r="C1592" s="1" t="s">
        <v>168</v>
      </c>
      <c r="D1592" s="1" t="s">
        <v>5721</v>
      </c>
      <c r="E1592" s="1" t="s">
        <v>5716</v>
      </c>
      <c r="F1592" s="1">
        <v>40</v>
      </c>
      <c r="G1592" s="1" t="s">
        <v>5724</v>
      </c>
      <c r="H1592" s="234">
        <v>5</v>
      </c>
      <c r="I1592" s="235">
        <f t="shared" si="168"/>
        <v>200</v>
      </c>
      <c r="K1592" s="250">
        <f>3.8*40</f>
        <v>152</v>
      </c>
      <c r="N1592" s="235">
        <v>0</v>
      </c>
      <c r="O1592" s="235">
        <f t="shared" si="167"/>
        <v>200</v>
      </c>
      <c r="P1592" s="238" t="s">
        <v>5806</v>
      </c>
      <c r="Q1592" s="1" t="s">
        <v>5807</v>
      </c>
      <c r="R1592" s="239" t="s">
        <v>5352</v>
      </c>
      <c r="S1592" s="238" t="s">
        <v>5353</v>
      </c>
      <c r="T1592" s="238" t="s">
        <v>5351</v>
      </c>
      <c r="U1592" s="238" t="s">
        <v>6253</v>
      </c>
      <c r="V1592" s="238" t="s">
        <v>6019</v>
      </c>
      <c r="W1592" s="236">
        <v>3653</v>
      </c>
      <c r="X1592" s="233">
        <v>41366</v>
      </c>
      <c r="Y1592" s="238" t="s">
        <v>6020</v>
      </c>
      <c r="AB1592" s="1" t="s">
        <v>2079</v>
      </c>
    </row>
    <row r="1593" spans="1:28">
      <c r="A1593" s="233">
        <v>41358</v>
      </c>
      <c r="B1593" s="136" t="s">
        <v>6018</v>
      </c>
      <c r="C1593" s="1" t="s">
        <v>163</v>
      </c>
      <c r="D1593" s="1" t="s">
        <v>355</v>
      </c>
      <c r="E1593" s="1" t="s">
        <v>5722</v>
      </c>
      <c r="F1593" s="1">
        <v>10</v>
      </c>
      <c r="G1593" s="1" t="s">
        <v>5711</v>
      </c>
      <c r="H1593" s="234">
        <v>24.5</v>
      </c>
      <c r="I1593" s="235">
        <f t="shared" si="168"/>
        <v>245</v>
      </c>
      <c r="K1593" s="250">
        <f>17.25*10</f>
        <v>172.5</v>
      </c>
      <c r="N1593" s="235">
        <v>0</v>
      </c>
      <c r="O1593" s="235">
        <f t="shared" si="167"/>
        <v>245</v>
      </c>
      <c r="P1593" s="238" t="s">
        <v>5806</v>
      </c>
      <c r="Q1593" s="1" t="s">
        <v>5807</v>
      </c>
      <c r="R1593" s="239" t="s">
        <v>5352</v>
      </c>
      <c r="S1593" s="238" t="s">
        <v>5353</v>
      </c>
      <c r="T1593" s="238" t="s">
        <v>5351</v>
      </c>
      <c r="U1593" s="238" t="s">
        <v>6253</v>
      </c>
      <c r="V1593" s="238" t="s">
        <v>6019</v>
      </c>
      <c r="W1593" s="236">
        <v>3653</v>
      </c>
      <c r="X1593" s="233">
        <v>41366</v>
      </c>
      <c r="Y1593" s="238" t="s">
        <v>6020</v>
      </c>
      <c r="AB1593" s="1" t="s">
        <v>2079</v>
      </c>
    </row>
    <row r="1594" spans="1:28">
      <c r="A1594" s="233">
        <v>41358</v>
      </c>
      <c r="B1594" s="1" t="s">
        <v>4583</v>
      </c>
      <c r="C1594" s="1" t="s">
        <v>163</v>
      </c>
      <c r="D1594" s="5" t="s">
        <v>1726</v>
      </c>
      <c r="E1594" s="1">
        <v>10435</v>
      </c>
      <c r="F1594" s="1">
        <v>150</v>
      </c>
      <c r="G1594" s="1" t="s">
        <v>5650</v>
      </c>
      <c r="H1594" s="234">
        <v>15.8</v>
      </c>
      <c r="I1594" s="235">
        <f t="shared" si="168"/>
        <v>2370</v>
      </c>
      <c r="K1594" s="250">
        <f>14.2*150</f>
        <v>2130</v>
      </c>
      <c r="L1594" s="237">
        <v>41352</v>
      </c>
      <c r="M1594" s="1" t="s">
        <v>5652</v>
      </c>
      <c r="N1594" s="235">
        <f t="shared" si="149"/>
        <v>2370</v>
      </c>
      <c r="O1594" s="235">
        <f t="shared" ref="O1594:O1597" si="169">I1594-N1594</f>
        <v>0</v>
      </c>
      <c r="P1594" s="238" t="s">
        <v>5784</v>
      </c>
      <c r="Q1594" s="1" t="s">
        <v>5825</v>
      </c>
      <c r="R1594" s="239" t="s">
        <v>6345</v>
      </c>
      <c r="S1594" s="238" t="s">
        <v>6346</v>
      </c>
      <c r="T1594" s="238" t="s">
        <v>3200</v>
      </c>
      <c r="U1594" s="238" t="s">
        <v>5826</v>
      </c>
      <c r="V1594" s="238" t="s">
        <v>6211</v>
      </c>
      <c r="W1594" s="236">
        <v>5881</v>
      </c>
      <c r="X1594" s="233">
        <v>41376</v>
      </c>
      <c r="Y1594" s="238" t="s">
        <v>6212</v>
      </c>
      <c r="AB1594" s="1" t="s">
        <v>1570</v>
      </c>
    </row>
    <row r="1595" spans="1:28">
      <c r="A1595" s="233">
        <v>41358</v>
      </c>
      <c r="B1595" s="1" t="s">
        <v>4583</v>
      </c>
      <c r="C1595" s="1" t="s">
        <v>163</v>
      </c>
      <c r="D1595" s="5" t="s">
        <v>183</v>
      </c>
      <c r="E1595" s="1" t="s">
        <v>195</v>
      </c>
      <c r="F1595" s="1">
        <v>600</v>
      </c>
      <c r="G1595" s="1" t="s">
        <v>5651</v>
      </c>
      <c r="H1595" s="234">
        <v>5.0599999999999996</v>
      </c>
      <c r="I1595" s="235">
        <f t="shared" si="168"/>
        <v>3035.9999999999995</v>
      </c>
      <c r="K1595" s="250">
        <f>4.75*600</f>
        <v>2850</v>
      </c>
      <c r="L1595" s="237">
        <v>41352</v>
      </c>
      <c r="M1595" s="1" t="s">
        <v>5652</v>
      </c>
      <c r="N1595" s="235">
        <f t="shared" si="149"/>
        <v>3035.9999999999995</v>
      </c>
      <c r="O1595" s="235">
        <f t="shared" si="169"/>
        <v>0</v>
      </c>
      <c r="P1595" s="238" t="s">
        <v>5784</v>
      </c>
      <c r="Q1595" s="1" t="s">
        <v>5825</v>
      </c>
      <c r="R1595" s="239" t="s">
        <v>6345</v>
      </c>
      <c r="S1595" s="238" t="s">
        <v>6346</v>
      </c>
      <c r="T1595" s="238" t="s">
        <v>3200</v>
      </c>
      <c r="U1595" s="238" t="s">
        <v>5826</v>
      </c>
      <c r="V1595" s="238" t="s">
        <v>6211</v>
      </c>
      <c r="W1595" s="236">
        <v>5881</v>
      </c>
      <c r="X1595" s="233">
        <v>41376</v>
      </c>
      <c r="Y1595" s="238" t="s">
        <v>6212</v>
      </c>
      <c r="AB1595" s="1" t="s">
        <v>1570</v>
      </c>
    </row>
    <row r="1596" spans="1:28">
      <c r="A1596" s="233">
        <v>41358</v>
      </c>
      <c r="B1596" s="1" t="s">
        <v>4583</v>
      </c>
      <c r="C1596" s="1" t="s">
        <v>163</v>
      </c>
      <c r="D1596" s="1" t="s">
        <v>241</v>
      </c>
      <c r="E1596" s="1">
        <v>6200</v>
      </c>
      <c r="F1596" s="1">
        <v>10</v>
      </c>
      <c r="G1596" s="1" t="s">
        <v>5774</v>
      </c>
      <c r="H1596" s="234">
        <v>47.5</v>
      </c>
      <c r="I1596" s="235">
        <f t="shared" si="168"/>
        <v>475</v>
      </c>
      <c r="K1596" s="250">
        <f>44.5*10</f>
        <v>445</v>
      </c>
      <c r="L1596" s="237">
        <v>41355</v>
      </c>
      <c r="M1596" s="1" t="s">
        <v>167</v>
      </c>
      <c r="N1596" s="235">
        <f t="shared" si="149"/>
        <v>475</v>
      </c>
      <c r="O1596" s="235">
        <f t="shared" si="169"/>
        <v>0</v>
      </c>
      <c r="P1596" s="238" t="s">
        <v>5784</v>
      </c>
      <c r="Q1596" s="1" t="s">
        <v>5825</v>
      </c>
      <c r="R1596" s="239" t="s">
        <v>6345</v>
      </c>
      <c r="S1596" s="238" t="s">
        <v>6346</v>
      </c>
      <c r="T1596" s="238" t="s">
        <v>3200</v>
      </c>
      <c r="U1596" s="238" t="s">
        <v>5826</v>
      </c>
      <c r="V1596" s="238" t="s">
        <v>6211</v>
      </c>
      <c r="W1596" s="236">
        <v>5881</v>
      </c>
      <c r="X1596" s="233">
        <v>41376</v>
      </c>
      <c r="Y1596" s="238" t="s">
        <v>6212</v>
      </c>
      <c r="AB1596" s="1" t="s">
        <v>1570</v>
      </c>
    </row>
    <row r="1597" spans="1:28">
      <c r="A1597" s="233">
        <v>41358</v>
      </c>
      <c r="B1597" s="1" t="s">
        <v>2384</v>
      </c>
      <c r="C1597" s="5" t="s">
        <v>163</v>
      </c>
      <c r="D1597" s="1" t="s">
        <v>5102</v>
      </c>
      <c r="E1597" s="1" t="s">
        <v>5688</v>
      </c>
      <c r="F1597" s="1">
        <v>100</v>
      </c>
      <c r="G1597" s="1" t="s">
        <v>173</v>
      </c>
      <c r="H1597" s="234">
        <v>12.24</v>
      </c>
      <c r="I1597" s="235">
        <f t="shared" si="168"/>
        <v>1224</v>
      </c>
      <c r="K1597" s="250">
        <f>11.6*100</f>
        <v>1160</v>
      </c>
      <c r="L1597" s="237">
        <v>41353</v>
      </c>
      <c r="M1597" s="1" t="s">
        <v>5702</v>
      </c>
      <c r="N1597" s="235">
        <f t="shared" si="149"/>
        <v>1224</v>
      </c>
      <c r="O1597" s="235">
        <f t="shared" si="169"/>
        <v>0</v>
      </c>
      <c r="P1597" s="238" t="s">
        <v>5811</v>
      </c>
      <c r="Q1597" s="1" t="s">
        <v>5827</v>
      </c>
      <c r="R1597" s="239" t="s">
        <v>5700</v>
      </c>
      <c r="S1597" s="238" t="s">
        <v>5701</v>
      </c>
      <c r="T1597" s="238" t="s">
        <v>5699</v>
      </c>
      <c r="U1597" s="238" t="s">
        <v>5828</v>
      </c>
      <c r="AB1597" s="1" t="s">
        <v>1570</v>
      </c>
    </row>
    <row r="1598" spans="1:28">
      <c r="A1598" s="233">
        <v>41359</v>
      </c>
      <c r="B1598" s="1" t="s">
        <v>5795</v>
      </c>
      <c r="C1598" s="1" t="s">
        <v>163</v>
      </c>
      <c r="D1598" s="5" t="s">
        <v>51</v>
      </c>
      <c r="E1598" s="1">
        <v>9032</v>
      </c>
      <c r="F1598" s="1">
        <v>3000</v>
      </c>
      <c r="G1598" s="1" t="s">
        <v>5796</v>
      </c>
      <c r="H1598" s="234">
        <v>1.65</v>
      </c>
      <c r="I1598" s="235">
        <f t="shared" si="168"/>
        <v>4950</v>
      </c>
      <c r="K1598" s="250">
        <f>1.4929*3000</f>
        <v>4478.7</v>
      </c>
      <c r="N1598" s="235">
        <v>0</v>
      </c>
      <c r="O1598" s="235">
        <f>I1598-N1598</f>
        <v>4950</v>
      </c>
      <c r="P1598" s="238" t="s">
        <v>5797</v>
      </c>
      <c r="Q1598" s="1" t="s">
        <v>5830</v>
      </c>
      <c r="R1598" s="239" t="s">
        <v>5799</v>
      </c>
      <c r="S1598" s="238" t="s">
        <v>5798</v>
      </c>
      <c r="T1598" s="238" t="s">
        <v>6395</v>
      </c>
      <c r="U1598" s="238" t="s">
        <v>5831</v>
      </c>
      <c r="V1598" s="238" t="s">
        <v>6393</v>
      </c>
      <c r="W1598" s="236">
        <v>16160</v>
      </c>
      <c r="X1598" s="233">
        <v>41381</v>
      </c>
      <c r="Y1598" s="238" t="s">
        <v>6394</v>
      </c>
      <c r="AB1598" s="1" t="s">
        <v>5800</v>
      </c>
    </row>
    <row r="1599" spans="1:28">
      <c r="A1599" s="233">
        <v>41359</v>
      </c>
      <c r="B1599" s="1" t="s">
        <v>3751</v>
      </c>
      <c r="C1599" s="1" t="s">
        <v>163</v>
      </c>
      <c r="D1599" s="1" t="s">
        <v>5691</v>
      </c>
      <c r="E1599" s="1" t="s">
        <v>5689</v>
      </c>
      <c r="F1599" s="1">
        <v>5</v>
      </c>
      <c r="G1599" s="1" t="s">
        <v>5692</v>
      </c>
      <c r="H1599" s="234">
        <v>312</v>
      </c>
      <c r="I1599" s="235">
        <f t="shared" ref="I1599:I1615" si="170">F1599*H1599</f>
        <v>1560</v>
      </c>
      <c r="K1599" s="250">
        <f>275.4*5</f>
        <v>1377</v>
      </c>
      <c r="L1599" s="237">
        <v>41355</v>
      </c>
      <c r="M1599" s="1" t="s">
        <v>167</v>
      </c>
      <c r="N1599" s="235">
        <f t="shared" ref="N1599:N1662" si="171">I1599</f>
        <v>1560</v>
      </c>
      <c r="O1599" s="235">
        <f t="shared" ref="O1599:O1600" si="172">I1599-N1599</f>
        <v>0</v>
      </c>
      <c r="P1599" s="238" t="s">
        <v>5831</v>
      </c>
      <c r="Q1599" s="1" t="s">
        <v>1571</v>
      </c>
      <c r="R1599" s="239" t="s">
        <v>3753</v>
      </c>
      <c r="S1599" s="238" t="s">
        <v>3754</v>
      </c>
      <c r="T1599" s="238" t="s">
        <v>3755</v>
      </c>
      <c r="U1599" s="238" t="s">
        <v>5679</v>
      </c>
      <c r="V1599" s="238" t="s">
        <v>6215</v>
      </c>
      <c r="W1599" s="236">
        <v>3060</v>
      </c>
      <c r="X1599" s="233">
        <v>41376</v>
      </c>
      <c r="AB1599" s="1" t="s">
        <v>1570</v>
      </c>
    </row>
    <row r="1600" spans="1:28">
      <c r="A1600" s="233">
        <v>41359</v>
      </c>
      <c r="B1600" s="1" t="s">
        <v>3751</v>
      </c>
      <c r="C1600" s="1" t="s">
        <v>163</v>
      </c>
      <c r="D1600" s="5" t="s">
        <v>5694</v>
      </c>
      <c r="E1600" s="1" t="s">
        <v>5690</v>
      </c>
      <c r="F1600" s="1">
        <v>2500</v>
      </c>
      <c r="G1600" s="1" t="s">
        <v>5693</v>
      </c>
      <c r="H1600" s="234">
        <v>0.6</v>
      </c>
      <c r="I1600" s="235">
        <f t="shared" si="170"/>
        <v>1500</v>
      </c>
      <c r="K1600" s="250">
        <f>0.52*2500</f>
        <v>1300</v>
      </c>
      <c r="L1600" s="237">
        <v>41355</v>
      </c>
      <c r="M1600" s="1" t="s">
        <v>167</v>
      </c>
      <c r="N1600" s="235">
        <f t="shared" si="171"/>
        <v>1500</v>
      </c>
      <c r="O1600" s="235">
        <f t="shared" si="172"/>
        <v>0</v>
      </c>
      <c r="P1600" s="238" t="s">
        <v>5831</v>
      </c>
      <c r="Q1600" s="1" t="s">
        <v>1571</v>
      </c>
      <c r="R1600" s="239" t="s">
        <v>3753</v>
      </c>
      <c r="S1600" s="238" t="s">
        <v>3754</v>
      </c>
      <c r="T1600" s="238" t="s">
        <v>3755</v>
      </c>
      <c r="U1600" s="238" t="s">
        <v>5679</v>
      </c>
      <c r="V1600" s="238" t="s">
        <v>6215</v>
      </c>
      <c r="W1600" s="236">
        <v>3060</v>
      </c>
      <c r="X1600" s="233">
        <v>41376</v>
      </c>
      <c r="AB1600" s="1" t="s">
        <v>1570</v>
      </c>
    </row>
    <row r="1601" spans="1:28">
      <c r="A1601" s="233">
        <v>41359</v>
      </c>
      <c r="B1601" s="1" t="s">
        <v>4369</v>
      </c>
      <c r="C1601" s="1" t="s">
        <v>163</v>
      </c>
      <c r="D1601" s="5" t="s">
        <v>348</v>
      </c>
      <c r="E1601" s="1">
        <v>3700</v>
      </c>
      <c r="F1601" s="1">
        <v>20</v>
      </c>
      <c r="G1601" s="1" t="s">
        <v>5835</v>
      </c>
      <c r="H1601" s="234">
        <v>3.9</v>
      </c>
      <c r="I1601" s="235">
        <f t="shared" si="170"/>
        <v>78</v>
      </c>
      <c r="K1601" s="250">
        <f>2.865*20</f>
        <v>57.300000000000004</v>
      </c>
      <c r="L1601" s="237">
        <v>41382</v>
      </c>
      <c r="M1601" s="1" t="s">
        <v>166</v>
      </c>
      <c r="N1601" s="235">
        <f t="shared" si="171"/>
        <v>78</v>
      </c>
      <c r="O1601" s="235">
        <f>I1601-N1601</f>
        <v>0</v>
      </c>
      <c r="P1601" s="238" t="s">
        <v>5839</v>
      </c>
      <c r="Q1601" s="1" t="s">
        <v>5416</v>
      </c>
      <c r="R1601" s="239" t="s">
        <v>4372</v>
      </c>
      <c r="S1601" s="238" t="s">
        <v>4373</v>
      </c>
      <c r="T1601" s="238" t="s">
        <v>2256</v>
      </c>
      <c r="U1601" s="238" t="s">
        <v>5854</v>
      </c>
      <c r="AB1601" s="1" t="s">
        <v>1570</v>
      </c>
    </row>
    <row r="1602" spans="1:28">
      <c r="A1602" s="233">
        <v>41359</v>
      </c>
      <c r="B1602" s="228" t="s">
        <v>1496</v>
      </c>
      <c r="C1602" s="1" t="s">
        <v>7</v>
      </c>
      <c r="D1602" s="95" t="s">
        <v>5040</v>
      </c>
      <c r="E1602" s="1" t="s">
        <v>858</v>
      </c>
      <c r="F1602" s="1">
        <v>288</v>
      </c>
      <c r="G1602" s="1" t="s">
        <v>5833</v>
      </c>
      <c r="H1602" s="234">
        <v>11</v>
      </c>
      <c r="I1602" s="235">
        <f t="shared" si="170"/>
        <v>3168</v>
      </c>
      <c r="K1602" s="250">
        <f>10*288</f>
        <v>2880</v>
      </c>
      <c r="L1602" s="237">
        <v>41359</v>
      </c>
      <c r="M1602" s="1" t="s">
        <v>167</v>
      </c>
      <c r="N1602" s="235">
        <f t="shared" si="171"/>
        <v>3168</v>
      </c>
      <c r="O1602" s="235">
        <f t="shared" ref="O1602:O1623" si="173">I1602-N1602</f>
        <v>0</v>
      </c>
      <c r="P1602" s="238" t="s">
        <v>5841</v>
      </c>
      <c r="Q1602" s="1" t="s">
        <v>4371</v>
      </c>
      <c r="R1602" s="239" t="s">
        <v>4357</v>
      </c>
      <c r="S1602" s="238" t="s">
        <v>4358</v>
      </c>
      <c r="T1602" s="238" t="s">
        <v>1479</v>
      </c>
      <c r="U1602" s="238" t="s">
        <v>5853</v>
      </c>
      <c r="V1602" s="238" t="s">
        <v>6218</v>
      </c>
      <c r="W1602" s="236">
        <v>16862.8</v>
      </c>
      <c r="X1602" s="233">
        <v>41376</v>
      </c>
      <c r="Y1602" s="238" t="s">
        <v>6219</v>
      </c>
      <c r="AB1602" s="1" t="s">
        <v>1570</v>
      </c>
    </row>
    <row r="1603" spans="1:28">
      <c r="A1603" s="233">
        <v>41359</v>
      </c>
      <c r="B1603" s="228" t="s">
        <v>1496</v>
      </c>
      <c r="C1603" s="1" t="s">
        <v>163</v>
      </c>
      <c r="D1603" s="1" t="s">
        <v>1219</v>
      </c>
      <c r="E1603" s="1" t="s">
        <v>179</v>
      </c>
      <c r="F1603" s="1">
        <v>100</v>
      </c>
      <c r="G1603" s="1" t="s">
        <v>5840</v>
      </c>
      <c r="H1603" s="234">
        <v>13.4</v>
      </c>
      <c r="I1603" s="235">
        <f t="shared" si="170"/>
        <v>1340</v>
      </c>
      <c r="K1603" s="250">
        <f>12.6*100</f>
        <v>1260</v>
      </c>
      <c r="L1603" s="237">
        <v>41359</v>
      </c>
      <c r="M1603" s="1" t="s">
        <v>167</v>
      </c>
      <c r="N1603" s="235">
        <f t="shared" si="171"/>
        <v>1340</v>
      </c>
      <c r="O1603" s="235">
        <f t="shared" si="173"/>
        <v>0</v>
      </c>
      <c r="P1603" s="238" t="s">
        <v>5841</v>
      </c>
      <c r="Q1603" s="1" t="s">
        <v>4371</v>
      </c>
      <c r="R1603" s="239" t="s">
        <v>4357</v>
      </c>
      <c r="S1603" s="238" t="s">
        <v>4358</v>
      </c>
      <c r="T1603" s="238" t="s">
        <v>1479</v>
      </c>
      <c r="U1603" s="238" t="s">
        <v>5853</v>
      </c>
      <c r="V1603" s="238" t="s">
        <v>6218</v>
      </c>
      <c r="W1603" s="236">
        <v>16862.8</v>
      </c>
      <c r="X1603" s="233">
        <v>41376</v>
      </c>
      <c r="Y1603" s="238" t="s">
        <v>6219</v>
      </c>
      <c r="AB1603" s="1" t="s">
        <v>1570</v>
      </c>
    </row>
    <row r="1604" spans="1:28">
      <c r="A1604" s="233">
        <v>41360</v>
      </c>
      <c r="B1604" s="1" t="s">
        <v>2333</v>
      </c>
      <c r="C1604" s="1" t="s">
        <v>163</v>
      </c>
      <c r="D1604" s="1" t="s">
        <v>1216</v>
      </c>
      <c r="E1604" s="1">
        <v>3200</v>
      </c>
      <c r="F1604" s="1">
        <v>27</v>
      </c>
      <c r="G1604" s="1" t="s">
        <v>5855</v>
      </c>
      <c r="H1604" s="234">
        <v>26.81</v>
      </c>
      <c r="I1604" s="235">
        <f t="shared" si="170"/>
        <v>723.87</v>
      </c>
      <c r="K1604" s="250">
        <f>23.94*27</f>
        <v>646.38</v>
      </c>
      <c r="N1604" s="235">
        <v>0</v>
      </c>
      <c r="O1604" s="235">
        <f t="shared" si="173"/>
        <v>723.87</v>
      </c>
      <c r="P1604" s="238" t="s">
        <v>5862</v>
      </c>
      <c r="Q1604" s="5" t="s">
        <v>1571</v>
      </c>
      <c r="R1604" s="239" t="s">
        <v>168</v>
      </c>
      <c r="S1604" s="238" t="s">
        <v>168</v>
      </c>
      <c r="T1604" s="238" t="s">
        <v>168</v>
      </c>
      <c r="U1604" s="238" t="s">
        <v>168</v>
      </c>
      <c r="AB1604" s="5" t="s">
        <v>1570</v>
      </c>
    </row>
    <row r="1605" spans="1:28">
      <c r="A1605" s="233">
        <v>41360</v>
      </c>
      <c r="B1605" s="1" t="s">
        <v>2333</v>
      </c>
      <c r="C1605" s="1" t="s">
        <v>163</v>
      </c>
      <c r="D1605" s="1" t="s">
        <v>355</v>
      </c>
      <c r="E1605" s="1" t="s">
        <v>5858</v>
      </c>
      <c r="F1605" s="1">
        <v>27</v>
      </c>
      <c r="G1605" s="1" t="s">
        <v>5855</v>
      </c>
      <c r="H1605" s="234">
        <v>11.93</v>
      </c>
      <c r="I1605" s="235">
        <f t="shared" si="170"/>
        <v>322.11</v>
      </c>
      <c r="K1605" s="250">
        <f>10.94*27</f>
        <v>295.38</v>
      </c>
      <c r="N1605" s="235">
        <v>0</v>
      </c>
      <c r="O1605" s="235">
        <f t="shared" si="173"/>
        <v>322.11</v>
      </c>
      <c r="P1605" s="238" t="s">
        <v>5862</v>
      </c>
      <c r="Q1605" s="5" t="s">
        <v>1571</v>
      </c>
      <c r="R1605" s="239" t="s">
        <v>168</v>
      </c>
      <c r="S1605" s="238" t="s">
        <v>168</v>
      </c>
      <c r="T1605" s="238" t="s">
        <v>168</v>
      </c>
      <c r="U1605" s="238" t="s">
        <v>168</v>
      </c>
      <c r="AB1605" s="5" t="s">
        <v>1570</v>
      </c>
    </row>
    <row r="1606" spans="1:28">
      <c r="A1606" s="233">
        <v>41360</v>
      </c>
      <c r="B1606" s="1" t="s">
        <v>2333</v>
      </c>
      <c r="C1606" s="1" t="s">
        <v>163</v>
      </c>
      <c r="D1606" s="1" t="s">
        <v>269</v>
      </c>
      <c r="E1606" s="1" t="s">
        <v>5859</v>
      </c>
      <c r="F1606" s="1">
        <v>27</v>
      </c>
      <c r="G1606" s="1" t="s">
        <v>5861</v>
      </c>
      <c r="H1606" s="234">
        <v>1.38</v>
      </c>
      <c r="I1606" s="235">
        <f t="shared" si="170"/>
        <v>37.26</v>
      </c>
      <c r="K1606" s="250">
        <f>1.17*27</f>
        <v>31.589999999999996</v>
      </c>
      <c r="N1606" s="235">
        <v>0</v>
      </c>
      <c r="O1606" s="235">
        <f t="shared" si="173"/>
        <v>37.26</v>
      </c>
      <c r="P1606" s="238" t="s">
        <v>5862</v>
      </c>
      <c r="Q1606" s="5" t="s">
        <v>1571</v>
      </c>
      <c r="R1606" s="239" t="s">
        <v>168</v>
      </c>
      <c r="S1606" s="238" t="s">
        <v>168</v>
      </c>
      <c r="T1606" s="238" t="s">
        <v>168</v>
      </c>
      <c r="U1606" s="238" t="s">
        <v>168</v>
      </c>
      <c r="AB1606" s="5" t="s">
        <v>1570</v>
      </c>
    </row>
    <row r="1607" spans="1:28">
      <c r="A1607" s="233">
        <v>41360</v>
      </c>
      <c r="B1607" s="1" t="s">
        <v>2333</v>
      </c>
      <c r="C1607" s="1" t="s">
        <v>163</v>
      </c>
      <c r="D1607" s="1" t="s">
        <v>1882</v>
      </c>
      <c r="E1607" s="1" t="s">
        <v>5860</v>
      </c>
      <c r="F1607" s="1">
        <v>27</v>
      </c>
      <c r="G1607" s="1" t="s">
        <v>5855</v>
      </c>
      <c r="H1607" s="234">
        <v>1.87</v>
      </c>
      <c r="I1607" s="235">
        <f t="shared" si="170"/>
        <v>50.49</v>
      </c>
      <c r="K1607" s="250">
        <f>1.58*27</f>
        <v>42.660000000000004</v>
      </c>
      <c r="N1607" s="235">
        <v>0</v>
      </c>
      <c r="O1607" s="235">
        <f t="shared" si="173"/>
        <v>50.49</v>
      </c>
      <c r="P1607" s="238" t="s">
        <v>5862</v>
      </c>
      <c r="Q1607" s="5" t="s">
        <v>1571</v>
      </c>
      <c r="R1607" s="239" t="s">
        <v>168</v>
      </c>
      <c r="S1607" s="238" t="s">
        <v>168</v>
      </c>
      <c r="T1607" s="238" t="s">
        <v>168</v>
      </c>
      <c r="U1607" s="238" t="s">
        <v>168</v>
      </c>
      <c r="AB1607" s="5" t="s">
        <v>1570</v>
      </c>
    </row>
    <row r="1608" spans="1:28">
      <c r="A1608" s="233">
        <v>41361</v>
      </c>
      <c r="B1608" s="1" t="s">
        <v>6296</v>
      </c>
      <c r="C1608" s="1" t="s">
        <v>163</v>
      </c>
      <c r="D1608" s="1" t="s">
        <v>5865</v>
      </c>
      <c r="E1608" s="1" t="s">
        <v>5864</v>
      </c>
      <c r="F1608" s="1">
        <v>250</v>
      </c>
      <c r="G1608" s="1" t="s">
        <v>5866</v>
      </c>
      <c r="H1608" s="234">
        <v>110</v>
      </c>
      <c r="I1608" s="235">
        <f t="shared" si="170"/>
        <v>27500</v>
      </c>
      <c r="K1608" s="250">
        <f>107.64*250</f>
        <v>26910</v>
      </c>
      <c r="L1608" s="237">
        <v>41380</v>
      </c>
      <c r="M1608" s="1" t="s">
        <v>6323</v>
      </c>
      <c r="N1608" s="235">
        <f>I1608</f>
        <v>27500</v>
      </c>
      <c r="O1608" s="235">
        <f t="shared" si="173"/>
        <v>0</v>
      </c>
      <c r="P1608" s="238" t="s">
        <v>5881</v>
      </c>
      <c r="Q1608" s="5" t="s">
        <v>1571</v>
      </c>
      <c r="R1608" s="239" t="s">
        <v>168</v>
      </c>
      <c r="S1608" s="238" t="s">
        <v>168</v>
      </c>
      <c r="T1608" s="238" t="s">
        <v>5783</v>
      </c>
      <c r="U1608" s="238" t="s">
        <v>6286</v>
      </c>
      <c r="V1608" s="238" t="s">
        <v>6287</v>
      </c>
      <c r="W1608" s="236">
        <v>37500</v>
      </c>
      <c r="X1608" s="233">
        <v>41379</v>
      </c>
      <c r="Y1608" s="238" t="s">
        <v>6286</v>
      </c>
      <c r="AB1608" s="5" t="s">
        <v>1570</v>
      </c>
    </row>
    <row r="1609" spans="1:28">
      <c r="A1609" s="233">
        <v>41361</v>
      </c>
      <c r="B1609" s="136" t="s">
        <v>4091</v>
      </c>
      <c r="C1609" s="1" t="s">
        <v>163</v>
      </c>
      <c r="D1609" s="5" t="s">
        <v>2029</v>
      </c>
      <c r="E1609" s="1">
        <v>7502</v>
      </c>
      <c r="F1609" s="1">
        <v>45</v>
      </c>
      <c r="G1609" s="1" t="s">
        <v>5855</v>
      </c>
      <c r="H1609" s="234">
        <v>182</v>
      </c>
      <c r="I1609" s="235">
        <f t="shared" si="170"/>
        <v>8190</v>
      </c>
      <c r="K1609" s="250">
        <f>120*40+110*5</f>
        <v>5350</v>
      </c>
      <c r="N1609" s="235">
        <v>0</v>
      </c>
      <c r="O1609" s="235">
        <f t="shared" si="173"/>
        <v>8190</v>
      </c>
      <c r="P1609" s="238" t="s">
        <v>5876</v>
      </c>
      <c r="Q1609" s="1" t="s">
        <v>5888</v>
      </c>
      <c r="R1609" s="239" t="s">
        <v>4618</v>
      </c>
      <c r="S1609" s="238" t="s">
        <v>4619</v>
      </c>
      <c r="T1609" s="238" t="s">
        <v>4225</v>
      </c>
      <c r="U1609" s="238" t="s">
        <v>5889</v>
      </c>
      <c r="V1609" s="238" t="s">
        <v>6014</v>
      </c>
      <c r="W1609" s="236">
        <v>13860</v>
      </c>
      <c r="X1609" s="233">
        <v>41366</v>
      </c>
      <c r="Y1609" s="238" t="s">
        <v>6016</v>
      </c>
      <c r="AB1609" s="1" t="s">
        <v>2079</v>
      </c>
    </row>
    <row r="1610" spans="1:28">
      <c r="A1610" s="233">
        <v>41361</v>
      </c>
      <c r="B1610" s="136" t="s">
        <v>4091</v>
      </c>
      <c r="C1610" s="1" t="s">
        <v>163</v>
      </c>
      <c r="D1610" s="5" t="s">
        <v>4614</v>
      </c>
      <c r="E1610" s="1" t="s">
        <v>1859</v>
      </c>
      <c r="F1610" s="1">
        <v>100</v>
      </c>
      <c r="G1610" s="1" t="s">
        <v>5855</v>
      </c>
      <c r="H1610" s="234">
        <v>40.6</v>
      </c>
      <c r="I1610" s="235">
        <f t="shared" si="170"/>
        <v>4060</v>
      </c>
      <c r="K1610" s="250">
        <f>24.2*100</f>
        <v>2420</v>
      </c>
      <c r="N1610" s="235">
        <v>0</v>
      </c>
      <c r="O1610" s="235">
        <f t="shared" si="173"/>
        <v>4060</v>
      </c>
      <c r="P1610" s="238" t="s">
        <v>5876</v>
      </c>
      <c r="Q1610" s="1" t="s">
        <v>5888</v>
      </c>
      <c r="R1610" s="239" t="s">
        <v>4618</v>
      </c>
      <c r="S1610" s="238" t="s">
        <v>4619</v>
      </c>
      <c r="T1610" s="238" t="s">
        <v>4225</v>
      </c>
      <c r="U1610" s="238" t="s">
        <v>5889</v>
      </c>
      <c r="V1610" s="238" t="s">
        <v>6014</v>
      </c>
      <c r="W1610" s="236">
        <v>13860</v>
      </c>
      <c r="X1610" s="233">
        <v>41366</v>
      </c>
      <c r="Y1610" s="238" t="s">
        <v>6016</v>
      </c>
      <c r="AB1610" s="1" t="s">
        <v>2079</v>
      </c>
    </row>
    <row r="1611" spans="1:28">
      <c r="A1611" s="233">
        <v>41361</v>
      </c>
      <c r="B1611" s="136" t="s">
        <v>4091</v>
      </c>
      <c r="C1611" s="1" t="s">
        <v>163</v>
      </c>
      <c r="D1611" s="1" t="s">
        <v>1216</v>
      </c>
      <c r="E1611" s="1">
        <v>3200</v>
      </c>
      <c r="F1611" s="1">
        <v>20</v>
      </c>
      <c r="G1611" s="1" t="s">
        <v>5855</v>
      </c>
      <c r="H1611" s="234">
        <v>35</v>
      </c>
      <c r="I1611" s="235">
        <f t="shared" si="170"/>
        <v>700</v>
      </c>
      <c r="K1611" s="250">
        <f>23.94*20</f>
        <v>478.8</v>
      </c>
      <c r="N1611" s="235">
        <v>0</v>
      </c>
      <c r="O1611" s="235">
        <f t="shared" si="173"/>
        <v>700</v>
      </c>
      <c r="P1611" s="238" t="s">
        <v>5876</v>
      </c>
      <c r="Q1611" s="1" t="s">
        <v>5888</v>
      </c>
      <c r="R1611" s="239" t="s">
        <v>4618</v>
      </c>
      <c r="S1611" s="238" t="s">
        <v>4619</v>
      </c>
      <c r="T1611" s="238" t="s">
        <v>4225</v>
      </c>
      <c r="U1611" s="238" t="s">
        <v>5889</v>
      </c>
      <c r="V1611" s="238" t="s">
        <v>6014</v>
      </c>
      <c r="W1611" s="236">
        <v>13860</v>
      </c>
      <c r="X1611" s="233">
        <v>41366</v>
      </c>
      <c r="Y1611" s="238" t="s">
        <v>6016</v>
      </c>
      <c r="AB1611" s="1" t="s">
        <v>2079</v>
      </c>
    </row>
    <row r="1612" spans="1:28">
      <c r="A1612" s="233">
        <v>41361</v>
      </c>
      <c r="B1612" s="5" t="s">
        <v>2121</v>
      </c>
      <c r="C1612" s="1" t="s">
        <v>163</v>
      </c>
      <c r="D1612" s="1" t="s">
        <v>1895</v>
      </c>
      <c r="E1612" s="1" t="s">
        <v>22</v>
      </c>
      <c r="F1612" s="1">
        <v>200</v>
      </c>
      <c r="G1612" s="1" t="s">
        <v>171</v>
      </c>
      <c r="H1612" s="234">
        <v>14.32</v>
      </c>
      <c r="I1612" s="235">
        <f t="shared" si="170"/>
        <v>2864</v>
      </c>
      <c r="K1612" s="250">
        <f>10.94*200</f>
        <v>2188</v>
      </c>
      <c r="N1612" s="235">
        <v>0</v>
      </c>
      <c r="O1612" s="235">
        <f t="shared" si="173"/>
        <v>2864</v>
      </c>
      <c r="P1612" s="238" t="s">
        <v>5874</v>
      </c>
      <c r="Q1612" s="1" t="s">
        <v>5886</v>
      </c>
      <c r="R1612" s="247" t="s">
        <v>2493</v>
      </c>
      <c r="S1612" s="246" t="s">
        <v>2119</v>
      </c>
      <c r="T1612" s="246" t="s">
        <v>3723</v>
      </c>
      <c r="U1612" s="238" t="s">
        <v>5890</v>
      </c>
      <c r="V1612" s="238" t="s">
        <v>176</v>
      </c>
      <c r="AB1612" s="1" t="s">
        <v>1570</v>
      </c>
    </row>
    <row r="1613" spans="1:28">
      <c r="A1613" s="233">
        <v>41361</v>
      </c>
      <c r="B1613" s="5" t="s">
        <v>2121</v>
      </c>
      <c r="C1613" s="1" t="s">
        <v>163</v>
      </c>
      <c r="D1613" s="5" t="s">
        <v>269</v>
      </c>
      <c r="E1613" s="1" t="s">
        <v>178</v>
      </c>
      <c r="F1613" s="5">
        <v>200</v>
      </c>
      <c r="G1613" s="1" t="s">
        <v>172</v>
      </c>
      <c r="H1613" s="234">
        <v>1.53</v>
      </c>
      <c r="I1613" s="235">
        <f t="shared" si="170"/>
        <v>306</v>
      </c>
      <c r="K1613" s="250">
        <f>1.17*200</f>
        <v>234</v>
      </c>
      <c r="N1613" s="235">
        <v>0</v>
      </c>
      <c r="O1613" s="235">
        <f t="shared" si="173"/>
        <v>306</v>
      </c>
      <c r="P1613" s="238" t="s">
        <v>5874</v>
      </c>
      <c r="Q1613" s="1" t="s">
        <v>5886</v>
      </c>
      <c r="R1613" s="247" t="s">
        <v>2493</v>
      </c>
      <c r="S1613" s="246" t="s">
        <v>2119</v>
      </c>
      <c r="T1613" s="246" t="s">
        <v>3723</v>
      </c>
      <c r="U1613" s="238" t="s">
        <v>5890</v>
      </c>
      <c r="V1613" s="238" t="s">
        <v>176</v>
      </c>
      <c r="AB1613" s="1" t="s">
        <v>1570</v>
      </c>
    </row>
    <row r="1614" spans="1:28">
      <c r="A1614" s="233">
        <v>41361</v>
      </c>
      <c r="B1614" s="5" t="s">
        <v>2121</v>
      </c>
      <c r="C1614" s="1" t="s">
        <v>163</v>
      </c>
      <c r="D1614" s="1" t="s">
        <v>233</v>
      </c>
      <c r="E1614" s="5" t="s">
        <v>195</v>
      </c>
      <c r="F1614" s="1">
        <v>200</v>
      </c>
      <c r="G1614" s="1" t="s">
        <v>172</v>
      </c>
      <c r="H1614" s="234">
        <v>5.6</v>
      </c>
      <c r="I1614" s="235">
        <f t="shared" si="170"/>
        <v>1120</v>
      </c>
      <c r="K1614" s="250">
        <f>4.75*200</f>
        <v>950</v>
      </c>
      <c r="N1614" s="235">
        <v>0</v>
      </c>
      <c r="O1614" s="235">
        <f t="shared" si="173"/>
        <v>1120</v>
      </c>
      <c r="P1614" s="238" t="s">
        <v>5874</v>
      </c>
      <c r="Q1614" s="1" t="s">
        <v>5886</v>
      </c>
      <c r="R1614" s="247" t="s">
        <v>2493</v>
      </c>
      <c r="S1614" s="246" t="s">
        <v>2119</v>
      </c>
      <c r="T1614" s="246" t="s">
        <v>3723</v>
      </c>
      <c r="U1614" s="238" t="s">
        <v>5890</v>
      </c>
      <c r="V1614" s="238" t="s">
        <v>176</v>
      </c>
      <c r="AB1614" s="1" t="s">
        <v>1570</v>
      </c>
    </row>
    <row r="1615" spans="1:28">
      <c r="A1615" s="233">
        <v>41361</v>
      </c>
      <c r="B1615" s="5" t="s">
        <v>2121</v>
      </c>
      <c r="C1615" s="1" t="s">
        <v>163</v>
      </c>
      <c r="D1615" s="1" t="s">
        <v>1720</v>
      </c>
      <c r="E1615" s="1">
        <v>8210</v>
      </c>
      <c r="F1615" s="1">
        <v>120</v>
      </c>
      <c r="G1615" s="1" t="s">
        <v>171</v>
      </c>
      <c r="H1615" s="234">
        <v>4.6500000000000004</v>
      </c>
      <c r="I1615" s="235">
        <f t="shared" si="170"/>
        <v>558</v>
      </c>
      <c r="K1615" s="250">
        <f>3.78*120</f>
        <v>453.59999999999997</v>
      </c>
      <c r="N1615" s="235">
        <v>0</v>
      </c>
      <c r="O1615" s="235">
        <f t="shared" si="173"/>
        <v>558</v>
      </c>
      <c r="P1615" s="238" t="s">
        <v>5874</v>
      </c>
      <c r="Q1615" s="1" t="s">
        <v>5886</v>
      </c>
      <c r="R1615" s="247" t="s">
        <v>2493</v>
      </c>
      <c r="S1615" s="246" t="s">
        <v>2119</v>
      </c>
      <c r="T1615" s="246" t="s">
        <v>3723</v>
      </c>
      <c r="U1615" s="238" t="s">
        <v>5890</v>
      </c>
      <c r="V1615" s="238" t="s">
        <v>176</v>
      </c>
      <c r="AB1615" s="1" t="s">
        <v>1570</v>
      </c>
    </row>
    <row r="1616" spans="1:28">
      <c r="A1616" s="233">
        <v>41361</v>
      </c>
      <c r="B1616" s="1" t="s">
        <v>5314</v>
      </c>
      <c r="C1616" s="5" t="s">
        <v>163</v>
      </c>
      <c r="D1616" s="1" t="s">
        <v>5879</v>
      </c>
      <c r="E1616" s="1" t="s">
        <v>5877</v>
      </c>
      <c r="F1616" s="1">
        <v>50</v>
      </c>
      <c r="G1616" s="1" t="s">
        <v>5878</v>
      </c>
      <c r="H1616" s="234">
        <v>1.7</v>
      </c>
      <c r="I1616" s="235">
        <f>H1616*F1616</f>
        <v>85</v>
      </c>
      <c r="K1616" s="250">
        <f>1.4*50</f>
        <v>70</v>
      </c>
      <c r="N1616" s="235">
        <v>0</v>
      </c>
      <c r="O1616" s="235">
        <f t="shared" si="173"/>
        <v>85</v>
      </c>
      <c r="P1616" s="238" t="s">
        <v>5880</v>
      </c>
      <c r="Q1616" s="1" t="s">
        <v>5886</v>
      </c>
      <c r="R1616" s="239" t="s">
        <v>5319</v>
      </c>
      <c r="S1616" s="238" t="s">
        <v>5320</v>
      </c>
      <c r="T1616" s="238" t="s">
        <v>5321</v>
      </c>
      <c r="U1616" s="238" t="s">
        <v>5887</v>
      </c>
      <c r="V1616" s="238" t="s">
        <v>176</v>
      </c>
      <c r="W1616" s="236" t="s">
        <v>168</v>
      </c>
      <c r="X1616" s="233" t="s">
        <v>168</v>
      </c>
      <c r="Y1616" s="238" t="s">
        <v>168</v>
      </c>
      <c r="AB1616" s="1" t="s">
        <v>1570</v>
      </c>
    </row>
    <row r="1617" spans="1:28">
      <c r="A1617" s="233">
        <v>41361</v>
      </c>
      <c r="B1617" s="1" t="s">
        <v>1578</v>
      </c>
      <c r="C1617" s="1" t="s">
        <v>7</v>
      </c>
      <c r="D1617" s="5" t="s">
        <v>1672</v>
      </c>
      <c r="E1617" s="1" t="s">
        <v>1668</v>
      </c>
      <c r="F1617" s="1">
        <v>8</v>
      </c>
      <c r="G1617" s="1" t="s">
        <v>5848</v>
      </c>
      <c r="H1617" s="234">
        <v>72</v>
      </c>
      <c r="I1617" s="235">
        <f t="shared" ref="I1617:I1618" si="174">H1617*F1617</f>
        <v>576</v>
      </c>
      <c r="K1617" s="250">
        <f>69.5*8</f>
        <v>556</v>
      </c>
      <c r="N1617" s="235">
        <v>0</v>
      </c>
      <c r="O1617" s="235">
        <f t="shared" si="173"/>
        <v>576</v>
      </c>
      <c r="P1617" s="238" t="s">
        <v>5891</v>
      </c>
      <c r="Q1617" s="1" t="s">
        <v>1580</v>
      </c>
      <c r="R1617" s="239" t="s">
        <v>1579</v>
      </c>
      <c r="S1617" s="238">
        <v>13368068212</v>
      </c>
      <c r="T1617" s="238" t="s">
        <v>168</v>
      </c>
      <c r="U1617" s="238" t="s">
        <v>168</v>
      </c>
      <c r="AB1617" s="5" t="s">
        <v>1570</v>
      </c>
    </row>
    <row r="1618" spans="1:28">
      <c r="A1618" s="233">
        <v>41361</v>
      </c>
      <c r="B1618" s="1" t="s">
        <v>1578</v>
      </c>
      <c r="C1618" s="1" t="s">
        <v>163</v>
      </c>
      <c r="D1618" s="65" t="s">
        <v>1726</v>
      </c>
      <c r="E1618" s="1">
        <v>10435</v>
      </c>
      <c r="F1618" s="1">
        <v>1</v>
      </c>
      <c r="G1618" s="1" t="s">
        <v>5850</v>
      </c>
      <c r="H1618" s="234">
        <v>14.88</v>
      </c>
      <c r="I1618" s="235">
        <f t="shared" si="174"/>
        <v>14.88</v>
      </c>
      <c r="K1618" s="282">
        <f>14.8*1</f>
        <v>14.8</v>
      </c>
      <c r="N1618" s="235">
        <v>0</v>
      </c>
      <c r="O1618" s="235">
        <f t="shared" si="173"/>
        <v>14.88</v>
      </c>
      <c r="P1618" s="238" t="s">
        <v>5891</v>
      </c>
      <c r="Q1618" s="1" t="s">
        <v>1580</v>
      </c>
      <c r="R1618" s="239" t="s">
        <v>1579</v>
      </c>
      <c r="S1618" s="238">
        <v>13368068212</v>
      </c>
      <c r="T1618" s="238" t="s">
        <v>168</v>
      </c>
      <c r="U1618" s="238" t="s">
        <v>168</v>
      </c>
      <c r="Z1618" s="255" t="s">
        <v>185</v>
      </c>
      <c r="AB1618" s="5" t="s">
        <v>1570</v>
      </c>
    </row>
    <row r="1619" spans="1:28">
      <c r="A1619" s="233">
        <v>41361</v>
      </c>
      <c r="B1619" s="1" t="s">
        <v>1578</v>
      </c>
      <c r="C1619" s="1" t="s">
        <v>163</v>
      </c>
      <c r="D1619" s="1" t="s">
        <v>309</v>
      </c>
      <c r="E1619" s="1">
        <v>1110</v>
      </c>
      <c r="F1619" s="1">
        <v>2000</v>
      </c>
      <c r="G1619" s="1" t="s">
        <v>173</v>
      </c>
      <c r="H1619" s="234">
        <v>0.8</v>
      </c>
      <c r="I1619" s="235">
        <f>F1619*H1619</f>
        <v>1600</v>
      </c>
      <c r="K1619" s="250">
        <f>0.71*2000</f>
        <v>1420</v>
      </c>
      <c r="N1619" s="235">
        <v>0</v>
      </c>
      <c r="O1619" s="235">
        <f t="shared" si="173"/>
        <v>1600</v>
      </c>
      <c r="P1619" s="238" t="s">
        <v>5891</v>
      </c>
      <c r="Q1619" s="1" t="s">
        <v>1580</v>
      </c>
      <c r="R1619" s="239" t="s">
        <v>1579</v>
      </c>
      <c r="S1619" s="238">
        <v>13368068212</v>
      </c>
      <c r="T1619" s="238" t="s">
        <v>168</v>
      </c>
      <c r="U1619" s="238" t="s">
        <v>168</v>
      </c>
      <c r="AB1619" s="5" t="s">
        <v>1570</v>
      </c>
    </row>
    <row r="1620" spans="1:28">
      <c r="A1620" s="233">
        <v>41361</v>
      </c>
      <c r="B1620" s="1" t="s">
        <v>5903</v>
      </c>
      <c r="C1620" s="1" t="s">
        <v>163</v>
      </c>
      <c r="D1620" s="1" t="s">
        <v>2024</v>
      </c>
      <c r="E1620" s="1">
        <v>10434</v>
      </c>
      <c r="F1620" s="1">
        <v>50</v>
      </c>
      <c r="G1620" s="1" t="s">
        <v>173</v>
      </c>
      <c r="H1620" s="234">
        <v>21</v>
      </c>
      <c r="I1620" s="235">
        <f>F1620*H1620</f>
        <v>1050</v>
      </c>
      <c r="K1620" s="250">
        <f>14.8*50</f>
        <v>740</v>
      </c>
      <c r="L1620" s="237">
        <v>41381</v>
      </c>
      <c r="M1620" s="1" t="s">
        <v>6386</v>
      </c>
      <c r="N1620" s="235">
        <f>I1620</f>
        <v>1050</v>
      </c>
      <c r="O1620" s="235">
        <f t="shared" si="173"/>
        <v>0</v>
      </c>
      <c r="P1620" s="238" t="s">
        <v>5895</v>
      </c>
      <c r="Q1620" s="1" t="s">
        <v>1580</v>
      </c>
      <c r="R1620" s="239" t="s">
        <v>5904</v>
      </c>
      <c r="S1620" s="238" t="s">
        <v>5905</v>
      </c>
      <c r="T1620" s="238" t="s">
        <v>5906</v>
      </c>
      <c r="U1620" s="238" t="s">
        <v>168</v>
      </c>
      <c r="V1620" s="238" t="s">
        <v>6051</v>
      </c>
      <c r="W1620" s="236">
        <v>4555</v>
      </c>
      <c r="X1620" s="233">
        <v>41367</v>
      </c>
      <c r="Y1620" s="238" t="s">
        <v>6052</v>
      </c>
      <c r="AB1620" s="1" t="s">
        <v>5896</v>
      </c>
    </row>
    <row r="1621" spans="1:28">
      <c r="A1621" s="233">
        <v>41361</v>
      </c>
      <c r="B1621" s="1" t="s">
        <v>5903</v>
      </c>
      <c r="C1621" s="1" t="s">
        <v>163</v>
      </c>
      <c r="D1621" s="5" t="s">
        <v>183</v>
      </c>
      <c r="E1621" s="1" t="s">
        <v>2064</v>
      </c>
      <c r="F1621" s="1">
        <v>500</v>
      </c>
      <c r="G1621" s="1" t="s">
        <v>5893</v>
      </c>
      <c r="H1621" s="234">
        <v>2.2000000000000002</v>
      </c>
      <c r="I1621" s="235">
        <f t="shared" ref="I1621:I1623" si="175">F1621*H1621</f>
        <v>1100</v>
      </c>
      <c r="K1621" s="250">
        <f>1.24*500</f>
        <v>620</v>
      </c>
      <c r="L1621" s="237">
        <v>41381</v>
      </c>
      <c r="M1621" s="1" t="s">
        <v>6386</v>
      </c>
      <c r="N1621" s="235">
        <f t="shared" ref="N1621:N1623" si="176">I1621</f>
        <v>1100</v>
      </c>
      <c r="O1621" s="235">
        <f t="shared" si="173"/>
        <v>0</v>
      </c>
      <c r="P1621" s="238" t="s">
        <v>5895</v>
      </c>
      <c r="Q1621" s="1" t="s">
        <v>1580</v>
      </c>
      <c r="R1621" s="239" t="s">
        <v>5904</v>
      </c>
      <c r="S1621" s="238" t="s">
        <v>5905</v>
      </c>
      <c r="T1621" s="238" t="s">
        <v>5906</v>
      </c>
      <c r="U1621" s="238" t="s">
        <v>168</v>
      </c>
      <c r="V1621" s="238" t="s">
        <v>6051</v>
      </c>
      <c r="W1621" s="236">
        <v>4555</v>
      </c>
      <c r="X1621" s="233">
        <v>41367</v>
      </c>
      <c r="Y1621" s="238" t="s">
        <v>6052</v>
      </c>
      <c r="AB1621" s="1" t="s">
        <v>5896</v>
      </c>
    </row>
    <row r="1622" spans="1:28">
      <c r="A1622" s="233">
        <v>41361</v>
      </c>
      <c r="B1622" s="1" t="s">
        <v>5903</v>
      </c>
      <c r="C1622" s="1" t="s">
        <v>163</v>
      </c>
      <c r="D1622" s="1" t="s">
        <v>5803</v>
      </c>
      <c r="E1622" s="1" t="s">
        <v>5894</v>
      </c>
      <c r="F1622" s="1">
        <v>50</v>
      </c>
      <c r="G1622" s="1" t="s">
        <v>193</v>
      </c>
      <c r="H1622" s="234">
        <v>45</v>
      </c>
      <c r="I1622" s="235">
        <f t="shared" si="175"/>
        <v>2250</v>
      </c>
      <c r="K1622" s="250">
        <f>33.111*50</f>
        <v>1655.55</v>
      </c>
      <c r="L1622" s="237">
        <v>41381</v>
      </c>
      <c r="M1622" s="1" t="s">
        <v>6386</v>
      </c>
      <c r="N1622" s="235">
        <f t="shared" si="176"/>
        <v>2250</v>
      </c>
      <c r="O1622" s="235">
        <f t="shared" si="173"/>
        <v>0</v>
      </c>
      <c r="P1622" s="238" t="s">
        <v>5895</v>
      </c>
      <c r="Q1622" s="1" t="s">
        <v>1580</v>
      </c>
      <c r="R1622" s="239" t="s">
        <v>5904</v>
      </c>
      <c r="S1622" s="238" t="s">
        <v>5905</v>
      </c>
      <c r="T1622" s="238" t="s">
        <v>5906</v>
      </c>
      <c r="U1622" s="238" t="s">
        <v>168</v>
      </c>
      <c r="V1622" s="238" t="s">
        <v>6051</v>
      </c>
      <c r="W1622" s="236">
        <v>4555</v>
      </c>
      <c r="X1622" s="233">
        <v>41367</v>
      </c>
      <c r="Y1622" s="238" t="s">
        <v>6052</v>
      </c>
      <c r="AB1622" s="1" t="s">
        <v>5896</v>
      </c>
    </row>
    <row r="1623" spans="1:28">
      <c r="A1623" s="233">
        <v>41361</v>
      </c>
      <c r="B1623" s="1" t="s">
        <v>5903</v>
      </c>
      <c r="C1623" s="1" t="s">
        <v>163</v>
      </c>
      <c r="D1623" s="1" t="s">
        <v>683</v>
      </c>
      <c r="E1623" s="1" t="s">
        <v>5892</v>
      </c>
      <c r="F1623" s="1">
        <v>31</v>
      </c>
      <c r="G1623" s="1" t="s">
        <v>5882</v>
      </c>
      <c r="H1623" s="234">
        <v>5</v>
      </c>
      <c r="I1623" s="235">
        <f t="shared" si="175"/>
        <v>155</v>
      </c>
      <c r="K1623" s="250">
        <f>3.31*31</f>
        <v>102.61</v>
      </c>
      <c r="L1623" s="237">
        <v>41381</v>
      </c>
      <c r="M1623" s="1" t="s">
        <v>6386</v>
      </c>
      <c r="N1623" s="235">
        <f t="shared" si="176"/>
        <v>155</v>
      </c>
      <c r="O1623" s="235">
        <f t="shared" si="173"/>
        <v>0</v>
      </c>
      <c r="P1623" s="238" t="s">
        <v>5895</v>
      </c>
      <c r="Q1623" s="1" t="s">
        <v>1580</v>
      </c>
      <c r="R1623" s="239" t="s">
        <v>5904</v>
      </c>
      <c r="S1623" s="238" t="s">
        <v>5905</v>
      </c>
      <c r="T1623" s="238" t="s">
        <v>5906</v>
      </c>
      <c r="U1623" s="238" t="s">
        <v>168</v>
      </c>
      <c r="V1623" s="238" t="s">
        <v>6051</v>
      </c>
      <c r="W1623" s="236">
        <v>4555</v>
      </c>
      <c r="X1623" s="233">
        <v>41367</v>
      </c>
      <c r="Y1623" s="238" t="s">
        <v>6052</v>
      </c>
      <c r="AB1623" s="1" t="s">
        <v>5896</v>
      </c>
    </row>
    <row r="1624" spans="1:28">
      <c r="A1624" s="233">
        <v>41362</v>
      </c>
      <c r="B1624" s="1" t="s">
        <v>3799</v>
      </c>
      <c r="C1624" s="1" t="s">
        <v>5682</v>
      </c>
      <c r="D1624" s="1" t="s">
        <v>5685</v>
      </c>
      <c r="E1624" s="1" t="s">
        <v>5684</v>
      </c>
      <c r="F1624" s="1">
        <v>2</v>
      </c>
      <c r="G1624" s="1" t="s">
        <v>5687</v>
      </c>
      <c r="H1624" s="234">
        <v>310</v>
      </c>
      <c r="I1624" s="235">
        <f t="shared" si="163"/>
        <v>620</v>
      </c>
      <c r="K1624" s="250">
        <f>290*2</f>
        <v>580</v>
      </c>
      <c r="L1624" s="237">
        <v>41366</v>
      </c>
      <c r="M1624" s="1" t="s">
        <v>6046</v>
      </c>
      <c r="N1624" s="235">
        <f t="shared" si="171"/>
        <v>620</v>
      </c>
      <c r="O1624" s="235">
        <f t="shared" ref="O1624:O1641" si="177">I1624-N1624</f>
        <v>0</v>
      </c>
      <c r="P1624" s="238" t="s">
        <v>5927</v>
      </c>
      <c r="Q1624" s="1" t="s">
        <v>1571</v>
      </c>
      <c r="R1624" s="1" t="s">
        <v>3801</v>
      </c>
      <c r="S1624" s="238" t="s">
        <v>3802</v>
      </c>
      <c r="T1624" s="238" t="s">
        <v>4435</v>
      </c>
      <c r="U1624" s="238" t="s">
        <v>168</v>
      </c>
      <c r="AB1624" s="1" t="s">
        <v>1570</v>
      </c>
    </row>
    <row r="1625" spans="1:28">
      <c r="A1625" s="233">
        <v>41362</v>
      </c>
      <c r="B1625" s="1" t="s">
        <v>3799</v>
      </c>
      <c r="C1625" s="1" t="s">
        <v>5682</v>
      </c>
      <c r="D1625" s="1" t="s">
        <v>5686</v>
      </c>
      <c r="E1625" s="1" t="s">
        <v>5683</v>
      </c>
      <c r="F1625" s="1">
        <v>1</v>
      </c>
      <c r="G1625" s="1" t="s">
        <v>5687</v>
      </c>
      <c r="H1625" s="234">
        <v>310</v>
      </c>
      <c r="I1625" s="235">
        <f t="shared" si="163"/>
        <v>310</v>
      </c>
      <c r="K1625" s="250">
        <f>290*1</f>
        <v>290</v>
      </c>
      <c r="L1625" s="237">
        <v>41366</v>
      </c>
      <c r="M1625" s="1" t="s">
        <v>6046</v>
      </c>
      <c r="N1625" s="235">
        <f t="shared" si="171"/>
        <v>310</v>
      </c>
      <c r="O1625" s="235">
        <f t="shared" si="177"/>
        <v>0</v>
      </c>
      <c r="P1625" s="238" t="s">
        <v>5927</v>
      </c>
      <c r="Q1625" s="1" t="s">
        <v>1571</v>
      </c>
      <c r="R1625" s="1" t="s">
        <v>3801</v>
      </c>
      <c r="S1625" s="238" t="s">
        <v>3802</v>
      </c>
      <c r="T1625" s="238" t="s">
        <v>4435</v>
      </c>
      <c r="U1625" s="238" t="s">
        <v>168</v>
      </c>
      <c r="AB1625" s="1" t="s">
        <v>1570</v>
      </c>
    </row>
    <row r="1626" spans="1:28">
      <c r="A1626" s="233">
        <v>41362</v>
      </c>
      <c r="B1626" s="1" t="s">
        <v>5929</v>
      </c>
      <c r="C1626" s="219" t="s">
        <v>5706</v>
      </c>
      <c r="D1626" s="342" t="s">
        <v>5708</v>
      </c>
      <c r="E1626" s="342" t="s">
        <v>5707</v>
      </c>
      <c r="F1626" s="342">
        <v>1</v>
      </c>
      <c r="G1626" s="1" t="s">
        <v>5928</v>
      </c>
      <c r="H1626" s="234">
        <v>25</v>
      </c>
      <c r="I1626" s="235">
        <f t="shared" si="163"/>
        <v>25</v>
      </c>
      <c r="K1626" s="250">
        <f>22.68*1</f>
        <v>22.68</v>
      </c>
      <c r="L1626" s="237">
        <v>41362</v>
      </c>
      <c r="M1626" s="1" t="s">
        <v>5930</v>
      </c>
      <c r="N1626" s="235">
        <f t="shared" si="171"/>
        <v>25</v>
      </c>
      <c r="O1626" s="235">
        <f t="shared" si="177"/>
        <v>0</v>
      </c>
      <c r="P1626" s="238" t="s">
        <v>5899</v>
      </c>
      <c r="Q1626" s="1" t="s">
        <v>1580</v>
      </c>
      <c r="R1626" s="1" t="s">
        <v>5899</v>
      </c>
      <c r="S1626" s="238" t="s">
        <v>5899</v>
      </c>
      <c r="T1626" s="238" t="s">
        <v>5899</v>
      </c>
      <c r="U1626" s="238" t="s">
        <v>5899</v>
      </c>
      <c r="V1626" s="238" t="s">
        <v>5899</v>
      </c>
      <c r="W1626" s="236" t="s">
        <v>5899</v>
      </c>
      <c r="X1626" s="233" t="s">
        <v>5899</v>
      </c>
      <c r="Y1626" s="238" t="s">
        <v>5899</v>
      </c>
      <c r="Z1626" s="255" t="s">
        <v>5899</v>
      </c>
      <c r="AB1626" s="1" t="s">
        <v>1570</v>
      </c>
    </row>
    <row r="1627" spans="1:28">
      <c r="A1627" s="233">
        <v>41362</v>
      </c>
      <c r="B1627" s="1" t="s">
        <v>5929</v>
      </c>
      <c r="C1627" s="219" t="s">
        <v>5706</v>
      </c>
      <c r="D1627" s="342" t="s">
        <v>5709</v>
      </c>
      <c r="E1627" s="342" t="s">
        <v>5707</v>
      </c>
      <c r="F1627" s="342">
        <v>2</v>
      </c>
      <c r="G1627" s="1" t="s">
        <v>5928</v>
      </c>
      <c r="H1627" s="234">
        <v>25</v>
      </c>
      <c r="I1627" s="235">
        <f t="shared" si="163"/>
        <v>50</v>
      </c>
      <c r="K1627" s="250">
        <f>22.68*2</f>
        <v>45.36</v>
      </c>
      <c r="L1627" s="237">
        <v>41362</v>
      </c>
      <c r="M1627" s="1" t="s">
        <v>5930</v>
      </c>
      <c r="N1627" s="235">
        <f t="shared" si="171"/>
        <v>50</v>
      </c>
      <c r="O1627" s="235">
        <f t="shared" si="177"/>
        <v>0</v>
      </c>
      <c r="P1627" s="238" t="s">
        <v>5899</v>
      </c>
      <c r="Q1627" s="1" t="s">
        <v>1580</v>
      </c>
      <c r="R1627" s="1" t="s">
        <v>5899</v>
      </c>
      <c r="S1627" s="238" t="s">
        <v>5899</v>
      </c>
      <c r="T1627" s="238" t="s">
        <v>5899</v>
      </c>
      <c r="U1627" s="238" t="s">
        <v>5899</v>
      </c>
      <c r="V1627" s="238" t="s">
        <v>5899</v>
      </c>
      <c r="W1627" s="236" t="s">
        <v>5899</v>
      </c>
      <c r="X1627" s="233" t="s">
        <v>5899</v>
      </c>
      <c r="Y1627" s="238" t="s">
        <v>5899</v>
      </c>
      <c r="Z1627" s="255" t="s">
        <v>5899</v>
      </c>
      <c r="AB1627" s="1" t="s">
        <v>1570</v>
      </c>
    </row>
    <row r="1628" spans="1:28">
      <c r="A1628" s="233">
        <v>41362</v>
      </c>
      <c r="B1628" s="1" t="s">
        <v>5929</v>
      </c>
      <c r="C1628" s="219" t="s">
        <v>163</v>
      </c>
      <c r="D1628" s="342" t="s">
        <v>5842</v>
      </c>
      <c r="E1628" s="342" t="s">
        <v>168</v>
      </c>
      <c r="F1628" s="342">
        <v>3</v>
      </c>
      <c r="G1628" s="342" t="s">
        <v>175</v>
      </c>
      <c r="H1628" s="234">
        <v>75</v>
      </c>
      <c r="I1628" s="235">
        <f t="shared" si="163"/>
        <v>225</v>
      </c>
      <c r="K1628" s="250">
        <f>60*3</f>
        <v>180</v>
      </c>
      <c r="L1628" s="237">
        <v>41362</v>
      </c>
      <c r="M1628" s="1" t="s">
        <v>5930</v>
      </c>
      <c r="N1628" s="235">
        <f t="shared" si="171"/>
        <v>225</v>
      </c>
      <c r="O1628" s="235">
        <f t="shared" si="177"/>
        <v>0</v>
      </c>
      <c r="P1628" s="238" t="s">
        <v>5899</v>
      </c>
      <c r="Q1628" s="1" t="s">
        <v>1580</v>
      </c>
      <c r="R1628" s="1" t="s">
        <v>5899</v>
      </c>
      <c r="S1628" s="238" t="s">
        <v>5899</v>
      </c>
      <c r="T1628" s="238" t="s">
        <v>5899</v>
      </c>
      <c r="U1628" s="238" t="s">
        <v>5899</v>
      </c>
      <c r="V1628" s="238" t="s">
        <v>5899</v>
      </c>
      <c r="W1628" s="236" t="s">
        <v>5899</v>
      </c>
      <c r="X1628" s="233" t="s">
        <v>5899</v>
      </c>
      <c r="Y1628" s="238" t="s">
        <v>5899</v>
      </c>
      <c r="Z1628" s="255" t="s">
        <v>5899</v>
      </c>
      <c r="AB1628" s="1" t="s">
        <v>1570</v>
      </c>
    </row>
    <row r="1629" spans="1:28">
      <c r="A1629" s="233">
        <v>41362</v>
      </c>
      <c r="B1629" s="1" t="s">
        <v>5115</v>
      </c>
      <c r="C1629" s="1" t="s">
        <v>7</v>
      </c>
      <c r="D1629" s="1" t="s">
        <v>5934</v>
      </c>
      <c r="E1629" s="1" t="s">
        <v>5931</v>
      </c>
      <c r="F1629" s="1">
        <v>10</v>
      </c>
      <c r="G1629" s="1" t="s">
        <v>830</v>
      </c>
      <c r="H1629" s="234">
        <v>7.2</v>
      </c>
      <c r="I1629" s="235">
        <f t="shared" ref="I1629:I1630" si="178">F1629*H1629</f>
        <v>72</v>
      </c>
      <c r="K1629" s="282">
        <v>0</v>
      </c>
      <c r="L1629" s="237">
        <v>41362</v>
      </c>
      <c r="M1629" s="1" t="s">
        <v>700</v>
      </c>
      <c r="N1629" s="235">
        <f t="shared" si="171"/>
        <v>72</v>
      </c>
      <c r="O1629" s="235">
        <f t="shared" si="177"/>
        <v>0</v>
      </c>
      <c r="P1629" s="238" t="s">
        <v>5933</v>
      </c>
      <c r="Q1629" s="1" t="s">
        <v>1571</v>
      </c>
      <c r="R1629" s="239" t="s">
        <v>2606</v>
      </c>
      <c r="S1629" s="238" t="s">
        <v>5121</v>
      </c>
      <c r="T1629" s="238" t="s">
        <v>168</v>
      </c>
      <c r="U1629" s="238" t="s">
        <v>168</v>
      </c>
      <c r="V1629" s="238" t="s">
        <v>176</v>
      </c>
      <c r="W1629" s="236" t="s">
        <v>168</v>
      </c>
      <c r="X1629" s="233" t="s">
        <v>168</v>
      </c>
      <c r="Y1629" s="238" t="s">
        <v>168</v>
      </c>
      <c r="Z1629" s="255" t="s">
        <v>6079</v>
      </c>
      <c r="AB1629" s="1" t="s">
        <v>2079</v>
      </c>
    </row>
    <row r="1630" spans="1:28">
      <c r="A1630" s="233">
        <v>41362</v>
      </c>
      <c r="B1630" s="1" t="s">
        <v>5115</v>
      </c>
      <c r="C1630" s="1" t="s">
        <v>163</v>
      </c>
      <c r="D1630" s="1" t="s">
        <v>1225</v>
      </c>
      <c r="E1630" s="1" t="s">
        <v>5932</v>
      </c>
      <c r="F1630" s="1">
        <v>6</v>
      </c>
      <c r="G1630" s="1" t="s">
        <v>5910</v>
      </c>
      <c r="H1630" s="234">
        <v>15</v>
      </c>
      <c r="I1630" s="235">
        <f t="shared" si="178"/>
        <v>90</v>
      </c>
      <c r="K1630" s="250">
        <f>3.6*6</f>
        <v>21.6</v>
      </c>
      <c r="L1630" s="237">
        <v>41362</v>
      </c>
      <c r="M1630" s="1" t="s">
        <v>700</v>
      </c>
      <c r="N1630" s="235">
        <f t="shared" si="171"/>
        <v>90</v>
      </c>
      <c r="O1630" s="235">
        <f t="shared" si="177"/>
        <v>0</v>
      </c>
      <c r="P1630" s="238" t="s">
        <v>5933</v>
      </c>
      <c r="Q1630" s="1" t="s">
        <v>1571</v>
      </c>
      <c r="R1630" s="239" t="s">
        <v>2606</v>
      </c>
      <c r="S1630" s="238" t="s">
        <v>5121</v>
      </c>
      <c r="T1630" s="238" t="s">
        <v>168</v>
      </c>
      <c r="U1630" s="238" t="s">
        <v>168</v>
      </c>
      <c r="V1630" s="238" t="s">
        <v>176</v>
      </c>
      <c r="W1630" s="236" t="s">
        <v>168</v>
      </c>
      <c r="X1630" s="233" t="s">
        <v>168</v>
      </c>
      <c r="Y1630" s="238" t="s">
        <v>168</v>
      </c>
      <c r="AB1630" s="1" t="s">
        <v>2079</v>
      </c>
    </row>
    <row r="1631" spans="1:28">
      <c r="A1631" s="233">
        <v>41362</v>
      </c>
      <c r="B1631" s="1" t="s">
        <v>701</v>
      </c>
      <c r="C1631" s="1" t="s">
        <v>163</v>
      </c>
      <c r="D1631" s="342" t="s">
        <v>1958</v>
      </c>
      <c r="E1631" s="342">
        <v>52000183617</v>
      </c>
      <c r="F1631" s="1">
        <v>50</v>
      </c>
      <c r="G1631" s="1" t="s">
        <v>5893</v>
      </c>
      <c r="H1631" s="234">
        <v>18</v>
      </c>
      <c r="I1631" s="235">
        <f>F1631*H1631</f>
        <v>900</v>
      </c>
      <c r="K1631" s="250">
        <f>17.57*50</f>
        <v>878.5</v>
      </c>
      <c r="N1631" s="235">
        <v>0</v>
      </c>
      <c r="O1631" s="235">
        <f t="shared" si="177"/>
        <v>900</v>
      </c>
      <c r="P1631" s="238" t="s">
        <v>5899</v>
      </c>
      <c r="Q1631" s="1" t="s">
        <v>2293</v>
      </c>
      <c r="R1631" s="239" t="s">
        <v>5897</v>
      </c>
      <c r="S1631" s="238" t="s">
        <v>5898</v>
      </c>
      <c r="T1631" s="238" t="s">
        <v>1699</v>
      </c>
      <c r="U1631" s="238" t="s">
        <v>5944</v>
      </c>
      <c r="AB1631" s="1" t="s">
        <v>1570</v>
      </c>
    </row>
    <row r="1632" spans="1:28">
      <c r="A1632" s="233">
        <v>41362</v>
      </c>
      <c r="B1632" s="5" t="s">
        <v>5777</v>
      </c>
      <c r="C1632" s="1" t="s">
        <v>163</v>
      </c>
      <c r="D1632" s="1" t="s">
        <v>5769</v>
      </c>
      <c r="E1632" s="342" t="s">
        <v>5915</v>
      </c>
      <c r="F1632" s="1">
        <v>1</v>
      </c>
      <c r="G1632" s="1" t="s">
        <v>5774</v>
      </c>
      <c r="H1632" s="234">
        <v>938.4</v>
      </c>
      <c r="I1632" s="235">
        <f t="shared" si="163"/>
        <v>938.4</v>
      </c>
      <c r="K1632" s="250">
        <f>772.32*1</f>
        <v>772.32</v>
      </c>
      <c r="L1632" s="237">
        <v>41361</v>
      </c>
      <c r="M1632" s="1" t="s">
        <v>167</v>
      </c>
      <c r="N1632" s="235">
        <f>I1632</f>
        <v>938.4</v>
      </c>
      <c r="O1632" s="235">
        <f t="shared" si="177"/>
        <v>0</v>
      </c>
      <c r="T1632" s="238" t="s">
        <v>5783</v>
      </c>
      <c r="U1632" s="238" t="s">
        <v>6286</v>
      </c>
      <c r="AB1632" s="1" t="s">
        <v>1570</v>
      </c>
    </row>
    <row r="1633" spans="1:28">
      <c r="A1633" s="233">
        <v>41362</v>
      </c>
      <c r="B1633" s="5" t="s">
        <v>5777</v>
      </c>
      <c r="C1633" s="1" t="s">
        <v>163</v>
      </c>
      <c r="D1633" s="1" t="s">
        <v>5770</v>
      </c>
      <c r="E1633" s="342" t="s">
        <v>5914</v>
      </c>
      <c r="F1633" s="1">
        <v>1</v>
      </c>
      <c r="G1633" s="1" t="s">
        <v>5775</v>
      </c>
      <c r="H1633" s="234">
        <v>446.25</v>
      </c>
      <c r="I1633" s="235">
        <f t="shared" si="163"/>
        <v>446.25</v>
      </c>
      <c r="K1633" s="250">
        <f>367.73*1</f>
        <v>367.73</v>
      </c>
      <c r="L1633" s="237">
        <v>41361</v>
      </c>
      <c r="M1633" s="1" t="s">
        <v>167</v>
      </c>
      <c r="N1633" s="235">
        <f t="shared" ref="N1633:N1636" si="179">I1633</f>
        <v>446.25</v>
      </c>
      <c r="O1633" s="235">
        <f t="shared" si="177"/>
        <v>0</v>
      </c>
      <c r="T1633" s="238" t="s">
        <v>5783</v>
      </c>
      <c r="U1633" s="238" t="s">
        <v>6286</v>
      </c>
      <c r="AB1633" s="1" t="s">
        <v>1570</v>
      </c>
    </row>
    <row r="1634" spans="1:28">
      <c r="A1634" s="233">
        <v>41362</v>
      </c>
      <c r="B1634" s="5" t="s">
        <v>5777</v>
      </c>
      <c r="C1634" s="1" t="s">
        <v>163</v>
      </c>
      <c r="D1634" s="1" t="s">
        <v>5771</v>
      </c>
      <c r="E1634" s="342" t="s">
        <v>5913</v>
      </c>
      <c r="F1634" s="1">
        <v>1</v>
      </c>
      <c r="G1634" s="1" t="s">
        <v>5774</v>
      </c>
      <c r="H1634" s="234">
        <v>3173.05</v>
      </c>
      <c r="I1634" s="235">
        <f t="shared" si="163"/>
        <v>3173.05</v>
      </c>
      <c r="K1634" s="250">
        <f>1310.4*1</f>
        <v>1310.4000000000001</v>
      </c>
      <c r="L1634" s="237">
        <v>41361</v>
      </c>
      <c r="M1634" s="1" t="s">
        <v>167</v>
      </c>
      <c r="N1634" s="235">
        <f t="shared" si="179"/>
        <v>3173.05</v>
      </c>
      <c r="O1634" s="235">
        <f t="shared" si="177"/>
        <v>0</v>
      </c>
      <c r="T1634" s="238" t="s">
        <v>5783</v>
      </c>
      <c r="U1634" s="238" t="s">
        <v>6286</v>
      </c>
      <c r="AB1634" s="1" t="s">
        <v>1570</v>
      </c>
    </row>
    <row r="1635" spans="1:28">
      <c r="A1635" s="233">
        <v>41362</v>
      </c>
      <c r="B1635" s="5" t="s">
        <v>5777</v>
      </c>
      <c r="C1635" s="1" t="s">
        <v>163</v>
      </c>
      <c r="D1635" s="1" t="s">
        <v>5772</v>
      </c>
      <c r="E1635" s="342" t="s">
        <v>5912</v>
      </c>
      <c r="F1635" s="1">
        <v>1</v>
      </c>
      <c r="G1635" s="1" t="s">
        <v>5775</v>
      </c>
      <c r="H1635" s="234">
        <v>1491.75</v>
      </c>
      <c r="I1635" s="235">
        <f t="shared" si="163"/>
        <v>1491.75</v>
      </c>
      <c r="K1635" s="250">
        <f>1228.5*1</f>
        <v>1228.5</v>
      </c>
      <c r="L1635" s="237">
        <v>41361</v>
      </c>
      <c r="M1635" s="1" t="s">
        <v>167</v>
      </c>
      <c r="N1635" s="235">
        <f t="shared" si="179"/>
        <v>1491.75</v>
      </c>
      <c r="O1635" s="235">
        <f t="shared" si="177"/>
        <v>0</v>
      </c>
      <c r="T1635" s="238" t="s">
        <v>5783</v>
      </c>
      <c r="U1635" s="238" t="s">
        <v>6286</v>
      </c>
      <c r="AB1635" s="1" t="s">
        <v>1570</v>
      </c>
    </row>
    <row r="1636" spans="1:28">
      <c r="A1636" s="233">
        <v>41362</v>
      </c>
      <c r="B1636" s="5" t="s">
        <v>5777</v>
      </c>
      <c r="C1636" s="1" t="s">
        <v>163</v>
      </c>
      <c r="D1636" s="1" t="s">
        <v>5773</v>
      </c>
      <c r="E1636" s="342" t="s">
        <v>5909</v>
      </c>
      <c r="F1636" s="1">
        <v>1</v>
      </c>
      <c r="G1636" s="1" t="s">
        <v>5776</v>
      </c>
      <c r="H1636" s="234">
        <v>7747.75</v>
      </c>
      <c r="I1636" s="235">
        <f t="shared" si="163"/>
        <v>7747.75</v>
      </c>
      <c r="K1636" s="250">
        <f>6380.01</f>
        <v>6380.01</v>
      </c>
      <c r="L1636" s="237">
        <v>41361</v>
      </c>
      <c r="M1636" s="1" t="s">
        <v>167</v>
      </c>
      <c r="N1636" s="235">
        <f t="shared" si="179"/>
        <v>7747.75</v>
      </c>
      <c r="O1636" s="235">
        <f t="shared" si="177"/>
        <v>0</v>
      </c>
      <c r="T1636" s="238" t="s">
        <v>5783</v>
      </c>
      <c r="U1636" s="238" t="s">
        <v>6286</v>
      </c>
      <c r="AB1636" s="1" t="s">
        <v>1570</v>
      </c>
    </row>
    <row r="1637" spans="1:28">
      <c r="A1637" s="233">
        <v>41362</v>
      </c>
      <c r="B1637" s="264" t="s">
        <v>5777</v>
      </c>
      <c r="C1637" s="1" t="s">
        <v>163</v>
      </c>
      <c r="D1637" s="1" t="s">
        <v>5769</v>
      </c>
      <c r="E1637" s="342" t="s">
        <v>5915</v>
      </c>
      <c r="F1637" s="1">
        <v>2</v>
      </c>
      <c r="G1637" s="1" t="s">
        <v>171</v>
      </c>
      <c r="H1637" s="234">
        <v>938.4</v>
      </c>
      <c r="I1637" s="235">
        <f t="shared" si="163"/>
        <v>1876.8</v>
      </c>
      <c r="K1637" s="250">
        <f>772.32*2</f>
        <v>1544.64</v>
      </c>
      <c r="M1637" s="1" t="s">
        <v>167</v>
      </c>
      <c r="N1637" s="235">
        <v>1202.8</v>
      </c>
      <c r="O1637" s="235">
        <f t="shared" si="177"/>
        <v>674</v>
      </c>
      <c r="T1637" s="238" t="s">
        <v>5783</v>
      </c>
      <c r="U1637" s="238" t="s">
        <v>6286</v>
      </c>
      <c r="AB1637" s="1" t="s">
        <v>1570</v>
      </c>
    </row>
    <row r="1638" spans="1:28">
      <c r="A1638" s="233">
        <v>41362</v>
      </c>
      <c r="B1638" s="264" t="s">
        <v>5777</v>
      </c>
      <c r="C1638" s="1" t="s">
        <v>163</v>
      </c>
      <c r="D1638" s="1" t="s">
        <v>1965</v>
      </c>
      <c r="E1638" s="342" t="s">
        <v>5914</v>
      </c>
      <c r="F1638" s="1">
        <v>2</v>
      </c>
      <c r="G1638" s="1" t="s">
        <v>5775</v>
      </c>
      <c r="H1638" s="234">
        <v>446.25</v>
      </c>
      <c r="I1638" s="235">
        <f t="shared" ref="I1638:I1640" si="180">F1638*H1638</f>
        <v>892.5</v>
      </c>
      <c r="K1638" s="250">
        <f>367.73*2</f>
        <v>735.46</v>
      </c>
      <c r="N1638" s="235">
        <v>0</v>
      </c>
      <c r="O1638" s="235">
        <f t="shared" si="177"/>
        <v>892.5</v>
      </c>
      <c r="T1638" s="238" t="s">
        <v>5783</v>
      </c>
      <c r="U1638" s="238" t="s">
        <v>6286</v>
      </c>
      <c r="AB1638" s="1" t="s">
        <v>1570</v>
      </c>
    </row>
    <row r="1639" spans="1:28">
      <c r="A1639" s="233">
        <v>41362</v>
      </c>
      <c r="B1639" s="264" t="s">
        <v>5777</v>
      </c>
      <c r="C1639" s="1" t="s">
        <v>163</v>
      </c>
      <c r="D1639" s="1" t="s">
        <v>1966</v>
      </c>
      <c r="E1639" s="342" t="s">
        <v>5920</v>
      </c>
      <c r="F1639" s="1">
        <v>2</v>
      </c>
      <c r="G1639" s="1" t="s">
        <v>171</v>
      </c>
      <c r="H1639" s="234">
        <v>3173.05</v>
      </c>
      <c r="I1639" s="235">
        <f t="shared" si="180"/>
        <v>6346.1</v>
      </c>
      <c r="K1639" s="250">
        <f>2649.93*2</f>
        <v>5299.86</v>
      </c>
      <c r="N1639" s="235">
        <v>0</v>
      </c>
      <c r="O1639" s="235">
        <f t="shared" si="177"/>
        <v>6346.1</v>
      </c>
      <c r="T1639" s="238" t="s">
        <v>5783</v>
      </c>
      <c r="U1639" s="238" t="s">
        <v>6286</v>
      </c>
      <c r="AB1639" s="1" t="s">
        <v>1570</v>
      </c>
    </row>
    <row r="1640" spans="1:28">
      <c r="A1640" s="233">
        <v>41362</v>
      </c>
      <c r="B1640" s="264" t="s">
        <v>5777</v>
      </c>
      <c r="C1640" s="1" t="s">
        <v>163</v>
      </c>
      <c r="D1640" s="1" t="s">
        <v>5772</v>
      </c>
      <c r="E1640" s="342" t="s">
        <v>5912</v>
      </c>
      <c r="F1640" s="1">
        <v>2</v>
      </c>
      <c r="G1640" s="1" t="s">
        <v>5775</v>
      </c>
      <c r="H1640" s="234">
        <v>1491.75</v>
      </c>
      <c r="I1640" s="235">
        <f t="shared" si="180"/>
        <v>2983.5</v>
      </c>
      <c r="K1640" s="250">
        <f>1246.05*2</f>
        <v>2492.1</v>
      </c>
      <c r="N1640" s="235">
        <v>0</v>
      </c>
      <c r="O1640" s="235">
        <f t="shared" si="177"/>
        <v>2983.5</v>
      </c>
      <c r="T1640" s="238" t="s">
        <v>5783</v>
      </c>
      <c r="U1640" s="238" t="s">
        <v>6286</v>
      </c>
      <c r="AB1640" s="1" t="s">
        <v>1570</v>
      </c>
    </row>
    <row r="1641" spans="1:28">
      <c r="A1641" s="233">
        <v>41362</v>
      </c>
      <c r="B1641" s="1" t="s">
        <v>5442</v>
      </c>
      <c r="C1641" s="1" t="s">
        <v>163</v>
      </c>
      <c r="D1641" s="1" t="s">
        <v>233</v>
      </c>
      <c r="E1641" s="1" t="s">
        <v>195</v>
      </c>
      <c r="F1641" s="1">
        <v>40</v>
      </c>
      <c r="G1641" s="1" t="s">
        <v>172</v>
      </c>
      <c r="H1641" s="234">
        <v>6.5</v>
      </c>
      <c r="I1641" s="235">
        <f>H1641*F1641</f>
        <v>260</v>
      </c>
      <c r="K1641" s="250">
        <f>1.45*40</f>
        <v>58</v>
      </c>
      <c r="N1641" s="235">
        <v>0</v>
      </c>
      <c r="O1641" s="235">
        <f t="shared" si="177"/>
        <v>260</v>
      </c>
      <c r="P1641" s="238" t="s">
        <v>5940</v>
      </c>
      <c r="Q1641" s="1" t="s">
        <v>5943</v>
      </c>
      <c r="R1641" s="239" t="s">
        <v>5443</v>
      </c>
      <c r="S1641" s="238" t="s">
        <v>5444</v>
      </c>
      <c r="T1641" s="238" t="s">
        <v>5445</v>
      </c>
      <c r="U1641" s="238" t="s">
        <v>5945</v>
      </c>
      <c r="AB1641" s="1" t="s">
        <v>1570</v>
      </c>
    </row>
    <row r="1642" spans="1:28">
      <c r="A1642" s="233">
        <v>41365</v>
      </c>
      <c r="B1642" s="1" t="s">
        <v>989</v>
      </c>
      <c r="C1642" s="1" t="s">
        <v>163</v>
      </c>
      <c r="D1642" s="1" t="s">
        <v>269</v>
      </c>
      <c r="E1642" s="1" t="s">
        <v>178</v>
      </c>
      <c r="F1642" s="1">
        <v>35</v>
      </c>
      <c r="G1642" s="1" t="s">
        <v>232</v>
      </c>
      <c r="H1642" s="234">
        <v>1.65</v>
      </c>
      <c r="I1642" s="235">
        <f t="shared" ref="I1642:I1687" si="181">F1642*H1642</f>
        <v>57.75</v>
      </c>
      <c r="K1642" s="250">
        <f>1.17*35</f>
        <v>40.949999999999996</v>
      </c>
      <c r="L1642" s="237">
        <v>41365</v>
      </c>
      <c r="M1642" s="1" t="s">
        <v>700</v>
      </c>
      <c r="N1642" s="235">
        <f t="shared" si="171"/>
        <v>57.75</v>
      </c>
      <c r="O1642" s="235">
        <f t="shared" ref="O1642:O1660" si="182">I1642-N1642</f>
        <v>0</v>
      </c>
      <c r="P1642" s="238" t="s">
        <v>5946</v>
      </c>
      <c r="Q1642" s="1" t="s">
        <v>1571</v>
      </c>
      <c r="R1642" s="239" t="s">
        <v>2507</v>
      </c>
      <c r="S1642" s="238" t="s">
        <v>2508</v>
      </c>
      <c r="T1642" s="238" t="s">
        <v>168</v>
      </c>
      <c r="V1642" s="238" t="s">
        <v>176</v>
      </c>
      <c r="AB1642" s="1" t="s">
        <v>2079</v>
      </c>
    </row>
    <row r="1643" spans="1:28">
      <c r="A1643" s="233">
        <v>41365</v>
      </c>
      <c r="B1643" s="1" t="s">
        <v>989</v>
      </c>
      <c r="C1643" s="1" t="s">
        <v>163</v>
      </c>
      <c r="D1643" s="1" t="s">
        <v>264</v>
      </c>
      <c r="E1643" s="1" t="s">
        <v>198</v>
      </c>
      <c r="F1643" s="1">
        <v>5</v>
      </c>
      <c r="G1643" s="1" t="s">
        <v>171</v>
      </c>
      <c r="H1643" s="234">
        <v>2.85</v>
      </c>
      <c r="I1643" s="235">
        <f t="shared" si="181"/>
        <v>14.25</v>
      </c>
      <c r="K1643" s="250">
        <f>1.88*5</f>
        <v>9.3999999999999986</v>
      </c>
      <c r="L1643" s="237">
        <v>41365</v>
      </c>
      <c r="M1643" s="1" t="s">
        <v>700</v>
      </c>
      <c r="N1643" s="235">
        <f t="shared" si="171"/>
        <v>14.25</v>
      </c>
      <c r="O1643" s="235">
        <f t="shared" si="182"/>
        <v>0</v>
      </c>
      <c r="P1643" s="238" t="s">
        <v>5946</v>
      </c>
      <c r="Q1643" s="1" t="s">
        <v>1571</v>
      </c>
      <c r="R1643" s="239" t="s">
        <v>2507</v>
      </c>
      <c r="S1643" s="238" t="s">
        <v>2508</v>
      </c>
      <c r="T1643" s="238" t="s">
        <v>168</v>
      </c>
      <c r="V1643" s="238" t="s">
        <v>176</v>
      </c>
      <c r="AB1643" s="1" t="s">
        <v>2079</v>
      </c>
    </row>
    <row r="1644" spans="1:28">
      <c r="A1644" s="233">
        <v>41365</v>
      </c>
      <c r="B1644" s="1" t="s">
        <v>989</v>
      </c>
      <c r="C1644" s="1" t="s">
        <v>163</v>
      </c>
      <c r="D1644" s="1" t="s">
        <v>355</v>
      </c>
      <c r="E1644" s="1" t="s">
        <v>22</v>
      </c>
      <c r="F1644" s="1">
        <v>5</v>
      </c>
      <c r="G1644" s="1" t="s">
        <v>171</v>
      </c>
      <c r="H1644" s="234">
        <v>14.5</v>
      </c>
      <c r="I1644" s="235">
        <f t="shared" si="181"/>
        <v>72.5</v>
      </c>
      <c r="K1644" s="250">
        <f>10.94*5</f>
        <v>54.699999999999996</v>
      </c>
      <c r="L1644" s="237">
        <v>41365</v>
      </c>
      <c r="M1644" s="1" t="s">
        <v>700</v>
      </c>
      <c r="N1644" s="235">
        <f t="shared" si="171"/>
        <v>72.5</v>
      </c>
      <c r="O1644" s="235">
        <f t="shared" si="182"/>
        <v>0</v>
      </c>
      <c r="P1644" s="238" t="s">
        <v>5946</v>
      </c>
      <c r="Q1644" s="1" t="s">
        <v>1571</v>
      </c>
      <c r="R1644" s="239" t="s">
        <v>2507</v>
      </c>
      <c r="S1644" s="238" t="s">
        <v>2508</v>
      </c>
      <c r="T1644" s="238" t="s">
        <v>168</v>
      </c>
      <c r="V1644" s="238" t="s">
        <v>176</v>
      </c>
      <c r="AB1644" s="1" t="s">
        <v>2079</v>
      </c>
    </row>
    <row r="1645" spans="1:28">
      <c r="A1645" s="233">
        <v>41365</v>
      </c>
      <c r="B1645" s="1" t="s">
        <v>989</v>
      </c>
      <c r="C1645" s="1" t="s">
        <v>163</v>
      </c>
      <c r="D1645" s="1" t="s">
        <v>1216</v>
      </c>
      <c r="E1645" s="1">
        <v>3200</v>
      </c>
      <c r="F1645" s="1">
        <v>5</v>
      </c>
      <c r="G1645" s="1" t="s">
        <v>171</v>
      </c>
      <c r="H1645" s="234">
        <v>29</v>
      </c>
      <c r="I1645" s="235">
        <f t="shared" si="181"/>
        <v>145</v>
      </c>
      <c r="K1645" s="250">
        <f>23.94*5</f>
        <v>119.7</v>
      </c>
      <c r="L1645" s="237">
        <v>41365</v>
      </c>
      <c r="M1645" s="1" t="s">
        <v>700</v>
      </c>
      <c r="N1645" s="235">
        <f t="shared" si="171"/>
        <v>145</v>
      </c>
      <c r="O1645" s="235">
        <f t="shared" si="182"/>
        <v>0</v>
      </c>
      <c r="P1645" s="238" t="s">
        <v>5946</v>
      </c>
      <c r="Q1645" s="1" t="s">
        <v>1571</v>
      </c>
      <c r="R1645" s="239" t="s">
        <v>2507</v>
      </c>
      <c r="S1645" s="238" t="s">
        <v>2508</v>
      </c>
      <c r="T1645" s="238" t="s">
        <v>168</v>
      </c>
      <c r="V1645" s="238" t="s">
        <v>176</v>
      </c>
      <c r="AB1645" s="1" t="s">
        <v>2079</v>
      </c>
    </row>
    <row r="1646" spans="1:28">
      <c r="A1646" s="233">
        <v>41365</v>
      </c>
      <c r="B1646" s="1" t="s">
        <v>5950</v>
      </c>
      <c r="C1646" s="1" t="s">
        <v>163</v>
      </c>
      <c r="D1646" s="5" t="s">
        <v>70</v>
      </c>
      <c r="E1646" s="1">
        <v>1100</v>
      </c>
      <c r="F1646" s="1">
        <v>200</v>
      </c>
      <c r="G1646" s="1" t="s">
        <v>173</v>
      </c>
      <c r="H1646" s="234">
        <v>0.42</v>
      </c>
      <c r="I1646" s="235">
        <f t="shared" si="181"/>
        <v>84</v>
      </c>
      <c r="K1646" s="250">
        <f>0.38*200</f>
        <v>76</v>
      </c>
      <c r="L1646" s="237">
        <v>41365</v>
      </c>
      <c r="M1646" s="1" t="s">
        <v>700</v>
      </c>
      <c r="N1646" s="235">
        <f t="shared" si="171"/>
        <v>84</v>
      </c>
      <c r="O1646" s="235">
        <f t="shared" si="182"/>
        <v>0</v>
      </c>
      <c r="P1646" s="238" t="s">
        <v>5949</v>
      </c>
      <c r="Q1646" s="1" t="s">
        <v>5951</v>
      </c>
      <c r="R1646" s="239" t="s">
        <v>5942</v>
      </c>
      <c r="S1646" s="238" t="s">
        <v>5942</v>
      </c>
      <c r="T1646" s="238" t="s">
        <v>5942</v>
      </c>
      <c r="U1646" s="238" t="s">
        <v>5942</v>
      </c>
      <c r="V1646" s="238" t="s">
        <v>5952</v>
      </c>
      <c r="AB1646" s="1" t="s">
        <v>5953</v>
      </c>
    </row>
    <row r="1647" spans="1:28">
      <c r="A1647" s="233">
        <v>41365</v>
      </c>
      <c r="B1647" s="1" t="s">
        <v>2331</v>
      </c>
      <c r="C1647" s="1" t="s">
        <v>163</v>
      </c>
      <c r="D1647" s="1" t="s">
        <v>1225</v>
      </c>
      <c r="E1647" s="1" t="s">
        <v>5954</v>
      </c>
      <c r="F1647" s="1">
        <v>550</v>
      </c>
      <c r="G1647" s="1" t="s">
        <v>5955</v>
      </c>
      <c r="H1647" s="234">
        <v>4.32</v>
      </c>
      <c r="I1647" s="235">
        <f t="shared" si="181"/>
        <v>2376</v>
      </c>
      <c r="K1647" s="250">
        <f>3.96*510+3.6*40</f>
        <v>2163.6</v>
      </c>
      <c r="L1647" s="237">
        <v>41365</v>
      </c>
      <c r="M1647" s="1" t="s">
        <v>167</v>
      </c>
      <c r="N1647" s="235">
        <f t="shared" si="171"/>
        <v>2376</v>
      </c>
      <c r="O1647" s="235">
        <f t="shared" si="182"/>
        <v>0</v>
      </c>
      <c r="P1647" s="238" t="s">
        <v>5956</v>
      </c>
      <c r="Q1647" s="1" t="s">
        <v>1571</v>
      </c>
      <c r="R1647" s="239" t="s">
        <v>3174</v>
      </c>
      <c r="S1647" s="238" t="s">
        <v>3175</v>
      </c>
      <c r="T1647" s="239" t="s">
        <v>168</v>
      </c>
      <c r="U1647" s="239" t="s">
        <v>168</v>
      </c>
      <c r="AB1647" s="1" t="s">
        <v>1570</v>
      </c>
    </row>
    <row r="1648" spans="1:28">
      <c r="A1648" s="233">
        <v>41365</v>
      </c>
      <c r="B1648" s="1" t="s">
        <v>2331</v>
      </c>
      <c r="C1648" s="1" t="s">
        <v>163</v>
      </c>
      <c r="D1648" s="1" t="s">
        <v>1192</v>
      </c>
      <c r="E1648" s="1">
        <v>8247</v>
      </c>
      <c r="F1648" s="1">
        <v>10</v>
      </c>
      <c r="G1648" s="1" t="s">
        <v>5955</v>
      </c>
      <c r="H1648" s="234">
        <v>14.11</v>
      </c>
      <c r="I1648" s="235">
        <f t="shared" si="181"/>
        <v>141.1</v>
      </c>
      <c r="K1648" s="250">
        <f>12.35*10</f>
        <v>123.5</v>
      </c>
      <c r="L1648" s="237">
        <v>41365</v>
      </c>
      <c r="M1648" s="1" t="s">
        <v>167</v>
      </c>
      <c r="N1648" s="235">
        <f t="shared" si="171"/>
        <v>141.1</v>
      </c>
      <c r="O1648" s="235">
        <f t="shared" si="182"/>
        <v>0</v>
      </c>
      <c r="P1648" s="238" t="s">
        <v>5956</v>
      </c>
      <c r="Q1648" s="1" t="s">
        <v>1571</v>
      </c>
      <c r="R1648" s="239" t="s">
        <v>3174</v>
      </c>
      <c r="S1648" s="238" t="s">
        <v>3175</v>
      </c>
      <c r="T1648" s="239" t="s">
        <v>168</v>
      </c>
      <c r="U1648" s="239" t="s">
        <v>168</v>
      </c>
      <c r="AB1648" s="1" t="s">
        <v>1570</v>
      </c>
    </row>
    <row r="1649" spans="1:28">
      <c r="A1649" s="233">
        <v>41365</v>
      </c>
      <c r="B1649" s="1" t="s">
        <v>2331</v>
      </c>
      <c r="C1649" s="1" t="s">
        <v>163</v>
      </c>
      <c r="D1649" s="1" t="s">
        <v>1216</v>
      </c>
      <c r="E1649" s="1">
        <v>3200</v>
      </c>
      <c r="F1649" s="1">
        <v>3</v>
      </c>
      <c r="G1649" s="1" t="s">
        <v>5955</v>
      </c>
      <c r="H1649" s="234">
        <v>30.47</v>
      </c>
      <c r="I1649" s="235">
        <f t="shared" si="181"/>
        <v>91.41</v>
      </c>
      <c r="K1649" s="250">
        <f>23.94*3</f>
        <v>71.820000000000007</v>
      </c>
      <c r="L1649" s="237">
        <v>41365</v>
      </c>
      <c r="M1649" s="1" t="s">
        <v>167</v>
      </c>
      <c r="N1649" s="235">
        <f t="shared" si="171"/>
        <v>91.41</v>
      </c>
      <c r="O1649" s="235">
        <f t="shared" si="182"/>
        <v>0</v>
      </c>
      <c r="P1649" s="238" t="s">
        <v>5956</v>
      </c>
      <c r="Q1649" s="1" t="s">
        <v>1571</v>
      </c>
      <c r="R1649" s="239" t="s">
        <v>3174</v>
      </c>
      <c r="S1649" s="238" t="s">
        <v>3175</v>
      </c>
      <c r="T1649" s="239" t="s">
        <v>168</v>
      </c>
      <c r="U1649" s="239" t="s">
        <v>168</v>
      </c>
      <c r="AB1649" s="1" t="s">
        <v>1570</v>
      </c>
    </row>
    <row r="1650" spans="1:28">
      <c r="A1650" s="233">
        <v>41366</v>
      </c>
      <c r="B1650" s="1" t="s">
        <v>5992</v>
      </c>
      <c r="C1650" s="1" t="s">
        <v>163</v>
      </c>
      <c r="D1650" s="1" t="s">
        <v>5990</v>
      </c>
      <c r="E1650" s="1">
        <v>3000</v>
      </c>
      <c r="F1650" s="1">
        <v>4</v>
      </c>
      <c r="G1650" s="1" t="s">
        <v>5991</v>
      </c>
      <c r="H1650" s="234">
        <v>55</v>
      </c>
      <c r="I1650" s="235">
        <f t="shared" si="181"/>
        <v>220</v>
      </c>
      <c r="K1650" s="282">
        <v>0</v>
      </c>
      <c r="L1650" s="237">
        <v>41366</v>
      </c>
      <c r="M1650" s="1" t="s">
        <v>6000</v>
      </c>
      <c r="N1650" s="235">
        <f t="shared" si="171"/>
        <v>220</v>
      </c>
      <c r="O1650" s="235">
        <f t="shared" si="182"/>
        <v>0</v>
      </c>
      <c r="P1650" s="238" t="s">
        <v>6001</v>
      </c>
      <c r="Q1650" s="1" t="s">
        <v>1571</v>
      </c>
      <c r="R1650" s="1" t="s">
        <v>6002</v>
      </c>
      <c r="S1650" s="238" t="s">
        <v>6003</v>
      </c>
      <c r="T1650" s="239" t="s">
        <v>6004</v>
      </c>
      <c r="U1650" s="239" t="s">
        <v>168</v>
      </c>
      <c r="V1650" s="238" t="s">
        <v>6005</v>
      </c>
      <c r="W1650" s="236">
        <v>670</v>
      </c>
      <c r="X1650" s="233">
        <v>41366</v>
      </c>
      <c r="Y1650" s="238" t="s">
        <v>5999</v>
      </c>
      <c r="Z1650" s="255" t="s">
        <v>6079</v>
      </c>
      <c r="AB1650" s="1" t="s">
        <v>2079</v>
      </c>
    </row>
    <row r="1651" spans="1:28">
      <c r="A1651" s="233">
        <v>41366</v>
      </c>
      <c r="B1651" s="1" t="s">
        <v>5992</v>
      </c>
      <c r="C1651" s="1" t="s">
        <v>163</v>
      </c>
      <c r="D1651" s="1" t="s">
        <v>5995</v>
      </c>
      <c r="E1651" s="1">
        <v>4515</v>
      </c>
      <c r="F1651" s="1">
        <v>10</v>
      </c>
      <c r="G1651" s="1" t="s">
        <v>5994</v>
      </c>
      <c r="H1651" s="234">
        <v>25</v>
      </c>
      <c r="I1651" s="235">
        <f t="shared" si="181"/>
        <v>250</v>
      </c>
      <c r="K1651" s="250">
        <f>13.2*10</f>
        <v>132</v>
      </c>
      <c r="L1651" s="237">
        <v>41366</v>
      </c>
      <c r="M1651" s="1" t="s">
        <v>6000</v>
      </c>
      <c r="N1651" s="235">
        <f t="shared" si="171"/>
        <v>250</v>
      </c>
      <c r="O1651" s="235">
        <f>I1651-N1651</f>
        <v>0</v>
      </c>
      <c r="P1651" s="238" t="s">
        <v>6001</v>
      </c>
      <c r="Q1651" s="1" t="s">
        <v>1571</v>
      </c>
      <c r="R1651" s="1" t="s">
        <v>6002</v>
      </c>
      <c r="S1651" s="238" t="s">
        <v>6003</v>
      </c>
      <c r="T1651" s="239" t="s">
        <v>6004</v>
      </c>
      <c r="U1651" s="239" t="s">
        <v>168</v>
      </c>
      <c r="V1651" s="238" t="s">
        <v>6005</v>
      </c>
      <c r="W1651" s="236">
        <v>670</v>
      </c>
      <c r="X1651" s="233">
        <v>41366</v>
      </c>
      <c r="Y1651" s="238" t="s">
        <v>5999</v>
      </c>
      <c r="AB1651" s="1" t="s">
        <v>2079</v>
      </c>
    </row>
    <row r="1652" spans="1:28">
      <c r="A1652" s="233">
        <v>41366</v>
      </c>
      <c r="B1652" s="1" t="s">
        <v>5992</v>
      </c>
      <c r="C1652" s="1" t="s">
        <v>163</v>
      </c>
      <c r="D1652" s="1" t="s">
        <v>5997</v>
      </c>
      <c r="E1652" s="1">
        <v>4535</v>
      </c>
      <c r="F1652" s="1">
        <v>2</v>
      </c>
      <c r="G1652" s="1" t="s">
        <v>5994</v>
      </c>
      <c r="H1652" s="234">
        <v>25</v>
      </c>
      <c r="I1652" s="235">
        <f t="shared" si="181"/>
        <v>50</v>
      </c>
      <c r="K1652" s="282">
        <v>0</v>
      </c>
      <c r="L1652" s="237">
        <v>41366</v>
      </c>
      <c r="M1652" s="1" t="s">
        <v>6000</v>
      </c>
      <c r="N1652" s="235">
        <f t="shared" si="171"/>
        <v>50</v>
      </c>
      <c r="O1652" s="235">
        <f t="shared" si="182"/>
        <v>0</v>
      </c>
      <c r="P1652" s="238" t="s">
        <v>6001</v>
      </c>
      <c r="Q1652" s="1" t="s">
        <v>1571</v>
      </c>
      <c r="R1652" s="1" t="s">
        <v>6002</v>
      </c>
      <c r="S1652" s="238" t="s">
        <v>6003</v>
      </c>
      <c r="T1652" s="239" t="s">
        <v>6004</v>
      </c>
      <c r="U1652" s="239" t="s">
        <v>168</v>
      </c>
      <c r="V1652" s="238" t="s">
        <v>6005</v>
      </c>
      <c r="W1652" s="236">
        <v>670</v>
      </c>
      <c r="X1652" s="233">
        <v>41366</v>
      </c>
      <c r="Y1652" s="238" t="s">
        <v>5999</v>
      </c>
      <c r="Z1652" s="255" t="s">
        <v>2573</v>
      </c>
      <c r="AB1652" s="1" t="s">
        <v>2079</v>
      </c>
    </row>
    <row r="1653" spans="1:28">
      <c r="A1653" s="233">
        <v>41366</v>
      </c>
      <c r="B1653" s="1" t="s">
        <v>5992</v>
      </c>
      <c r="C1653" s="1" t="s">
        <v>163</v>
      </c>
      <c r="D1653" s="1" t="s">
        <v>6361</v>
      </c>
      <c r="E1653" s="1">
        <v>4620</v>
      </c>
      <c r="F1653" s="1">
        <v>1</v>
      </c>
      <c r="G1653" s="1" t="s">
        <v>5994</v>
      </c>
      <c r="H1653" s="234">
        <v>25</v>
      </c>
      <c r="I1653" s="235">
        <f t="shared" si="181"/>
        <v>25</v>
      </c>
      <c r="K1653" s="282">
        <v>0</v>
      </c>
      <c r="L1653" s="237">
        <v>41366</v>
      </c>
      <c r="M1653" s="1" t="s">
        <v>6000</v>
      </c>
      <c r="N1653" s="235">
        <f t="shared" si="171"/>
        <v>25</v>
      </c>
      <c r="O1653" s="235">
        <f t="shared" si="182"/>
        <v>0</v>
      </c>
      <c r="P1653" s="238" t="s">
        <v>6001</v>
      </c>
      <c r="Q1653" s="1" t="s">
        <v>1571</v>
      </c>
      <c r="R1653" s="1" t="s">
        <v>6002</v>
      </c>
      <c r="S1653" s="238" t="s">
        <v>6003</v>
      </c>
      <c r="T1653" s="239" t="s">
        <v>6004</v>
      </c>
      <c r="U1653" s="239" t="s">
        <v>168</v>
      </c>
      <c r="V1653" s="238" t="s">
        <v>6005</v>
      </c>
      <c r="W1653" s="236">
        <v>670</v>
      </c>
      <c r="X1653" s="233">
        <v>41366</v>
      </c>
      <c r="Y1653" s="238" t="s">
        <v>5999</v>
      </c>
      <c r="Z1653" s="255" t="s">
        <v>2573</v>
      </c>
      <c r="AB1653" s="1" t="s">
        <v>2079</v>
      </c>
    </row>
    <row r="1654" spans="1:28">
      <c r="A1654" s="233">
        <v>41366</v>
      </c>
      <c r="B1654" s="1" t="s">
        <v>5992</v>
      </c>
      <c r="C1654" s="1" t="s">
        <v>163</v>
      </c>
      <c r="D1654" s="1" t="s">
        <v>5997</v>
      </c>
      <c r="E1654" s="1">
        <v>4510</v>
      </c>
      <c r="F1654" s="1">
        <v>1</v>
      </c>
      <c r="G1654" s="1" t="s">
        <v>5994</v>
      </c>
      <c r="H1654" s="234">
        <v>25</v>
      </c>
      <c r="I1654" s="235">
        <f t="shared" si="181"/>
        <v>25</v>
      </c>
      <c r="K1654" s="282">
        <v>0</v>
      </c>
      <c r="L1654" s="237">
        <v>41366</v>
      </c>
      <c r="M1654" s="1" t="s">
        <v>6000</v>
      </c>
      <c r="N1654" s="235">
        <f t="shared" si="171"/>
        <v>25</v>
      </c>
      <c r="O1654" s="235">
        <f t="shared" si="182"/>
        <v>0</v>
      </c>
      <c r="P1654" s="238" t="s">
        <v>6001</v>
      </c>
      <c r="Q1654" s="1" t="s">
        <v>1571</v>
      </c>
      <c r="R1654" s="1" t="s">
        <v>6002</v>
      </c>
      <c r="S1654" s="238" t="s">
        <v>6003</v>
      </c>
      <c r="T1654" s="239" t="s">
        <v>6004</v>
      </c>
      <c r="U1654" s="239" t="s">
        <v>168</v>
      </c>
      <c r="V1654" s="238" t="s">
        <v>6005</v>
      </c>
      <c r="W1654" s="236">
        <v>670</v>
      </c>
      <c r="X1654" s="233">
        <v>41366</v>
      </c>
      <c r="Y1654" s="238" t="s">
        <v>5999</v>
      </c>
      <c r="Z1654" s="255" t="s">
        <v>2573</v>
      </c>
      <c r="AB1654" s="1" t="s">
        <v>2079</v>
      </c>
    </row>
    <row r="1655" spans="1:28">
      <c r="A1655" s="233">
        <v>41366</v>
      </c>
      <c r="B1655" s="1" t="s">
        <v>5992</v>
      </c>
      <c r="C1655" s="1" t="s">
        <v>163</v>
      </c>
      <c r="D1655" s="1" t="s">
        <v>5998</v>
      </c>
      <c r="E1655" s="1">
        <v>4545</v>
      </c>
      <c r="F1655" s="1">
        <v>3</v>
      </c>
      <c r="G1655" s="1" t="s">
        <v>5994</v>
      </c>
      <c r="H1655" s="234">
        <v>25</v>
      </c>
      <c r="I1655" s="235">
        <f t="shared" si="181"/>
        <v>75</v>
      </c>
      <c r="K1655" s="282">
        <v>0</v>
      </c>
      <c r="L1655" s="237">
        <v>41366</v>
      </c>
      <c r="M1655" s="1" t="s">
        <v>6000</v>
      </c>
      <c r="N1655" s="235">
        <f t="shared" si="171"/>
        <v>75</v>
      </c>
      <c r="O1655" s="235">
        <f t="shared" si="182"/>
        <v>0</v>
      </c>
      <c r="P1655" s="238" t="s">
        <v>6001</v>
      </c>
      <c r="Q1655" s="1" t="s">
        <v>1571</v>
      </c>
      <c r="R1655" s="1" t="s">
        <v>6002</v>
      </c>
      <c r="S1655" s="238" t="s">
        <v>6003</v>
      </c>
      <c r="T1655" s="239" t="s">
        <v>6004</v>
      </c>
      <c r="U1655" s="239" t="s">
        <v>168</v>
      </c>
      <c r="V1655" s="238" t="s">
        <v>6005</v>
      </c>
      <c r="W1655" s="236">
        <v>670</v>
      </c>
      <c r="X1655" s="233">
        <v>41366</v>
      </c>
      <c r="Y1655" s="238" t="s">
        <v>5999</v>
      </c>
      <c r="Z1655" s="255" t="s">
        <v>2573</v>
      </c>
      <c r="AB1655" s="1" t="s">
        <v>2079</v>
      </c>
    </row>
    <row r="1656" spans="1:28">
      <c r="A1656" s="233">
        <v>41366</v>
      </c>
      <c r="B1656" s="1" t="s">
        <v>5992</v>
      </c>
      <c r="C1656" s="1" t="s">
        <v>163</v>
      </c>
      <c r="D1656" s="1" t="s">
        <v>5997</v>
      </c>
      <c r="E1656" s="1" t="s">
        <v>5999</v>
      </c>
      <c r="F1656" s="1">
        <v>1</v>
      </c>
      <c r="G1656" s="1" t="s">
        <v>5994</v>
      </c>
      <c r="H1656" s="234">
        <v>25</v>
      </c>
      <c r="I1656" s="235">
        <f t="shared" si="181"/>
        <v>25</v>
      </c>
      <c r="K1656" s="282">
        <v>0</v>
      </c>
      <c r="L1656" s="237">
        <v>41366</v>
      </c>
      <c r="M1656" s="1" t="s">
        <v>6000</v>
      </c>
      <c r="N1656" s="235">
        <f t="shared" si="171"/>
        <v>25</v>
      </c>
      <c r="O1656" s="235">
        <f t="shared" si="182"/>
        <v>0</v>
      </c>
      <c r="P1656" s="238" t="s">
        <v>6001</v>
      </c>
      <c r="Q1656" s="1" t="s">
        <v>1571</v>
      </c>
      <c r="R1656" s="1" t="s">
        <v>6002</v>
      </c>
      <c r="S1656" s="238" t="s">
        <v>6003</v>
      </c>
      <c r="T1656" s="239" t="s">
        <v>6004</v>
      </c>
      <c r="U1656" s="239" t="s">
        <v>168</v>
      </c>
      <c r="V1656" s="238" t="s">
        <v>6005</v>
      </c>
      <c r="W1656" s="236">
        <v>670</v>
      </c>
      <c r="X1656" s="233">
        <v>41366</v>
      </c>
      <c r="Y1656" s="238" t="s">
        <v>5999</v>
      </c>
      <c r="Z1656" s="255" t="s">
        <v>2573</v>
      </c>
      <c r="AB1656" s="1" t="s">
        <v>2079</v>
      </c>
    </row>
    <row r="1657" spans="1:28">
      <c r="A1657" s="233">
        <v>41366</v>
      </c>
      <c r="B1657" s="5" t="s">
        <v>2121</v>
      </c>
      <c r="C1657" s="1" t="s">
        <v>163</v>
      </c>
      <c r="D1657" s="1" t="s">
        <v>1720</v>
      </c>
      <c r="E1657" s="1">
        <v>8210</v>
      </c>
      <c r="F1657" s="1">
        <v>380</v>
      </c>
      <c r="G1657" s="1" t="s">
        <v>171</v>
      </c>
      <c r="H1657" s="234">
        <v>4.6500000000000004</v>
      </c>
      <c r="I1657" s="235">
        <f t="shared" si="181"/>
        <v>1767.0000000000002</v>
      </c>
      <c r="K1657" s="250">
        <f>3.78*380</f>
        <v>1436.3999999999999</v>
      </c>
      <c r="N1657" s="235">
        <v>0</v>
      </c>
      <c r="O1657" s="235">
        <f t="shared" si="182"/>
        <v>1767.0000000000002</v>
      </c>
      <c r="P1657" s="238" t="s">
        <v>5958</v>
      </c>
      <c r="Q1657" s="1" t="s">
        <v>3722</v>
      </c>
      <c r="R1657" s="247" t="s">
        <v>2493</v>
      </c>
      <c r="S1657" s="246" t="s">
        <v>2119</v>
      </c>
      <c r="T1657" s="246" t="s">
        <v>3723</v>
      </c>
      <c r="U1657" s="238" t="s">
        <v>6037</v>
      </c>
      <c r="V1657" s="238" t="s">
        <v>176</v>
      </c>
      <c r="AB1657" s="1" t="s">
        <v>1570</v>
      </c>
    </row>
    <row r="1658" spans="1:28">
      <c r="A1658" s="233">
        <v>41366</v>
      </c>
      <c r="B1658" s="1" t="s">
        <v>3372</v>
      </c>
      <c r="C1658" s="1" t="s">
        <v>163</v>
      </c>
      <c r="D1658" s="1" t="s">
        <v>2038</v>
      </c>
      <c r="E1658" s="1" t="s">
        <v>5962</v>
      </c>
      <c r="F1658" s="1">
        <v>50</v>
      </c>
      <c r="G1658" s="1" t="s">
        <v>5955</v>
      </c>
      <c r="H1658" s="234">
        <v>4.5</v>
      </c>
      <c r="I1658" s="235">
        <f t="shared" ref="I1658:I1674" si="183">F1658*H1658</f>
        <v>225</v>
      </c>
      <c r="K1658" s="250">
        <f>4.08*50</f>
        <v>204</v>
      </c>
      <c r="N1658" s="235">
        <v>0</v>
      </c>
      <c r="O1658" s="235">
        <f t="shared" si="182"/>
        <v>225</v>
      </c>
      <c r="P1658" s="238" t="s">
        <v>5963</v>
      </c>
      <c r="Q1658" s="1" t="s">
        <v>3373</v>
      </c>
      <c r="R1658" s="10" t="s">
        <v>3374</v>
      </c>
      <c r="S1658" s="238">
        <v>13896055976</v>
      </c>
      <c r="T1658" s="238" t="s">
        <v>3375</v>
      </c>
      <c r="U1658" s="238" t="s">
        <v>6041</v>
      </c>
      <c r="AB1658" s="1" t="s">
        <v>1570</v>
      </c>
    </row>
    <row r="1659" spans="1:28">
      <c r="A1659" s="233">
        <v>41366</v>
      </c>
      <c r="B1659" s="1" t="s">
        <v>4369</v>
      </c>
      <c r="C1659" s="1" t="s">
        <v>163</v>
      </c>
      <c r="D1659" s="1" t="s">
        <v>241</v>
      </c>
      <c r="E1659" s="1">
        <v>6200</v>
      </c>
      <c r="F1659" s="1">
        <v>20</v>
      </c>
      <c r="G1659" s="1" t="s">
        <v>5955</v>
      </c>
      <c r="H1659" s="234">
        <v>47.5</v>
      </c>
      <c r="I1659" s="235">
        <f t="shared" si="183"/>
        <v>950</v>
      </c>
      <c r="K1659" s="250">
        <f>44.5*20</f>
        <v>890</v>
      </c>
      <c r="L1659" s="237">
        <v>41382</v>
      </c>
      <c r="M1659" s="1" t="s">
        <v>166</v>
      </c>
      <c r="N1659" s="235">
        <f t="shared" ref="N1659:N1660" si="184">I1659</f>
        <v>950</v>
      </c>
      <c r="O1659" s="235">
        <f t="shared" si="182"/>
        <v>0</v>
      </c>
      <c r="P1659" s="238" t="s">
        <v>5964</v>
      </c>
      <c r="Q1659" s="1" t="s">
        <v>5416</v>
      </c>
      <c r="R1659" s="239" t="s">
        <v>4372</v>
      </c>
      <c r="S1659" s="238" t="s">
        <v>4373</v>
      </c>
      <c r="T1659" s="238" t="s">
        <v>2256</v>
      </c>
      <c r="U1659" s="238" t="s">
        <v>6040</v>
      </c>
      <c r="AB1659" s="1" t="s">
        <v>1570</v>
      </c>
    </row>
    <row r="1660" spans="1:28">
      <c r="A1660" s="233">
        <v>41366</v>
      </c>
      <c r="B1660" s="1" t="s">
        <v>4369</v>
      </c>
      <c r="C1660" s="1" t="s">
        <v>163</v>
      </c>
      <c r="D1660" s="343" t="s">
        <v>183</v>
      </c>
      <c r="E1660" s="343" t="s">
        <v>1874</v>
      </c>
      <c r="F1660" s="1">
        <v>60</v>
      </c>
      <c r="G1660" s="1" t="s">
        <v>172</v>
      </c>
      <c r="H1660" s="234">
        <v>10.039999999999999</v>
      </c>
      <c r="I1660" s="235">
        <f t="shared" si="183"/>
        <v>602.4</v>
      </c>
      <c r="K1660" s="250">
        <f>9.25*60</f>
        <v>555</v>
      </c>
      <c r="L1660" s="237">
        <v>41382</v>
      </c>
      <c r="M1660" s="1" t="s">
        <v>166</v>
      </c>
      <c r="N1660" s="235">
        <f t="shared" si="184"/>
        <v>602.4</v>
      </c>
      <c r="O1660" s="235">
        <f t="shared" si="182"/>
        <v>0</v>
      </c>
      <c r="P1660" s="238" t="s">
        <v>5964</v>
      </c>
      <c r="Q1660" s="1" t="s">
        <v>5416</v>
      </c>
      <c r="R1660" s="239" t="s">
        <v>4372</v>
      </c>
      <c r="S1660" s="238" t="s">
        <v>4373</v>
      </c>
      <c r="T1660" s="238" t="s">
        <v>2256</v>
      </c>
      <c r="U1660" s="238" t="s">
        <v>6040</v>
      </c>
      <c r="AB1660" s="1" t="s">
        <v>1570</v>
      </c>
    </row>
    <row r="1661" spans="1:28">
      <c r="A1661" s="233">
        <v>41366</v>
      </c>
      <c r="B1661" s="228" t="s">
        <v>5965</v>
      </c>
      <c r="C1661" s="1" t="s">
        <v>163</v>
      </c>
      <c r="D1661" s="5" t="s">
        <v>51</v>
      </c>
      <c r="E1661" s="1">
        <v>9032</v>
      </c>
      <c r="F1661" s="1">
        <v>500</v>
      </c>
      <c r="G1661" s="1" t="s">
        <v>171</v>
      </c>
      <c r="H1661" s="234">
        <v>2.1</v>
      </c>
      <c r="I1661" s="235">
        <f t="shared" si="183"/>
        <v>1050</v>
      </c>
      <c r="K1661" s="250">
        <f>1.4929*500</f>
        <v>746.44999999999993</v>
      </c>
      <c r="L1661" s="237">
        <v>41365</v>
      </c>
      <c r="M1661" s="1" t="s">
        <v>167</v>
      </c>
      <c r="N1661" s="235">
        <f t="shared" si="171"/>
        <v>1050</v>
      </c>
      <c r="O1661" s="235">
        <f t="shared" ref="O1661:O1701" si="185">I1661-N1661</f>
        <v>0</v>
      </c>
      <c r="P1661" s="238" t="s">
        <v>5984</v>
      </c>
      <c r="Q1661" s="1" t="s">
        <v>6038</v>
      </c>
      <c r="R1661" s="239" t="s">
        <v>5966</v>
      </c>
      <c r="S1661" s="238" t="s">
        <v>5967</v>
      </c>
      <c r="T1661" s="238" t="s">
        <v>6013</v>
      </c>
      <c r="U1661" s="238" t="s">
        <v>6039</v>
      </c>
      <c r="AB1661" s="1" t="s">
        <v>5968</v>
      </c>
    </row>
    <row r="1662" spans="1:28">
      <c r="A1662" s="233">
        <v>41366</v>
      </c>
      <c r="B1662" s="1" t="s">
        <v>5969</v>
      </c>
      <c r="C1662" s="1" t="s">
        <v>163</v>
      </c>
      <c r="D1662" s="5" t="s">
        <v>51</v>
      </c>
      <c r="E1662" s="1">
        <v>9032</v>
      </c>
      <c r="F1662" s="1">
        <v>1000</v>
      </c>
      <c r="G1662" s="1" t="s">
        <v>171</v>
      </c>
      <c r="H1662" s="234">
        <v>2.1</v>
      </c>
      <c r="I1662" s="235">
        <f t="shared" si="183"/>
        <v>2100</v>
      </c>
      <c r="K1662" s="250">
        <f>1.4929*1000</f>
        <v>1492.8999999999999</v>
      </c>
      <c r="L1662" s="237">
        <v>41365</v>
      </c>
      <c r="M1662" s="1" t="s">
        <v>700</v>
      </c>
      <c r="N1662" s="235">
        <f t="shared" si="171"/>
        <v>2100</v>
      </c>
      <c r="O1662" s="235">
        <f t="shared" si="185"/>
        <v>0</v>
      </c>
      <c r="P1662" s="238" t="s">
        <v>5971</v>
      </c>
      <c r="Q1662" s="1" t="s">
        <v>728</v>
      </c>
      <c r="R1662" s="239" t="s">
        <v>5972</v>
      </c>
      <c r="S1662" s="238" t="s">
        <v>5973</v>
      </c>
      <c r="T1662" s="238" t="s">
        <v>5974</v>
      </c>
      <c r="U1662" s="238" t="s">
        <v>6017</v>
      </c>
      <c r="V1662" s="238" t="s">
        <v>5952</v>
      </c>
      <c r="AB1662" s="1" t="s">
        <v>5968</v>
      </c>
    </row>
    <row r="1663" spans="1:28">
      <c r="A1663" s="233">
        <v>41366</v>
      </c>
      <c r="B1663" s="1" t="s">
        <v>5969</v>
      </c>
      <c r="C1663" s="1" t="s">
        <v>163</v>
      </c>
      <c r="D1663" s="1" t="s">
        <v>5803</v>
      </c>
      <c r="E1663" s="1" t="s">
        <v>5970</v>
      </c>
      <c r="F1663" s="1">
        <v>1</v>
      </c>
      <c r="G1663" s="1" t="s">
        <v>193</v>
      </c>
      <c r="H1663" s="234">
        <v>40</v>
      </c>
      <c r="I1663" s="235">
        <f t="shared" si="183"/>
        <v>40</v>
      </c>
      <c r="K1663" s="250">
        <f>33.111*1</f>
        <v>33.110999999999997</v>
      </c>
      <c r="L1663" s="237">
        <v>41365</v>
      </c>
      <c r="M1663" s="1" t="s">
        <v>700</v>
      </c>
      <c r="N1663" s="235">
        <f t="shared" ref="N1663" si="186">I1663</f>
        <v>40</v>
      </c>
      <c r="O1663" s="235">
        <f t="shared" si="185"/>
        <v>0</v>
      </c>
      <c r="P1663" s="238" t="s">
        <v>5971</v>
      </c>
      <c r="Q1663" s="1" t="s">
        <v>728</v>
      </c>
      <c r="R1663" s="239" t="s">
        <v>5972</v>
      </c>
      <c r="S1663" s="238" t="s">
        <v>5973</v>
      </c>
      <c r="T1663" s="238" t="s">
        <v>5974</v>
      </c>
      <c r="U1663" s="238" t="s">
        <v>6017</v>
      </c>
      <c r="V1663" s="238" t="s">
        <v>5952</v>
      </c>
      <c r="AB1663" s="1" t="s">
        <v>5968</v>
      </c>
    </row>
    <row r="1664" spans="1:28">
      <c r="A1664" s="233">
        <v>41366</v>
      </c>
      <c r="B1664" s="1" t="s">
        <v>5795</v>
      </c>
      <c r="C1664" s="1" t="s">
        <v>163</v>
      </c>
      <c r="D1664" s="5" t="s">
        <v>51</v>
      </c>
      <c r="E1664" s="1">
        <v>9032</v>
      </c>
      <c r="F1664" s="1">
        <v>1000</v>
      </c>
      <c r="G1664" s="1" t="s">
        <v>171</v>
      </c>
      <c r="H1664" s="234">
        <v>1.65</v>
      </c>
      <c r="I1664" s="235">
        <f t="shared" si="183"/>
        <v>1650</v>
      </c>
      <c r="K1664" s="250">
        <f>1.4929*1000</f>
        <v>1492.8999999999999</v>
      </c>
      <c r="N1664" s="235">
        <v>0</v>
      </c>
      <c r="O1664" s="235">
        <f t="shared" si="185"/>
        <v>1650</v>
      </c>
      <c r="P1664" s="238" t="s">
        <v>5988</v>
      </c>
      <c r="Q1664" s="1" t="s">
        <v>2529</v>
      </c>
      <c r="R1664" s="239" t="s">
        <v>5799</v>
      </c>
      <c r="S1664" s="238" t="s">
        <v>5798</v>
      </c>
      <c r="T1664" s="238" t="s">
        <v>6395</v>
      </c>
      <c r="U1664" s="238" t="s">
        <v>168</v>
      </c>
      <c r="V1664" s="238" t="s">
        <v>6393</v>
      </c>
      <c r="W1664" s="236">
        <v>16160</v>
      </c>
      <c r="X1664" s="233">
        <v>41381</v>
      </c>
      <c r="Y1664" s="238" t="s">
        <v>6394</v>
      </c>
      <c r="AB1664" s="1" t="s">
        <v>2079</v>
      </c>
    </row>
    <row r="1665" spans="1:28">
      <c r="A1665" s="233">
        <v>41366</v>
      </c>
      <c r="B1665" s="1" t="s">
        <v>5795</v>
      </c>
      <c r="C1665" s="1" t="s">
        <v>163</v>
      </c>
      <c r="D1665" s="1" t="s">
        <v>5803</v>
      </c>
      <c r="E1665" s="1" t="s">
        <v>5970</v>
      </c>
      <c r="F1665" s="1">
        <v>10</v>
      </c>
      <c r="G1665" s="1" t="s">
        <v>5982</v>
      </c>
      <c r="H1665" s="234">
        <v>40</v>
      </c>
      <c r="I1665" s="235">
        <f t="shared" si="183"/>
        <v>400</v>
      </c>
      <c r="K1665" s="250">
        <f>33.111*10</f>
        <v>331.10999999999996</v>
      </c>
      <c r="N1665" s="235">
        <v>0</v>
      </c>
      <c r="O1665" s="235">
        <f t="shared" si="185"/>
        <v>400</v>
      </c>
      <c r="P1665" s="238" t="s">
        <v>5988</v>
      </c>
      <c r="Q1665" s="1" t="s">
        <v>2529</v>
      </c>
      <c r="R1665" s="239" t="s">
        <v>5799</v>
      </c>
      <c r="S1665" s="238" t="s">
        <v>5798</v>
      </c>
      <c r="T1665" s="238" t="s">
        <v>6395</v>
      </c>
      <c r="U1665" s="238" t="s">
        <v>168</v>
      </c>
      <c r="V1665" s="238" t="s">
        <v>6393</v>
      </c>
      <c r="W1665" s="236">
        <v>16160</v>
      </c>
      <c r="X1665" s="233">
        <v>41381</v>
      </c>
      <c r="Y1665" s="238" t="s">
        <v>6394</v>
      </c>
      <c r="AB1665" s="1" t="s">
        <v>2079</v>
      </c>
    </row>
    <row r="1666" spans="1:28">
      <c r="A1666" s="233">
        <v>41366</v>
      </c>
      <c r="B1666" s="1" t="s">
        <v>5795</v>
      </c>
      <c r="C1666" s="1" t="s">
        <v>163</v>
      </c>
      <c r="D1666" s="343" t="s">
        <v>5901</v>
      </c>
      <c r="E1666" s="343" t="s">
        <v>5900</v>
      </c>
      <c r="F1666" s="1">
        <v>7000</v>
      </c>
      <c r="G1666" s="1" t="s">
        <v>5960</v>
      </c>
      <c r="H1666" s="234">
        <v>0.65</v>
      </c>
      <c r="I1666" s="235">
        <f t="shared" si="183"/>
        <v>4550</v>
      </c>
      <c r="K1666" s="250">
        <f>0.5*7000</f>
        <v>3500</v>
      </c>
      <c r="N1666" s="235">
        <v>0</v>
      </c>
      <c r="O1666" s="235">
        <f t="shared" si="185"/>
        <v>4550</v>
      </c>
      <c r="P1666" s="238" t="s">
        <v>5988</v>
      </c>
      <c r="Q1666" s="1" t="s">
        <v>2529</v>
      </c>
      <c r="R1666" s="239" t="s">
        <v>5799</v>
      </c>
      <c r="S1666" s="238" t="s">
        <v>5798</v>
      </c>
      <c r="T1666" s="238" t="s">
        <v>6395</v>
      </c>
      <c r="U1666" s="238" t="s">
        <v>168</v>
      </c>
      <c r="V1666" s="238" t="s">
        <v>6393</v>
      </c>
      <c r="W1666" s="236">
        <v>16160</v>
      </c>
      <c r="X1666" s="233">
        <v>41381</v>
      </c>
      <c r="Y1666" s="238" t="s">
        <v>6394</v>
      </c>
      <c r="AB1666" s="1" t="s">
        <v>2079</v>
      </c>
    </row>
    <row r="1667" spans="1:28">
      <c r="A1667" s="233">
        <v>41366</v>
      </c>
      <c r="B1667" s="1" t="s">
        <v>5795</v>
      </c>
      <c r="C1667" s="1" t="s">
        <v>163</v>
      </c>
      <c r="D1667" s="1" t="s">
        <v>5985</v>
      </c>
      <c r="E1667" s="1" t="s">
        <v>5942</v>
      </c>
      <c r="F1667" s="1">
        <v>100</v>
      </c>
      <c r="G1667" s="1" t="s">
        <v>5987</v>
      </c>
      <c r="H1667" s="234">
        <v>5</v>
      </c>
      <c r="I1667" s="235">
        <f t="shared" si="183"/>
        <v>500</v>
      </c>
      <c r="K1667" s="250">
        <f>2*100</f>
        <v>200</v>
      </c>
      <c r="N1667" s="235">
        <v>0</v>
      </c>
      <c r="O1667" s="235">
        <f t="shared" si="185"/>
        <v>500</v>
      </c>
      <c r="P1667" s="238" t="s">
        <v>5988</v>
      </c>
      <c r="Q1667" s="1" t="s">
        <v>2529</v>
      </c>
      <c r="R1667" s="239" t="s">
        <v>5799</v>
      </c>
      <c r="S1667" s="238" t="s">
        <v>5798</v>
      </c>
      <c r="T1667" s="238" t="s">
        <v>6395</v>
      </c>
      <c r="U1667" s="238" t="s">
        <v>168</v>
      </c>
      <c r="V1667" s="238" t="s">
        <v>6393</v>
      </c>
      <c r="W1667" s="236">
        <v>16160</v>
      </c>
      <c r="X1667" s="233">
        <v>41381</v>
      </c>
      <c r="Y1667" s="238" t="s">
        <v>6394</v>
      </c>
      <c r="AB1667" s="1" t="s">
        <v>2079</v>
      </c>
    </row>
    <row r="1668" spans="1:28">
      <c r="A1668" s="233">
        <v>41366</v>
      </c>
      <c r="B1668" s="1" t="s">
        <v>5795</v>
      </c>
      <c r="C1668" s="1" t="s">
        <v>163</v>
      </c>
      <c r="D1668" s="1" t="s">
        <v>5986</v>
      </c>
      <c r="E1668" s="1" t="s">
        <v>5942</v>
      </c>
      <c r="F1668" s="1">
        <v>90</v>
      </c>
      <c r="G1668" s="1" t="s">
        <v>5960</v>
      </c>
      <c r="H1668" s="234">
        <v>3</v>
      </c>
      <c r="I1668" s="235">
        <f t="shared" si="183"/>
        <v>270</v>
      </c>
      <c r="K1668" s="250">
        <f>2*90</f>
        <v>180</v>
      </c>
      <c r="N1668" s="235">
        <v>0</v>
      </c>
      <c r="O1668" s="235">
        <f t="shared" si="185"/>
        <v>270</v>
      </c>
      <c r="P1668" s="238" t="s">
        <v>5988</v>
      </c>
      <c r="Q1668" s="1" t="s">
        <v>2529</v>
      </c>
      <c r="R1668" s="239" t="s">
        <v>5799</v>
      </c>
      <c r="S1668" s="238" t="s">
        <v>5798</v>
      </c>
      <c r="T1668" s="238" t="s">
        <v>6395</v>
      </c>
      <c r="U1668" s="238" t="s">
        <v>168</v>
      </c>
      <c r="V1668" s="238" t="s">
        <v>6393</v>
      </c>
      <c r="W1668" s="236">
        <v>16160</v>
      </c>
      <c r="X1668" s="233">
        <v>41381</v>
      </c>
      <c r="Y1668" s="238" t="s">
        <v>6394</v>
      </c>
      <c r="AB1668" s="1" t="s">
        <v>2079</v>
      </c>
    </row>
    <row r="1669" spans="1:28">
      <c r="A1669" s="233">
        <v>41366</v>
      </c>
      <c r="B1669" s="136" t="s">
        <v>4091</v>
      </c>
      <c r="C1669" s="1" t="s">
        <v>163</v>
      </c>
      <c r="D1669" s="5" t="s">
        <v>2029</v>
      </c>
      <c r="E1669" s="1">
        <v>7502</v>
      </c>
      <c r="F1669" s="1">
        <v>5</v>
      </c>
      <c r="G1669" s="1" t="s">
        <v>171</v>
      </c>
      <c r="H1669" s="234">
        <v>182</v>
      </c>
      <c r="I1669" s="235">
        <f t="shared" si="183"/>
        <v>910</v>
      </c>
      <c r="K1669" s="250">
        <f>121.16*5</f>
        <v>605.79999999999995</v>
      </c>
      <c r="N1669" s="235">
        <v>0</v>
      </c>
      <c r="O1669" s="235">
        <f t="shared" si="185"/>
        <v>910</v>
      </c>
      <c r="P1669" s="238" t="s">
        <v>5876</v>
      </c>
      <c r="Q1669" s="1" t="s">
        <v>6015</v>
      </c>
      <c r="R1669" s="239" t="s">
        <v>4618</v>
      </c>
      <c r="S1669" s="238" t="s">
        <v>4619</v>
      </c>
      <c r="T1669" s="238" t="s">
        <v>4225</v>
      </c>
      <c r="U1669" s="238" t="s">
        <v>6016</v>
      </c>
      <c r="V1669" s="238" t="s">
        <v>6014</v>
      </c>
      <c r="W1669" s="236">
        <v>13860</v>
      </c>
      <c r="X1669" s="233">
        <v>41366</v>
      </c>
      <c r="Y1669" s="238" t="s">
        <v>6016</v>
      </c>
      <c r="AB1669" s="1" t="s">
        <v>2079</v>
      </c>
    </row>
    <row r="1670" spans="1:28">
      <c r="A1670" s="233">
        <v>41366</v>
      </c>
      <c r="B1670" s="1" t="s">
        <v>4859</v>
      </c>
      <c r="C1670" s="5" t="s">
        <v>163</v>
      </c>
      <c r="D1670" s="1" t="s">
        <v>5691</v>
      </c>
      <c r="E1670" s="1" t="s">
        <v>6021</v>
      </c>
      <c r="F1670" s="1">
        <v>1</v>
      </c>
      <c r="G1670" s="1" t="s">
        <v>6023</v>
      </c>
      <c r="H1670" s="234">
        <v>411</v>
      </c>
      <c r="I1670" s="235">
        <f t="shared" si="183"/>
        <v>411</v>
      </c>
      <c r="K1670" s="250">
        <f>275.4*1</f>
        <v>275.39999999999998</v>
      </c>
      <c r="N1670" s="235">
        <v>0</v>
      </c>
      <c r="O1670" s="235">
        <f t="shared" si="185"/>
        <v>411</v>
      </c>
      <c r="P1670" s="238" t="s">
        <v>6025</v>
      </c>
      <c r="Q1670" s="1" t="s">
        <v>3564</v>
      </c>
      <c r="R1670" s="239" t="s">
        <v>168</v>
      </c>
      <c r="S1670" s="238" t="s">
        <v>168</v>
      </c>
      <c r="T1670" s="238" t="s">
        <v>4862</v>
      </c>
      <c r="U1670" s="238" t="s">
        <v>6027</v>
      </c>
      <c r="V1670" s="238" t="s">
        <v>6026</v>
      </c>
      <c r="W1670" s="236">
        <v>841</v>
      </c>
      <c r="X1670" s="233">
        <v>41366</v>
      </c>
      <c r="Y1670" s="238" t="s">
        <v>6027</v>
      </c>
      <c r="AB1670" s="5" t="s">
        <v>2079</v>
      </c>
    </row>
    <row r="1671" spans="1:28">
      <c r="A1671" s="233">
        <v>41366</v>
      </c>
      <c r="B1671" s="1" t="s">
        <v>4859</v>
      </c>
      <c r="C1671" s="5" t="s">
        <v>163</v>
      </c>
      <c r="D1671" s="1" t="s">
        <v>5713</v>
      </c>
      <c r="E1671" s="1" t="s">
        <v>6022</v>
      </c>
      <c r="F1671" s="1">
        <v>500</v>
      </c>
      <c r="G1671" s="1" t="s">
        <v>6024</v>
      </c>
      <c r="H1671" s="234">
        <v>0.86</v>
      </c>
      <c r="I1671" s="235">
        <f t="shared" si="183"/>
        <v>430</v>
      </c>
      <c r="K1671" s="250">
        <f>0.54*500</f>
        <v>270</v>
      </c>
      <c r="N1671" s="235">
        <v>0</v>
      </c>
      <c r="O1671" s="235">
        <f t="shared" si="185"/>
        <v>430</v>
      </c>
      <c r="P1671" s="238" t="s">
        <v>6025</v>
      </c>
      <c r="Q1671" s="1" t="s">
        <v>3564</v>
      </c>
      <c r="R1671" s="239" t="s">
        <v>168</v>
      </c>
      <c r="S1671" s="238" t="s">
        <v>168</v>
      </c>
      <c r="T1671" s="238" t="s">
        <v>4862</v>
      </c>
      <c r="U1671" s="238" t="s">
        <v>6027</v>
      </c>
      <c r="V1671" s="238" t="s">
        <v>6026</v>
      </c>
      <c r="W1671" s="236">
        <v>841</v>
      </c>
      <c r="X1671" s="233">
        <v>41366</v>
      </c>
      <c r="Y1671" s="238" t="s">
        <v>6027</v>
      </c>
      <c r="AB1671" s="5" t="s">
        <v>2079</v>
      </c>
    </row>
    <row r="1672" spans="1:28">
      <c r="A1672" s="233">
        <v>41366</v>
      </c>
      <c r="B1672" s="1" t="s">
        <v>3685</v>
      </c>
      <c r="C1672" s="1" t="s">
        <v>163</v>
      </c>
      <c r="D1672" s="344" t="s">
        <v>1914</v>
      </c>
      <c r="E1672" s="1">
        <v>52000183617</v>
      </c>
      <c r="F1672" s="1">
        <v>5</v>
      </c>
      <c r="G1672" s="1" t="s">
        <v>171</v>
      </c>
      <c r="H1672" s="234">
        <v>950</v>
      </c>
      <c r="I1672" s="235">
        <f t="shared" si="183"/>
        <v>4750</v>
      </c>
      <c r="K1672" s="250">
        <f>870*5</f>
        <v>4350</v>
      </c>
      <c r="L1672" s="237">
        <v>41375</v>
      </c>
      <c r="M1672" s="1" t="s">
        <v>167</v>
      </c>
      <c r="N1672" s="235">
        <f>I1672</f>
        <v>4750</v>
      </c>
      <c r="O1672" s="235">
        <f t="shared" si="185"/>
        <v>0</v>
      </c>
      <c r="P1672" s="238" t="s">
        <v>6034</v>
      </c>
      <c r="Q1672" s="5" t="s">
        <v>2529</v>
      </c>
      <c r="R1672" s="247" t="s">
        <v>3687</v>
      </c>
      <c r="S1672" s="246" t="s">
        <v>3688</v>
      </c>
      <c r="T1672" s="246" t="s">
        <v>3689</v>
      </c>
      <c r="U1672" s="238" t="s">
        <v>5999</v>
      </c>
      <c r="V1672" s="238" t="s">
        <v>6042</v>
      </c>
      <c r="W1672" s="236">
        <v>5621.5</v>
      </c>
      <c r="X1672" s="233">
        <v>41366</v>
      </c>
      <c r="Y1672" s="238" t="s">
        <v>5999</v>
      </c>
      <c r="AB1672" s="1" t="s">
        <v>1570</v>
      </c>
    </row>
    <row r="1673" spans="1:28">
      <c r="A1673" s="233">
        <v>41366</v>
      </c>
      <c r="B1673" s="1" t="s">
        <v>3685</v>
      </c>
      <c r="C1673" s="1" t="s">
        <v>163</v>
      </c>
      <c r="D1673" s="344" t="s">
        <v>1958</v>
      </c>
      <c r="E1673" s="344">
        <v>52000183617</v>
      </c>
      <c r="F1673" s="344">
        <v>50</v>
      </c>
      <c r="G1673" s="344" t="s">
        <v>172</v>
      </c>
      <c r="H1673" s="234">
        <v>17.43</v>
      </c>
      <c r="I1673" s="235">
        <f t="shared" si="183"/>
        <v>871.5</v>
      </c>
      <c r="K1673" s="250">
        <f>16.6*50</f>
        <v>830.00000000000011</v>
      </c>
      <c r="L1673" s="237">
        <v>41375</v>
      </c>
      <c r="M1673" s="1" t="s">
        <v>167</v>
      </c>
      <c r="N1673" s="235">
        <f>I1673</f>
        <v>871.5</v>
      </c>
      <c r="O1673" s="235">
        <f t="shared" si="185"/>
        <v>0</v>
      </c>
      <c r="P1673" s="238" t="s">
        <v>6034</v>
      </c>
      <c r="Q1673" s="5" t="s">
        <v>2529</v>
      </c>
      <c r="R1673" s="247" t="s">
        <v>3687</v>
      </c>
      <c r="S1673" s="246" t="s">
        <v>3688</v>
      </c>
      <c r="T1673" s="246" t="s">
        <v>3689</v>
      </c>
      <c r="U1673" s="238" t="s">
        <v>5999</v>
      </c>
      <c r="V1673" s="238" t="s">
        <v>6042</v>
      </c>
      <c r="W1673" s="236">
        <v>5621.5</v>
      </c>
      <c r="X1673" s="233">
        <v>41366</v>
      </c>
      <c r="Y1673" s="238" t="s">
        <v>5999</v>
      </c>
      <c r="AB1673" s="1" t="s">
        <v>1570</v>
      </c>
    </row>
    <row r="1674" spans="1:28">
      <c r="A1674" s="233">
        <v>41366</v>
      </c>
      <c r="B1674" s="1" t="s">
        <v>2191</v>
      </c>
      <c r="C1674" s="1" t="s">
        <v>163</v>
      </c>
      <c r="D1674" s="344" t="s">
        <v>1904</v>
      </c>
      <c r="E1674" s="1" t="s">
        <v>6035</v>
      </c>
      <c r="F1674" s="1">
        <v>10</v>
      </c>
      <c r="G1674" s="1" t="s">
        <v>193</v>
      </c>
      <c r="H1674" s="234">
        <v>113</v>
      </c>
      <c r="I1674" s="235">
        <f t="shared" si="183"/>
        <v>1130</v>
      </c>
      <c r="K1674" s="250">
        <f>107.64*10</f>
        <v>1076.4000000000001</v>
      </c>
      <c r="L1674" s="237">
        <v>41380</v>
      </c>
      <c r="M1674" s="1" t="s">
        <v>700</v>
      </c>
      <c r="N1674" s="235">
        <f t="shared" ref="N1674:N1675" si="187">I1674</f>
        <v>1130</v>
      </c>
      <c r="O1674" s="235">
        <f t="shared" si="185"/>
        <v>0</v>
      </c>
      <c r="P1674" s="238" t="s">
        <v>6036</v>
      </c>
      <c r="Q1674" s="1" t="s">
        <v>2529</v>
      </c>
      <c r="R1674" s="239" t="s">
        <v>2193</v>
      </c>
      <c r="S1674" s="238" t="s">
        <v>2194</v>
      </c>
      <c r="T1674" s="238" t="s">
        <v>3562</v>
      </c>
      <c r="U1674" s="238" t="s">
        <v>168</v>
      </c>
      <c r="V1674" s="246" t="s">
        <v>176</v>
      </c>
      <c r="W1674" s="236" t="s">
        <v>168</v>
      </c>
      <c r="X1674" s="233" t="s">
        <v>168</v>
      </c>
      <c r="Y1674" s="238" t="s">
        <v>168</v>
      </c>
      <c r="AB1674" s="5" t="s">
        <v>1570</v>
      </c>
    </row>
    <row r="1675" spans="1:28">
      <c r="A1675" s="233">
        <v>41367</v>
      </c>
      <c r="B1675" s="1" t="s">
        <v>4140</v>
      </c>
      <c r="C1675" s="1" t="s">
        <v>163</v>
      </c>
      <c r="D1675" s="1" t="s">
        <v>274</v>
      </c>
      <c r="E1675" s="1" t="s">
        <v>6047</v>
      </c>
      <c r="F1675" s="1">
        <v>10</v>
      </c>
      <c r="G1675" s="1" t="s">
        <v>171</v>
      </c>
      <c r="H1675" s="234">
        <v>35</v>
      </c>
      <c r="I1675" s="235">
        <f t="shared" ref="I1675:I1682" si="188">F1675*H1675</f>
        <v>350</v>
      </c>
      <c r="K1675" s="282">
        <f>29*10</f>
        <v>290</v>
      </c>
      <c r="L1675" s="237">
        <v>41380</v>
      </c>
      <c r="M1675" s="1" t="s">
        <v>700</v>
      </c>
      <c r="N1675" s="235">
        <f t="shared" si="187"/>
        <v>350</v>
      </c>
      <c r="O1675" s="235">
        <f t="shared" si="185"/>
        <v>0</v>
      </c>
      <c r="P1675" s="238" t="s">
        <v>6049</v>
      </c>
      <c r="Q1675" s="1" t="s">
        <v>1571</v>
      </c>
      <c r="R1675" s="239" t="s">
        <v>4142</v>
      </c>
      <c r="S1675" s="238" t="s">
        <v>4143</v>
      </c>
      <c r="T1675" s="238" t="s">
        <v>4144</v>
      </c>
      <c r="Z1675" s="255" t="s">
        <v>6050</v>
      </c>
      <c r="AB1675" s="1" t="s">
        <v>1570</v>
      </c>
    </row>
    <row r="1676" spans="1:28">
      <c r="A1676" s="233">
        <v>41367</v>
      </c>
      <c r="B1676" s="1" t="s">
        <v>1578</v>
      </c>
      <c r="C1676" s="1" t="s">
        <v>163</v>
      </c>
      <c r="D1676" s="1" t="s">
        <v>241</v>
      </c>
      <c r="E1676" s="1">
        <v>6200</v>
      </c>
      <c r="F1676" s="1">
        <v>10</v>
      </c>
      <c r="G1676" s="1" t="s">
        <v>171</v>
      </c>
      <c r="H1676" s="234">
        <v>46.65</v>
      </c>
      <c r="I1676" s="235">
        <f t="shared" si="188"/>
        <v>466.5</v>
      </c>
      <c r="K1676" s="250">
        <f>44.5*10</f>
        <v>445</v>
      </c>
      <c r="N1676" s="235">
        <v>0</v>
      </c>
      <c r="O1676" s="235">
        <f t="shared" si="185"/>
        <v>466.5</v>
      </c>
      <c r="P1676" s="238" t="s">
        <v>6054</v>
      </c>
      <c r="Q1676" s="1" t="s">
        <v>1580</v>
      </c>
      <c r="R1676" s="239" t="s">
        <v>1579</v>
      </c>
      <c r="S1676" s="238">
        <v>13368068212</v>
      </c>
      <c r="T1676" s="238" t="s">
        <v>168</v>
      </c>
      <c r="U1676" s="238" t="s">
        <v>168</v>
      </c>
      <c r="AB1676" s="5" t="s">
        <v>1570</v>
      </c>
    </row>
    <row r="1677" spans="1:28">
      <c r="A1677" s="233">
        <v>41367</v>
      </c>
      <c r="B1677" s="1" t="s">
        <v>1578</v>
      </c>
      <c r="C1677" s="1" t="s">
        <v>163</v>
      </c>
      <c r="D1677" s="345" t="s">
        <v>1882</v>
      </c>
      <c r="E1677" s="1">
        <v>501</v>
      </c>
      <c r="F1677" s="1">
        <v>50</v>
      </c>
      <c r="G1677" s="1" t="s">
        <v>171</v>
      </c>
      <c r="H1677" s="234">
        <v>1.53</v>
      </c>
      <c r="I1677" s="235">
        <f t="shared" si="188"/>
        <v>76.5</v>
      </c>
      <c r="K1677" s="250">
        <f>1.39*50</f>
        <v>69.5</v>
      </c>
      <c r="N1677" s="235">
        <v>0</v>
      </c>
      <c r="O1677" s="235">
        <f t="shared" si="185"/>
        <v>76.5</v>
      </c>
      <c r="P1677" s="238" t="s">
        <v>6054</v>
      </c>
      <c r="Q1677" s="1" t="s">
        <v>1580</v>
      </c>
      <c r="R1677" s="239" t="s">
        <v>1579</v>
      </c>
      <c r="S1677" s="238">
        <v>13368068212</v>
      </c>
      <c r="T1677" s="238" t="s">
        <v>168</v>
      </c>
      <c r="U1677" s="238" t="s">
        <v>168</v>
      </c>
      <c r="AB1677" s="5" t="s">
        <v>1570</v>
      </c>
    </row>
    <row r="1678" spans="1:28">
      <c r="A1678" s="233">
        <v>41367</v>
      </c>
      <c r="B1678" s="1" t="s">
        <v>1578</v>
      </c>
      <c r="C1678" s="1" t="s">
        <v>163</v>
      </c>
      <c r="D1678" s="5" t="s">
        <v>183</v>
      </c>
      <c r="E1678" s="1" t="s">
        <v>195</v>
      </c>
      <c r="F1678" s="1">
        <v>200</v>
      </c>
      <c r="G1678" s="1" t="s">
        <v>172</v>
      </c>
      <c r="H1678" s="234">
        <v>5.2</v>
      </c>
      <c r="I1678" s="235">
        <f t="shared" si="188"/>
        <v>1040</v>
      </c>
      <c r="K1678" s="250">
        <f>4.9*200</f>
        <v>980.00000000000011</v>
      </c>
      <c r="N1678" s="235">
        <v>0</v>
      </c>
      <c r="O1678" s="235">
        <f t="shared" si="185"/>
        <v>1040</v>
      </c>
      <c r="P1678" s="238" t="s">
        <v>6054</v>
      </c>
      <c r="Q1678" s="1" t="s">
        <v>1580</v>
      </c>
      <c r="R1678" s="239" t="s">
        <v>1579</v>
      </c>
      <c r="S1678" s="238">
        <v>13368068212</v>
      </c>
      <c r="T1678" s="238" t="s">
        <v>168</v>
      </c>
      <c r="U1678" s="238" t="s">
        <v>168</v>
      </c>
      <c r="AB1678" s="5" t="s">
        <v>1570</v>
      </c>
    </row>
    <row r="1679" spans="1:28">
      <c r="A1679" s="233">
        <v>41367</v>
      </c>
      <c r="B1679" s="1" t="s">
        <v>1578</v>
      </c>
      <c r="C1679" s="1" t="s">
        <v>163</v>
      </c>
      <c r="D1679" s="1" t="s">
        <v>666</v>
      </c>
      <c r="E1679" s="1">
        <v>8246</v>
      </c>
      <c r="F1679" s="1">
        <v>10</v>
      </c>
      <c r="G1679" s="1" t="s">
        <v>6053</v>
      </c>
      <c r="H1679" s="234">
        <v>13.5</v>
      </c>
      <c r="I1679" s="235">
        <f t="shared" si="188"/>
        <v>135</v>
      </c>
      <c r="K1679" s="250">
        <f>11.7*10</f>
        <v>117</v>
      </c>
      <c r="N1679" s="235">
        <v>0</v>
      </c>
      <c r="O1679" s="235">
        <f t="shared" si="185"/>
        <v>135</v>
      </c>
      <c r="P1679" s="238" t="s">
        <v>6054</v>
      </c>
      <c r="Q1679" s="1" t="s">
        <v>1580</v>
      </c>
      <c r="R1679" s="239" t="s">
        <v>1579</v>
      </c>
      <c r="S1679" s="238">
        <v>13368068212</v>
      </c>
      <c r="T1679" s="238" t="s">
        <v>168</v>
      </c>
      <c r="U1679" s="238" t="s">
        <v>168</v>
      </c>
      <c r="AB1679" s="5" t="s">
        <v>1570</v>
      </c>
    </row>
    <row r="1680" spans="1:28">
      <c r="A1680" s="233">
        <v>41367</v>
      </c>
      <c r="B1680" s="1" t="s">
        <v>1578</v>
      </c>
      <c r="C1680" s="1" t="s">
        <v>7</v>
      </c>
      <c r="D1680" s="5" t="s">
        <v>1672</v>
      </c>
      <c r="E1680" s="1" t="s">
        <v>1668</v>
      </c>
      <c r="F1680" s="1">
        <v>70</v>
      </c>
      <c r="G1680" s="1" t="s">
        <v>830</v>
      </c>
      <c r="H1680" s="234">
        <v>72</v>
      </c>
      <c r="I1680" s="235">
        <f t="shared" si="188"/>
        <v>5040</v>
      </c>
      <c r="K1680" s="250">
        <f>69.5*70</f>
        <v>4865</v>
      </c>
      <c r="N1680" s="235">
        <v>0</v>
      </c>
      <c r="O1680" s="235">
        <f t="shared" si="185"/>
        <v>5040</v>
      </c>
      <c r="P1680" s="238" t="s">
        <v>6054</v>
      </c>
      <c r="Q1680" s="1" t="s">
        <v>1580</v>
      </c>
      <c r="R1680" s="239" t="s">
        <v>1579</v>
      </c>
      <c r="S1680" s="238">
        <v>13368068212</v>
      </c>
      <c r="T1680" s="238" t="s">
        <v>168</v>
      </c>
      <c r="U1680" s="238" t="s">
        <v>168</v>
      </c>
      <c r="AB1680" s="5" t="s">
        <v>1570</v>
      </c>
    </row>
    <row r="1681" spans="1:28">
      <c r="A1681" s="233">
        <v>41367</v>
      </c>
      <c r="B1681" s="1" t="s">
        <v>1572</v>
      </c>
      <c r="C1681" s="1" t="s">
        <v>163</v>
      </c>
      <c r="D1681" s="1" t="s">
        <v>1216</v>
      </c>
      <c r="E1681" s="5">
        <v>3200</v>
      </c>
      <c r="F1681" s="5">
        <v>30</v>
      </c>
      <c r="G1681" s="1" t="s">
        <v>171</v>
      </c>
      <c r="H1681" s="234">
        <v>43.5</v>
      </c>
      <c r="I1681" s="235">
        <f t="shared" si="188"/>
        <v>1305</v>
      </c>
      <c r="K1681" s="250">
        <f>30*23.94</f>
        <v>718.2</v>
      </c>
      <c r="N1681" s="235">
        <v>0</v>
      </c>
      <c r="O1681" s="235">
        <f t="shared" si="185"/>
        <v>1305</v>
      </c>
      <c r="P1681" s="238" t="s">
        <v>6060</v>
      </c>
      <c r="Q1681" s="1" t="s">
        <v>1571</v>
      </c>
      <c r="R1681" s="239" t="s">
        <v>6061</v>
      </c>
      <c r="S1681" s="238" t="s">
        <v>6062</v>
      </c>
      <c r="T1681" s="238" t="s">
        <v>2275</v>
      </c>
      <c r="U1681" s="238" t="s">
        <v>168</v>
      </c>
      <c r="AB1681" s="1" t="s">
        <v>2079</v>
      </c>
    </row>
    <row r="1682" spans="1:28">
      <c r="A1682" s="233">
        <v>41367</v>
      </c>
      <c r="B1682" s="1" t="s">
        <v>5795</v>
      </c>
      <c r="C1682" s="1" t="s">
        <v>163</v>
      </c>
      <c r="D1682" s="1" t="s">
        <v>6056</v>
      </c>
      <c r="E1682" s="1" t="s">
        <v>168</v>
      </c>
      <c r="F1682" s="1">
        <v>100</v>
      </c>
      <c r="G1682" s="1" t="s">
        <v>830</v>
      </c>
      <c r="H1682" s="234">
        <v>3</v>
      </c>
      <c r="I1682" s="235">
        <f t="shared" si="188"/>
        <v>300</v>
      </c>
      <c r="K1682" s="250">
        <f>4*100</f>
        <v>400</v>
      </c>
      <c r="N1682" s="235">
        <v>0</v>
      </c>
      <c r="O1682" s="235">
        <f t="shared" si="185"/>
        <v>300</v>
      </c>
      <c r="P1682" s="238" t="s">
        <v>6063</v>
      </c>
      <c r="Q1682" s="1" t="s">
        <v>2529</v>
      </c>
      <c r="R1682" s="239" t="s">
        <v>5799</v>
      </c>
      <c r="S1682" s="238" t="s">
        <v>5798</v>
      </c>
      <c r="T1682" s="238" t="s">
        <v>6395</v>
      </c>
      <c r="U1682" s="238" t="s">
        <v>168</v>
      </c>
      <c r="V1682" s="238" t="s">
        <v>6393</v>
      </c>
      <c r="W1682" s="236">
        <v>16160</v>
      </c>
      <c r="X1682" s="233">
        <v>41381</v>
      </c>
      <c r="Y1682" s="238" t="s">
        <v>6394</v>
      </c>
      <c r="AB1682" s="1" t="s">
        <v>2079</v>
      </c>
    </row>
    <row r="1683" spans="1:28">
      <c r="A1683" s="233">
        <v>41371</v>
      </c>
      <c r="B1683" s="1" t="s">
        <v>5288</v>
      </c>
      <c r="C1683" s="1" t="s">
        <v>7</v>
      </c>
      <c r="D1683" s="343" t="s">
        <v>5009</v>
      </c>
      <c r="E1683" s="1" t="s">
        <v>5006</v>
      </c>
      <c r="F1683" s="1">
        <v>1000</v>
      </c>
      <c r="G1683" s="1" t="s">
        <v>173</v>
      </c>
      <c r="H1683" s="234">
        <v>1.42</v>
      </c>
      <c r="I1683" s="235">
        <f>F1683*H1683</f>
        <v>1420</v>
      </c>
      <c r="K1683" s="250">
        <f>1.32*1000</f>
        <v>1320</v>
      </c>
      <c r="L1683" s="237">
        <v>41375</v>
      </c>
      <c r="M1683" s="1" t="s">
        <v>167</v>
      </c>
      <c r="N1683" s="235">
        <f t="shared" ref="N1683" si="189">I1683</f>
        <v>1420</v>
      </c>
      <c r="O1683" s="235">
        <f>I1683-N1683</f>
        <v>0</v>
      </c>
      <c r="P1683" s="238" t="s">
        <v>6072</v>
      </c>
      <c r="Q1683" s="1" t="s">
        <v>2300</v>
      </c>
      <c r="R1683" s="239" t="s">
        <v>5290</v>
      </c>
      <c r="S1683" s="238" t="s">
        <v>5291</v>
      </c>
      <c r="T1683" s="238" t="s">
        <v>5289</v>
      </c>
      <c r="U1683" s="238" t="s">
        <v>6074</v>
      </c>
      <c r="V1683" s="238" t="s">
        <v>6216</v>
      </c>
      <c r="W1683" s="236">
        <v>41752</v>
      </c>
      <c r="X1683" s="233">
        <v>41376</v>
      </c>
      <c r="Y1683" s="238" t="s">
        <v>6217</v>
      </c>
      <c r="AB1683" s="1" t="s">
        <v>1570</v>
      </c>
    </row>
    <row r="1684" spans="1:28">
      <c r="A1684" s="233">
        <v>41372</v>
      </c>
      <c r="B1684" s="1" t="s">
        <v>1578</v>
      </c>
      <c r="C1684" s="1" t="s">
        <v>7</v>
      </c>
      <c r="D1684" s="5" t="s">
        <v>1672</v>
      </c>
      <c r="E1684" s="1" t="s">
        <v>1668</v>
      </c>
      <c r="F1684" s="1">
        <v>30</v>
      </c>
      <c r="G1684" s="1" t="s">
        <v>830</v>
      </c>
      <c r="H1684" s="234">
        <v>72</v>
      </c>
      <c r="I1684" s="235">
        <f>F1684*H1684</f>
        <v>2160</v>
      </c>
      <c r="K1684" s="250">
        <f>68.34*30</f>
        <v>2050.2000000000003</v>
      </c>
      <c r="N1684" s="235">
        <v>0</v>
      </c>
      <c r="O1684" s="235">
        <f t="shared" ref="O1684" si="190">I1684-N1684</f>
        <v>2160</v>
      </c>
      <c r="P1684" s="238" t="s">
        <v>6080</v>
      </c>
      <c r="Q1684" s="1" t="s">
        <v>6081</v>
      </c>
      <c r="R1684" s="239" t="s">
        <v>1579</v>
      </c>
      <c r="S1684" s="238">
        <v>13368068212</v>
      </c>
      <c r="T1684" s="238" t="s">
        <v>168</v>
      </c>
      <c r="AB1684" s="5" t="s">
        <v>1570</v>
      </c>
    </row>
    <row r="1685" spans="1:28">
      <c r="A1685" s="233">
        <v>41372</v>
      </c>
      <c r="B1685" s="1" t="s">
        <v>2313</v>
      </c>
      <c r="C1685" s="1" t="s">
        <v>163</v>
      </c>
      <c r="D1685" s="1" t="s">
        <v>1720</v>
      </c>
      <c r="E1685" s="1">
        <v>8210</v>
      </c>
      <c r="F1685" s="1">
        <v>160</v>
      </c>
      <c r="G1685" s="1" t="s">
        <v>171</v>
      </c>
      <c r="H1685" s="234">
        <v>4.5</v>
      </c>
      <c r="I1685" s="235">
        <f>F1685*H1685</f>
        <v>720</v>
      </c>
      <c r="K1685" s="250">
        <f>3.78*160</f>
        <v>604.79999999999995</v>
      </c>
      <c r="L1685" s="237">
        <v>41371</v>
      </c>
      <c r="M1685" s="1" t="s">
        <v>6068</v>
      </c>
      <c r="N1685" s="1">
        <v>720</v>
      </c>
      <c r="O1685" s="236">
        <f>I1685-N1685</f>
        <v>0</v>
      </c>
      <c r="P1685" s="238" t="s">
        <v>6066</v>
      </c>
      <c r="Q1685" s="1" t="s">
        <v>5825</v>
      </c>
      <c r="R1685" s="239" t="s">
        <v>5234</v>
      </c>
      <c r="S1685" s="238" t="s">
        <v>5235</v>
      </c>
      <c r="T1685" s="238" t="s">
        <v>5236</v>
      </c>
      <c r="U1685" s="238" t="s">
        <v>6128</v>
      </c>
      <c r="AB1685" s="1" t="s">
        <v>1570</v>
      </c>
    </row>
    <row r="1686" spans="1:28">
      <c r="A1686" s="233">
        <v>41372</v>
      </c>
      <c r="B1686" s="1" t="s">
        <v>4399</v>
      </c>
      <c r="C1686" s="1" t="s">
        <v>7</v>
      </c>
      <c r="D1686" s="1" t="s">
        <v>5978</v>
      </c>
      <c r="E1686" s="1" t="s">
        <v>5959</v>
      </c>
      <c r="F1686" s="1">
        <v>100</v>
      </c>
      <c r="G1686" s="1" t="s">
        <v>5960</v>
      </c>
      <c r="H1686" s="234">
        <v>8.6</v>
      </c>
      <c r="I1686" s="235">
        <f t="shared" si="181"/>
        <v>860</v>
      </c>
      <c r="K1686" s="282">
        <v>0</v>
      </c>
      <c r="N1686" s="235">
        <v>0</v>
      </c>
      <c r="O1686" s="235">
        <f t="shared" si="185"/>
        <v>860</v>
      </c>
      <c r="P1686" s="238" t="s">
        <v>5961</v>
      </c>
      <c r="Q1686" s="1" t="s">
        <v>6129</v>
      </c>
      <c r="R1686" s="10" t="s">
        <v>4403</v>
      </c>
      <c r="S1686" s="238">
        <v>18781834169</v>
      </c>
      <c r="T1686" s="238" t="s">
        <v>4404</v>
      </c>
      <c r="U1686" s="238" t="s">
        <v>6130</v>
      </c>
      <c r="V1686" s="238" t="s">
        <v>6077</v>
      </c>
      <c r="AB1686" s="1" t="s">
        <v>1570</v>
      </c>
    </row>
    <row r="1687" spans="1:28">
      <c r="A1687" s="233">
        <v>41372</v>
      </c>
      <c r="B1687" s="1" t="s">
        <v>4399</v>
      </c>
      <c r="C1687" s="1" t="s">
        <v>7</v>
      </c>
      <c r="D1687" s="1" t="s">
        <v>5977</v>
      </c>
      <c r="E1687" s="1" t="s">
        <v>5959</v>
      </c>
      <c r="F1687" s="1">
        <v>200</v>
      </c>
      <c r="G1687" s="1" t="s">
        <v>5960</v>
      </c>
      <c r="H1687" s="234">
        <v>8.6</v>
      </c>
      <c r="I1687" s="235">
        <f t="shared" si="181"/>
        <v>1720</v>
      </c>
      <c r="K1687" s="250">
        <f>7.66*200</f>
        <v>1532</v>
      </c>
      <c r="N1687" s="235">
        <v>0</v>
      </c>
      <c r="O1687" s="235">
        <f t="shared" si="185"/>
        <v>1720</v>
      </c>
      <c r="P1687" s="238" t="s">
        <v>5961</v>
      </c>
      <c r="Q1687" s="1" t="s">
        <v>6129</v>
      </c>
      <c r="R1687" s="10" t="s">
        <v>4403</v>
      </c>
      <c r="S1687" s="238">
        <v>18781834169</v>
      </c>
      <c r="T1687" s="238" t="s">
        <v>4404</v>
      </c>
      <c r="U1687" s="238" t="s">
        <v>6130</v>
      </c>
      <c r="V1687" s="238" t="s">
        <v>6077</v>
      </c>
      <c r="AB1687" s="1" t="s">
        <v>1570</v>
      </c>
    </row>
    <row r="1688" spans="1:28">
      <c r="A1688" s="233">
        <v>41372</v>
      </c>
      <c r="B1688" s="1" t="s">
        <v>2255</v>
      </c>
      <c r="C1688" s="1" t="s">
        <v>163</v>
      </c>
      <c r="D1688" s="5" t="s">
        <v>1912</v>
      </c>
      <c r="E1688" s="1">
        <v>6200</v>
      </c>
      <c r="F1688" s="1">
        <v>80</v>
      </c>
      <c r="G1688" s="1" t="s">
        <v>171</v>
      </c>
      <c r="H1688" s="234">
        <v>79.400000000000006</v>
      </c>
      <c r="I1688" s="235">
        <f t="shared" ref="I1688:I1696" si="191">F1688*H1688</f>
        <v>6352</v>
      </c>
      <c r="K1688" s="250">
        <f>44.5*80</f>
        <v>3560</v>
      </c>
      <c r="N1688" s="235">
        <v>0</v>
      </c>
      <c r="O1688" s="235">
        <f t="shared" ref="O1688:O1696" si="192">I1688-N1688</f>
        <v>6352</v>
      </c>
      <c r="P1688" s="238" t="s">
        <v>6109</v>
      </c>
      <c r="Q1688" s="1" t="s">
        <v>6131</v>
      </c>
      <c r="R1688" s="239" t="s">
        <v>2473</v>
      </c>
      <c r="S1688" s="238" t="s">
        <v>3521</v>
      </c>
      <c r="T1688" s="238" t="s">
        <v>799</v>
      </c>
      <c r="U1688" s="238" t="s">
        <v>6132</v>
      </c>
      <c r="AB1688" s="1" t="s">
        <v>2079</v>
      </c>
    </row>
    <row r="1689" spans="1:28">
      <c r="A1689" s="233">
        <v>41372</v>
      </c>
      <c r="B1689" s="1" t="s">
        <v>2255</v>
      </c>
      <c r="C1689" s="1" t="s">
        <v>163</v>
      </c>
      <c r="D1689" s="1" t="s">
        <v>355</v>
      </c>
      <c r="E1689" s="1" t="s">
        <v>146</v>
      </c>
      <c r="F1689" s="1">
        <v>320</v>
      </c>
      <c r="G1689" s="1" t="s">
        <v>171</v>
      </c>
      <c r="H1689" s="234">
        <v>28.6</v>
      </c>
      <c r="I1689" s="235">
        <f t="shared" si="191"/>
        <v>9152</v>
      </c>
      <c r="K1689" s="250">
        <f>17.8*320</f>
        <v>5696</v>
      </c>
      <c r="N1689" s="235">
        <v>0</v>
      </c>
      <c r="O1689" s="235">
        <f t="shared" si="192"/>
        <v>9152</v>
      </c>
      <c r="P1689" s="238" t="s">
        <v>6109</v>
      </c>
      <c r="Q1689" s="1" t="s">
        <v>6131</v>
      </c>
      <c r="R1689" s="239" t="s">
        <v>2473</v>
      </c>
      <c r="S1689" s="238" t="s">
        <v>3521</v>
      </c>
      <c r="T1689" s="238" t="s">
        <v>799</v>
      </c>
      <c r="U1689" s="238" t="s">
        <v>6132</v>
      </c>
      <c r="AB1689" s="1" t="s">
        <v>2079</v>
      </c>
    </row>
    <row r="1690" spans="1:28">
      <c r="A1690" s="233">
        <v>41372</v>
      </c>
      <c r="B1690" s="1" t="s">
        <v>2255</v>
      </c>
      <c r="C1690" s="1" t="s">
        <v>163</v>
      </c>
      <c r="D1690" s="5" t="s">
        <v>183</v>
      </c>
      <c r="E1690" s="1" t="s">
        <v>195</v>
      </c>
      <c r="F1690" s="1">
        <v>320</v>
      </c>
      <c r="G1690" s="1" t="s">
        <v>232</v>
      </c>
      <c r="H1690" s="234">
        <v>7.99</v>
      </c>
      <c r="I1690" s="235">
        <f t="shared" si="191"/>
        <v>2556.8000000000002</v>
      </c>
      <c r="K1690" s="250">
        <f>4.9*320</f>
        <v>1568</v>
      </c>
      <c r="N1690" s="235">
        <v>0</v>
      </c>
      <c r="O1690" s="235">
        <f t="shared" si="192"/>
        <v>2556.8000000000002</v>
      </c>
      <c r="P1690" s="238" t="s">
        <v>6109</v>
      </c>
      <c r="Q1690" s="1" t="s">
        <v>6131</v>
      </c>
      <c r="R1690" s="239" t="s">
        <v>2473</v>
      </c>
      <c r="S1690" s="238" t="s">
        <v>3521</v>
      </c>
      <c r="T1690" s="238" t="s">
        <v>799</v>
      </c>
      <c r="U1690" s="238" t="s">
        <v>6132</v>
      </c>
      <c r="AB1690" s="1" t="s">
        <v>2079</v>
      </c>
    </row>
    <row r="1691" spans="1:28">
      <c r="A1691" s="233">
        <v>41372</v>
      </c>
      <c r="B1691" s="1" t="s">
        <v>2255</v>
      </c>
      <c r="C1691" s="1" t="s">
        <v>163</v>
      </c>
      <c r="D1691" s="5" t="s">
        <v>1882</v>
      </c>
      <c r="E1691" s="1">
        <v>501</v>
      </c>
      <c r="F1691" s="1">
        <v>160</v>
      </c>
      <c r="G1691" s="1" t="s">
        <v>171</v>
      </c>
      <c r="H1691" s="234">
        <v>2.12</v>
      </c>
      <c r="I1691" s="235">
        <f t="shared" si="191"/>
        <v>339.20000000000005</v>
      </c>
      <c r="K1691" s="250">
        <f>2.12*160</f>
        <v>339.20000000000005</v>
      </c>
      <c r="N1691" s="235">
        <v>0</v>
      </c>
      <c r="O1691" s="235">
        <f t="shared" si="192"/>
        <v>339.20000000000005</v>
      </c>
      <c r="P1691" s="238" t="s">
        <v>6109</v>
      </c>
      <c r="Q1691" s="1" t="s">
        <v>6131</v>
      </c>
      <c r="R1691" s="239" t="s">
        <v>2473</v>
      </c>
      <c r="S1691" s="238" t="s">
        <v>3521</v>
      </c>
      <c r="T1691" s="238" t="s">
        <v>799</v>
      </c>
      <c r="U1691" s="238" t="s">
        <v>6132</v>
      </c>
      <c r="AB1691" s="1" t="s">
        <v>2079</v>
      </c>
    </row>
    <row r="1692" spans="1:28">
      <c r="A1692" s="233">
        <v>41373</v>
      </c>
      <c r="B1692" s="1" t="s">
        <v>6121</v>
      </c>
      <c r="C1692" s="1" t="s">
        <v>163</v>
      </c>
      <c r="D1692" s="1" t="s">
        <v>241</v>
      </c>
      <c r="E1692" s="1">
        <v>6200</v>
      </c>
      <c r="F1692" s="1">
        <v>2</v>
      </c>
      <c r="G1692" s="1" t="s">
        <v>6122</v>
      </c>
      <c r="H1692" s="234">
        <v>60</v>
      </c>
      <c r="I1692" s="235">
        <f t="shared" si="191"/>
        <v>120</v>
      </c>
      <c r="K1692" s="250">
        <f>44.5*2</f>
        <v>89</v>
      </c>
      <c r="N1692" s="235">
        <v>0</v>
      </c>
      <c r="O1692" s="235">
        <f t="shared" si="192"/>
        <v>120</v>
      </c>
      <c r="P1692" s="238" t="s">
        <v>6124</v>
      </c>
      <c r="Q1692" s="1" t="s">
        <v>2529</v>
      </c>
      <c r="R1692" s="239" t="s">
        <v>5799</v>
      </c>
      <c r="S1692" s="238" t="s">
        <v>5798</v>
      </c>
      <c r="T1692" s="238" t="s">
        <v>6395</v>
      </c>
      <c r="U1692" s="238" t="s">
        <v>168</v>
      </c>
      <c r="V1692" s="238" t="s">
        <v>6393</v>
      </c>
      <c r="W1692" s="236">
        <v>16160</v>
      </c>
      <c r="X1692" s="233">
        <v>41381</v>
      </c>
      <c r="Y1692" s="238" t="s">
        <v>6394</v>
      </c>
      <c r="AB1692" s="1" t="s">
        <v>2079</v>
      </c>
    </row>
    <row r="1693" spans="1:28">
      <c r="A1693" s="233">
        <v>41373</v>
      </c>
      <c r="B1693" s="1" t="s">
        <v>6121</v>
      </c>
      <c r="C1693" s="1" t="s">
        <v>163</v>
      </c>
      <c r="D1693" s="1" t="s">
        <v>355</v>
      </c>
      <c r="E1693" s="1" t="s">
        <v>146</v>
      </c>
      <c r="F1693" s="1">
        <v>4</v>
      </c>
      <c r="G1693" s="1" t="s">
        <v>6122</v>
      </c>
      <c r="H1693" s="234">
        <v>28</v>
      </c>
      <c r="I1693" s="235">
        <f t="shared" si="191"/>
        <v>112</v>
      </c>
      <c r="K1693" s="250">
        <f>17.25*4</f>
        <v>69</v>
      </c>
      <c r="N1693" s="235">
        <v>0</v>
      </c>
      <c r="O1693" s="235">
        <f t="shared" si="192"/>
        <v>112</v>
      </c>
      <c r="P1693" s="238" t="s">
        <v>6124</v>
      </c>
      <c r="Q1693" s="1" t="s">
        <v>2529</v>
      </c>
      <c r="R1693" s="239" t="s">
        <v>5799</v>
      </c>
      <c r="S1693" s="238" t="s">
        <v>5798</v>
      </c>
      <c r="T1693" s="238" t="s">
        <v>6395</v>
      </c>
      <c r="U1693" s="238" t="s">
        <v>168</v>
      </c>
      <c r="V1693" s="238" t="s">
        <v>6393</v>
      </c>
      <c r="W1693" s="236">
        <v>16160</v>
      </c>
      <c r="X1693" s="233">
        <v>41381</v>
      </c>
      <c r="Y1693" s="238" t="s">
        <v>6394</v>
      </c>
      <c r="AB1693" s="1" t="s">
        <v>2079</v>
      </c>
    </row>
    <row r="1694" spans="1:28">
      <c r="A1694" s="233">
        <v>41373</v>
      </c>
      <c r="B1694" s="1" t="s">
        <v>6121</v>
      </c>
      <c r="C1694" s="1" t="s">
        <v>163</v>
      </c>
      <c r="D1694" s="5" t="s">
        <v>1882</v>
      </c>
      <c r="E1694" s="1">
        <v>501</v>
      </c>
      <c r="F1694" s="1">
        <v>4</v>
      </c>
      <c r="G1694" s="1" t="s">
        <v>6122</v>
      </c>
      <c r="H1694" s="234">
        <v>2</v>
      </c>
      <c r="I1694" s="235">
        <f t="shared" si="191"/>
        <v>8</v>
      </c>
      <c r="K1694" s="250">
        <f>1.39*4</f>
        <v>5.56</v>
      </c>
      <c r="N1694" s="235">
        <v>0</v>
      </c>
      <c r="O1694" s="235">
        <f t="shared" si="192"/>
        <v>8</v>
      </c>
      <c r="P1694" s="238" t="s">
        <v>6124</v>
      </c>
      <c r="Q1694" s="1" t="s">
        <v>2529</v>
      </c>
      <c r="R1694" s="239" t="s">
        <v>5799</v>
      </c>
      <c r="S1694" s="238" t="s">
        <v>5798</v>
      </c>
      <c r="T1694" s="238" t="s">
        <v>6395</v>
      </c>
      <c r="U1694" s="238" t="s">
        <v>168</v>
      </c>
      <c r="V1694" s="238" t="s">
        <v>6393</v>
      </c>
      <c r="W1694" s="236">
        <v>16160</v>
      </c>
      <c r="X1694" s="233">
        <v>41381</v>
      </c>
      <c r="Y1694" s="238" t="s">
        <v>6394</v>
      </c>
      <c r="AB1694" s="1" t="s">
        <v>2079</v>
      </c>
    </row>
    <row r="1695" spans="1:28">
      <c r="A1695" s="233">
        <v>41373</v>
      </c>
      <c r="B1695" s="1" t="s">
        <v>6121</v>
      </c>
      <c r="C1695" s="1" t="s">
        <v>163</v>
      </c>
      <c r="D1695" s="5" t="s">
        <v>183</v>
      </c>
      <c r="E1695" s="1" t="s">
        <v>2064</v>
      </c>
      <c r="F1695" s="1">
        <v>200</v>
      </c>
      <c r="G1695" s="1" t="s">
        <v>6118</v>
      </c>
      <c r="H1695" s="234">
        <v>2.5</v>
      </c>
      <c r="I1695" s="235">
        <f t="shared" si="191"/>
        <v>500</v>
      </c>
      <c r="K1695" s="250">
        <f>1.24*200</f>
        <v>248</v>
      </c>
      <c r="N1695" s="235">
        <v>0</v>
      </c>
      <c r="O1695" s="235">
        <f t="shared" si="192"/>
        <v>500</v>
      </c>
      <c r="P1695" s="238" t="s">
        <v>6124</v>
      </c>
      <c r="Q1695" s="1" t="s">
        <v>2529</v>
      </c>
      <c r="R1695" s="239" t="s">
        <v>5799</v>
      </c>
      <c r="S1695" s="238" t="s">
        <v>5798</v>
      </c>
      <c r="T1695" s="238" t="s">
        <v>6395</v>
      </c>
      <c r="U1695" s="238" t="s">
        <v>168</v>
      </c>
      <c r="V1695" s="238" t="s">
        <v>6393</v>
      </c>
      <c r="W1695" s="236">
        <v>16160</v>
      </c>
      <c r="X1695" s="233">
        <v>41381</v>
      </c>
      <c r="Y1695" s="238" t="s">
        <v>6394</v>
      </c>
      <c r="AB1695" s="1" t="s">
        <v>2079</v>
      </c>
    </row>
    <row r="1696" spans="1:28">
      <c r="A1696" s="233">
        <v>41373</v>
      </c>
      <c r="B1696" s="1" t="s">
        <v>6121</v>
      </c>
      <c r="C1696" s="1" t="s">
        <v>163</v>
      </c>
      <c r="D1696" s="1" t="s">
        <v>6120</v>
      </c>
      <c r="E1696" s="1" t="s">
        <v>168</v>
      </c>
      <c r="F1696" s="1">
        <v>3500</v>
      </c>
      <c r="G1696" s="1" t="s">
        <v>6123</v>
      </c>
      <c r="H1696" s="234">
        <v>0.8</v>
      </c>
      <c r="I1696" s="235">
        <f t="shared" si="191"/>
        <v>2800</v>
      </c>
      <c r="K1696" s="250">
        <f>0.68*3500</f>
        <v>2380</v>
      </c>
      <c r="N1696" s="235">
        <v>0</v>
      </c>
      <c r="O1696" s="235">
        <f t="shared" si="192"/>
        <v>2800</v>
      </c>
      <c r="P1696" s="238" t="s">
        <v>6124</v>
      </c>
      <c r="Q1696" s="1" t="s">
        <v>2529</v>
      </c>
      <c r="R1696" s="239" t="s">
        <v>5799</v>
      </c>
      <c r="S1696" s="238" t="s">
        <v>5798</v>
      </c>
      <c r="T1696" s="238" t="s">
        <v>6396</v>
      </c>
      <c r="U1696" s="238" t="s">
        <v>168</v>
      </c>
      <c r="V1696" s="238" t="s">
        <v>6393</v>
      </c>
      <c r="W1696" s="236">
        <v>16160</v>
      </c>
      <c r="X1696" s="233">
        <v>41381</v>
      </c>
      <c r="Y1696" s="238" t="s">
        <v>6394</v>
      </c>
      <c r="AB1696" s="1" t="s">
        <v>2079</v>
      </c>
    </row>
    <row r="1697" spans="1:28">
      <c r="A1697" s="233">
        <v>41373</v>
      </c>
      <c r="B1697" s="228" t="s">
        <v>1496</v>
      </c>
      <c r="C1697" s="1" t="s">
        <v>163</v>
      </c>
      <c r="D1697" s="1" t="s">
        <v>241</v>
      </c>
      <c r="E1697" s="1">
        <v>6200</v>
      </c>
      <c r="F1697" s="1">
        <v>48</v>
      </c>
      <c r="G1697" s="1" t="s">
        <v>230</v>
      </c>
      <c r="H1697" s="234">
        <v>47.8</v>
      </c>
      <c r="I1697" s="235">
        <f>F1697*H1697</f>
        <v>2294.3999999999996</v>
      </c>
      <c r="K1697" s="250">
        <f>43.7*48</f>
        <v>2097.6000000000004</v>
      </c>
      <c r="L1697" s="237">
        <v>41375</v>
      </c>
      <c r="M1697" s="1" t="s">
        <v>167</v>
      </c>
      <c r="N1697" s="235">
        <f t="shared" ref="N1697:N1700" si="193">I1697</f>
        <v>2294.3999999999996</v>
      </c>
      <c r="O1697" s="235">
        <f>I1697-N1697</f>
        <v>0</v>
      </c>
      <c r="P1697" s="238" t="s">
        <v>6115</v>
      </c>
      <c r="Q1697" s="1" t="s">
        <v>2293</v>
      </c>
      <c r="R1697" s="239" t="s">
        <v>4357</v>
      </c>
      <c r="S1697" s="238" t="s">
        <v>4358</v>
      </c>
      <c r="T1697" s="238" t="s">
        <v>1479</v>
      </c>
      <c r="U1697" s="238" t="s">
        <v>6145</v>
      </c>
      <c r="V1697" s="238" t="s">
        <v>6218</v>
      </c>
      <c r="W1697" s="236">
        <v>16862.8</v>
      </c>
      <c r="X1697" s="233">
        <v>41376</v>
      </c>
      <c r="Y1697" s="238" t="s">
        <v>6219</v>
      </c>
      <c r="AB1697" s="1" t="s">
        <v>1570</v>
      </c>
    </row>
    <row r="1698" spans="1:28">
      <c r="A1698" s="233">
        <v>41373</v>
      </c>
      <c r="B1698" s="228" t="s">
        <v>1496</v>
      </c>
      <c r="C1698" s="1" t="s">
        <v>163</v>
      </c>
      <c r="D1698" s="1" t="s">
        <v>355</v>
      </c>
      <c r="E1698" s="1" t="s">
        <v>146</v>
      </c>
      <c r="F1698" s="1">
        <v>40</v>
      </c>
      <c r="G1698" s="1" t="s">
        <v>230</v>
      </c>
      <c r="H1698" s="234">
        <v>19.260000000000002</v>
      </c>
      <c r="I1698" s="235">
        <f>F1698*H1698</f>
        <v>770.40000000000009</v>
      </c>
      <c r="K1698" s="250">
        <f>17.25*40</f>
        <v>690</v>
      </c>
      <c r="L1698" s="237">
        <v>41375</v>
      </c>
      <c r="M1698" s="1" t="s">
        <v>167</v>
      </c>
      <c r="N1698" s="235">
        <f t="shared" si="193"/>
        <v>770.40000000000009</v>
      </c>
      <c r="O1698" s="235">
        <f>I1698-N1698</f>
        <v>0</v>
      </c>
      <c r="P1698" s="238" t="s">
        <v>6115</v>
      </c>
      <c r="Q1698" s="1" t="s">
        <v>2293</v>
      </c>
      <c r="R1698" s="239" t="s">
        <v>4357</v>
      </c>
      <c r="S1698" s="238" t="s">
        <v>4358</v>
      </c>
      <c r="T1698" s="238" t="s">
        <v>1479</v>
      </c>
      <c r="U1698" s="238" t="s">
        <v>6145</v>
      </c>
      <c r="V1698" s="238" t="s">
        <v>6218</v>
      </c>
      <c r="W1698" s="236">
        <v>16862.8</v>
      </c>
      <c r="X1698" s="233">
        <v>41376</v>
      </c>
      <c r="Y1698" s="238" t="s">
        <v>6219</v>
      </c>
      <c r="AB1698" s="1" t="s">
        <v>1570</v>
      </c>
    </row>
    <row r="1699" spans="1:28">
      <c r="A1699" s="233">
        <v>41373</v>
      </c>
      <c r="B1699" s="228" t="s">
        <v>1496</v>
      </c>
      <c r="C1699" s="1" t="s">
        <v>163</v>
      </c>
      <c r="D1699" s="5" t="s">
        <v>1943</v>
      </c>
      <c r="E1699" s="1" t="s">
        <v>6117</v>
      </c>
      <c r="F1699" s="1">
        <v>300</v>
      </c>
      <c r="G1699" s="1" t="s">
        <v>6118</v>
      </c>
      <c r="H1699" s="234">
        <v>5.5</v>
      </c>
      <c r="I1699" s="235">
        <f>F1699*H1699</f>
        <v>1650</v>
      </c>
      <c r="K1699" s="250">
        <f>4.9*300</f>
        <v>1470</v>
      </c>
      <c r="L1699" s="237">
        <v>41375</v>
      </c>
      <c r="M1699" s="1" t="s">
        <v>167</v>
      </c>
      <c r="N1699" s="235">
        <f t="shared" si="193"/>
        <v>1650</v>
      </c>
      <c r="O1699" s="235">
        <f>I1699-N1699</f>
        <v>0</v>
      </c>
      <c r="P1699" s="238" t="s">
        <v>6115</v>
      </c>
      <c r="Q1699" s="1" t="s">
        <v>2293</v>
      </c>
      <c r="R1699" s="239" t="s">
        <v>4357</v>
      </c>
      <c r="S1699" s="238" t="s">
        <v>4358</v>
      </c>
      <c r="T1699" s="238" t="s">
        <v>1479</v>
      </c>
      <c r="U1699" s="238" t="s">
        <v>6145</v>
      </c>
      <c r="V1699" s="238" t="s">
        <v>6218</v>
      </c>
      <c r="W1699" s="236">
        <v>16862.8</v>
      </c>
      <c r="X1699" s="233">
        <v>41376</v>
      </c>
      <c r="Y1699" s="238" t="s">
        <v>6219</v>
      </c>
      <c r="AB1699" s="1" t="s">
        <v>1570</v>
      </c>
    </row>
    <row r="1700" spans="1:28">
      <c r="A1700" s="233">
        <v>41373</v>
      </c>
      <c r="B1700" s="1" t="s">
        <v>6134</v>
      </c>
      <c r="C1700" s="5" t="s">
        <v>836</v>
      </c>
      <c r="D1700" s="1" t="s">
        <v>1219</v>
      </c>
      <c r="E1700" s="1" t="s">
        <v>179</v>
      </c>
      <c r="F1700" s="1">
        <v>20</v>
      </c>
      <c r="G1700" s="1" t="s">
        <v>6135</v>
      </c>
      <c r="H1700" s="234">
        <v>16</v>
      </c>
      <c r="I1700" s="235">
        <f>F1700*H1700</f>
        <v>320</v>
      </c>
      <c r="K1700" s="250">
        <f>12.6*20</f>
        <v>252</v>
      </c>
      <c r="L1700" s="237">
        <v>41380</v>
      </c>
      <c r="M1700" s="1" t="s">
        <v>166</v>
      </c>
      <c r="N1700" s="235">
        <f t="shared" si="193"/>
        <v>320</v>
      </c>
      <c r="O1700" s="235">
        <f>I1700-N1700</f>
        <v>0</v>
      </c>
      <c r="P1700" s="238" t="s">
        <v>6136</v>
      </c>
      <c r="Q1700" s="1" t="s">
        <v>6137</v>
      </c>
      <c r="R1700" s="239" t="s">
        <v>6138</v>
      </c>
      <c r="S1700" s="238" t="s">
        <v>6139</v>
      </c>
      <c r="T1700" s="238" t="s">
        <v>6134</v>
      </c>
      <c r="U1700" s="238" t="s">
        <v>6140</v>
      </c>
      <c r="AB1700" s="1" t="s">
        <v>1570</v>
      </c>
    </row>
    <row r="1701" spans="1:28">
      <c r="A1701" s="233">
        <v>41373</v>
      </c>
      <c r="B1701" s="1" t="s">
        <v>5288</v>
      </c>
      <c r="C1701" s="1" t="s">
        <v>163</v>
      </c>
      <c r="D1701" s="1" t="s">
        <v>1216</v>
      </c>
      <c r="E1701" s="1">
        <v>3200</v>
      </c>
      <c r="F1701" s="1">
        <v>350</v>
      </c>
      <c r="G1701" s="1" t="s">
        <v>5955</v>
      </c>
      <c r="H1701" s="234">
        <v>26.5</v>
      </c>
      <c r="I1701" s="235">
        <f t="shared" ref="I1701:I1750" si="194">F1701*H1701</f>
        <v>9275</v>
      </c>
      <c r="K1701" s="250">
        <f>23.94*350</f>
        <v>8379</v>
      </c>
      <c r="L1701" s="237">
        <v>41375</v>
      </c>
      <c r="M1701" s="1" t="s">
        <v>167</v>
      </c>
      <c r="N1701" s="235">
        <f t="shared" ref="N1701" si="195">I1701</f>
        <v>9275</v>
      </c>
      <c r="O1701" s="235">
        <f t="shared" si="185"/>
        <v>0</v>
      </c>
      <c r="P1701" s="238" t="s">
        <v>6076</v>
      </c>
      <c r="Q1701" s="1" t="s">
        <v>2293</v>
      </c>
      <c r="R1701" s="239" t="s">
        <v>6146</v>
      </c>
      <c r="S1701" s="238" t="s">
        <v>6147</v>
      </c>
      <c r="T1701" s="238" t="s">
        <v>5289</v>
      </c>
      <c r="U1701" s="238" t="s">
        <v>6151</v>
      </c>
      <c r="V1701" s="238" t="s">
        <v>6216</v>
      </c>
      <c r="W1701" s="236">
        <v>41752</v>
      </c>
      <c r="X1701" s="233">
        <v>41376</v>
      </c>
      <c r="Y1701" s="238" t="s">
        <v>6217</v>
      </c>
      <c r="AB1701" s="1" t="s">
        <v>1570</v>
      </c>
    </row>
    <row r="1702" spans="1:28">
      <c r="A1702" s="233">
        <v>41374</v>
      </c>
      <c r="B1702" s="1" t="s">
        <v>1993</v>
      </c>
      <c r="C1702" s="1" t="s">
        <v>163</v>
      </c>
      <c r="D1702" s="1" t="s">
        <v>666</v>
      </c>
      <c r="E1702" s="1">
        <v>8246</v>
      </c>
      <c r="F1702" s="1">
        <v>200</v>
      </c>
      <c r="G1702" s="1" t="s">
        <v>171</v>
      </c>
      <c r="H1702" s="234">
        <v>13.2</v>
      </c>
      <c r="I1702" s="235">
        <f t="shared" ref="I1702:I1708" si="196">F1702*H1702</f>
        <v>2640</v>
      </c>
      <c r="K1702" s="250">
        <f>12*200</f>
        <v>2400</v>
      </c>
      <c r="L1702" s="237">
        <v>41374</v>
      </c>
      <c r="M1702" s="1" t="s">
        <v>6175</v>
      </c>
      <c r="N1702" s="235">
        <f t="shared" ref="N1702" si="197">I1702</f>
        <v>2640</v>
      </c>
      <c r="O1702" s="235">
        <f t="shared" ref="O1702:O1707" si="198">I1702-N1702</f>
        <v>0</v>
      </c>
      <c r="P1702" s="238" t="s">
        <v>6113</v>
      </c>
      <c r="Q1702" s="1" t="s">
        <v>1571</v>
      </c>
      <c r="R1702" s="265" t="s">
        <v>68</v>
      </c>
      <c r="S1702" s="265" t="s">
        <v>2998</v>
      </c>
      <c r="T1702" s="238" t="s">
        <v>67</v>
      </c>
      <c r="U1702" s="238" t="s">
        <v>6373</v>
      </c>
      <c r="V1702" s="238" t="s">
        <v>6114</v>
      </c>
      <c r="AB1702" s="1" t="s">
        <v>1570</v>
      </c>
    </row>
    <row r="1703" spans="1:28">
      <c r="A1703" s="233">
        <v>41374</v>
      </c>
      <c r="B1703" s="1" t="s">
        <v>3544</v>
      </c>
      <c r="C1703" s="5" t="s">
        <v>163</v>
      </c>
      <c r="D1703" s="1" t="s">
        <v>1720</v>
      </c>
      <c r="E1703" s="1">
        <v>8210</v>
      </c>
      <c r="F1703" s="1">
        <v>300</v>
      </c>
      <c r="G1703" s="1" t="s">
        <v>171</v>
      </c>
      <c r="H1703" s="234">
        <v>6.9</v>
      </c>
      <c r="I1703" s="235">
        <f t="shared" si="196"/>
        <v>2070</v>
      </c>
      <c r="K1703" s="250">
        <f>3.78*300</f>
        <v>1134</v>
      </c>
      <c r="N1703" s="235">
        <v>0</v>
      </c>
      <c r="O1703" s="235">
        <f t="shared" si="198"/>
        <v>2070</v>
      </c>
      <c r="P1703" s="238" t="s">
        <v>6125</v>
      </c>
      <c r="Q1703" s="1" t="s">
        <v>2529</v>
      </c>
      <c r="R1703" s="239" t="s">
        <v>3887</v>
      </c>
      <c r="S1703" s="238" t="s">
        <v>3888</v>
      </c>
      <c r="T1703" s="238" t="s">
        <v>3953</v>
      </c>
      <c r="U1703" s="238" t="s">
        <v>168</v>
      </c>
      <c r="V1703" s="238" t="s">
        <v>6126</v>
      </c>
      <c r="W1703" s="236">
        <v>19560</v>
      </c>
      <c r="X1703" s="233">
        <v>41373</v>
      </c>
      <c r="Y1703" s="238" t="s">
        <v>6127</v>
      </c>
      <c r="AB1703" s="1" t="s">
        <v>2079</v>
      </c>
    </row>
    <row r="1704" spans="1:28">
      <c r="A1704" s="233">
        <v>41374</v>
      </c>
      <c r="B1704" s="1" t="s">
        <v>3544</v>
      </c>
      <c r="C1704" s="5" t="s">
        <v>163</v>
      </c>
      <c r="D1704" s="5" t="s">
        <v>857</v>
      </c>
      <c r="E1704" s="1">
        <v>9032</v>
      </c>
      <c r="F1704" s="1">
        <v>1500</v>
      </c>
      <c r="G1704" s="1" t="s">
        <v>171</v>
      </c>
      <c r="H1704" s="234">
        <v>2.7</v>
      </c>
      <c r="I1704" s="235">
        <f t="shared" si="196"/>
        <v>4050.0000000000005</v>
      </c>
      <c r="K1704" s="250">
        <f>1.4929*1500</f>
        <v>2239.35</v>
      </c>
      <c r="N1704" s="235">
        <v>0</v>
      </c>
      <c r="O1704" s="235">
        <f t="shared" si="198"/>
        <v>4050.0000000000005</v>
      </c>
      <c r="P1704" s="238" t="s">
        <v>6125</v>
      </c>
      <c r="Q1704" s="1" t="s">
        <v>2529</v>
      </c>
      <c r="R1704" s="239" t="s">
        <v>3887</v>
      </c>
      <c r="S1704" s="238" t="s">
        <v>3888</v>
      </c>
      <c r="T1704" s="238" t="s">
        <v>3953</v>
      </c>
      <c r="U1704" s="238" t="s">
        <v>168</v>
      </c>
      <c r="V1704" s="238" t="s">
        <v>6126</v>
      </c>
      <c r="W1704" s="236">
        <v>19560</v>
      </c>
      <c r="X1704" s="233">
        <v>41373</v>
      </c>
      <c r="Y1704" s="238" t="s">
        <v>6127</v>
      </c>
      <c r="AB1704" s="1" t="s">
        <v>2079</v>
      </c>
    </row>
    <row r="1705" spans="1:28">
      <c r="A1705" s="233">
        <v>41374</v>
      </c>
      <c r="B1705" s="1" t="s">
        <v>3544</v>
      </c>
      <c r="C1705" s="5" t="s">
        <v>163</v>
      </c>
      <c r="D1705" s="1" t="s">
        <v>2024</v>
      </c>
      <c r="E1705" s="1">
        <v>10434</v>
      </c>
      <c r="F1705" s="1">
        <v>200</v>
      </c>
      <c r="G1705" s="1" t="s">
        <v>173</v>
      </c>
      <c r="H1705" s="234">
        <v>23</v>
      </c>
      <c r="I1705" s="235">
        <f t="shared" si="196"/>
        <v>4600</v>
      </c>
      <c r="K1705" s="250">
        <f>15.84*100+14.2*100</f>
        <v>3004</v>
      </c>
      <c r="N1705" s="235">
        <v>0</v>
      </c>
      <c r="O1705" s="235">
        <f t="shared" si="198"/>
        <v>4600</v>
      </c>
      <c r="P1705" s="238" t="s">
        <v>6125</v>
      </c>
      <c r="Q1705" s="1" t="s">
        <v>2529</v>
      </c>
      <c r="R1705" s="239" t="s">
        <v>3887</v>
      </c>
      <c r="S1705" s="238" t="s">
        <v>3888</v>
      </c>
      <c r="T1705" s="238" t="s">
        <v>3953</v>
      </c>
      <c r="U1705" s="238" t="s">
        <v>168</v>
      </c>
      <c r="V1705" s="238" t="s">
        <v>6126</v>
      </c>
      <c r="W1705" s="236">
        <v>19560</v>
      </c>
      <c r="X1705" s="233">
        <v>41373</v>
      </c>
      <c r="Y1705" s="238" t="s">
        <v>6127</v>
      </c>
      <c r="AB1705" s="1" t="s">
        <v>2079</v>
      </c>
    </row>
    <row r="1706" spans="1:28">
      <c r="A1706" s="233">
        <v>41374</v>
      </c>
      <c r="B1706" s="1" t="s">
        <v>3544</v>
      </c>
      <c r="C1706" s="5" t="s">
        <v>836</v>
      </c>
      <c r="D1706" s="5" t="s">
        <v>183</v>
      </c>
      <c r="E1706" s="1" t="s">
        <v>195</v>
      </c>
      <c r="F1706" s="5">
        <v>200</v>
      </c>
      <c r="G1706" s="1" t="s">
        <v>232</v>
      </c>
      <c r="H1706" s="234">
        <v>9.1999999999999993</v>
      </c>
      <c r="I1706" s="235">
        <f t="shared" si="196"/>
        <v>1839.9999999999998</v>
      </c>
      <c r="K1706" s="250">
        <f>4.9*200</f>
        <v>980.00000000000011</v>
      </c>
      <c r="N1706" s="235">
        <v>0</v>
      </c>
      <c r="O1706" s="235">
        <f t="shared" si="198"/>
        <v>1839.9999999999998</v>
      </c>
      <c r="P1706" s="238" t="s">
        <v>6125</v>
      </c>
      <c r="Q1706" s="1" t="s">
        <v>2529</v>
      </c>
      <c r="R1706" s="239" t="s">
        <v>3887</v>
      </c>
      <c r="S1706" s="238" t="s">
        <v>3888</v>
      </c>
      <c r="T1706" s="238" t="s">
        <v>3953</v>
      </c>
      <c r="U1706" s="238" t="s">
        <v>168</v>
      </c>
      <c r="V1706" s="238" t="s">
        <v>6126</v>
      </c>
      <c r="W1706" s="236">
        <v>19560</v>
      </c>
      <c r="X1706" s="233">
        <v>41373</v>
      </c>
      <c r="Y1706" s="238" t="s">
        <v>6127</v>
      </c>
      <c r="AB1706" s="1" t="s">
        <v>2079</v>
      </c>
    </row>
    <row r="1707" spans="1:28">
      <c r="A1707" s="233">
        <v>41374</v>
      </c>
      <c r="B1707" s="1" t="s">
        <v>3544</v>
      </c>
      <c r="C1707" s="5" t="s">
        <v>836</v>
      </c>
      <c r="D1707" s="5" t="s">
        <v>355</v>
      </c>
      <c r="E1707" s="1" t="s">
        <v>146</v>
      </c>
      <c r="F1707" s="5">
        <v>200</v>
      </c>
      <c r="G1707" s="1" t="s">
        <v>171</v>
      </c>
      <c r="H1707" s="234">
        <v>35</v>
      </c>
      <c r="I1707" s="235">
        <f t="shared" si="196"/>
        <v>7000</v>
      </c>
      <c r="K1707" s="250">
        <f>200*17.8</f>
        <v>3560</v>
      </c>
      <c r="N1707" s="235">
        <v>0</v>
      </c>
      <c r="O1707" s="235">
        <f t="shared" si="198"/>
        <v>7000</v>
      </c>
      <c r="P1707" s="238" t="s">
        <v>6125</v>
      </c>
      <c r="Q1707" s="1" t="s">
        <v>2529</v>
      </c>
      <c r="R1707" s="239" t="s">
        <v>3887</v>
      </c>
      <c r="S1707" s="238" t="s">
        <v>3888</v>
      </c>
      <c r="T1707" s="238" t="s">
        <v>3953</v>
      </c>
      <c r="U1707" s="238" t="s">
        <v>168</v>
      </c>
      <c r="V1707" s="238" t="s">
        <v>6126</v>
      </c>
      <c r="W1707" s="236">
        <v>19560</v>
      </c>
      <c r="X1707" s="233">
        <v>41373</v>
      </c>
      <c r="Y1707" s="238" t="s">
        <v>6127</v>
      </c>
      <c r="AB1707" s="1" t="s">
        <v>2079</v>
      </c>
    </row>
    <row r="1708" spans="1:28">
      <c r="A1708" s="233">
        <v>41374</v>
      </c>
      <c r="B1708" s="1" t="s">
        <v>3162</v>
      </c>
      <c r="C1708" s="5" t="s">
        <v>163</v>
      </c>
      <c r="D1708" s="5" t="s">
        <v>183</v>
      </c>
      <c r="E1708" s="1" t="s">
        <v>187</v>
      </c>
      <c r="F1708" s="5">
        <v>100</v>
      </c>
      <c r="G1708" s="1" t="s">
        <v>172</v>
      </c>
      <c r="H1708" s="234">
        <v>2.5</v>
      </c>
      <c r="I1708" s="235">
        <f t="shared" si="196"/>
        <v>250</v>
      </c>
      <c r="K1708" s="250">
        <f>1.54*100</f>
        <v>154</v>
      </c>
      <c r="L1708" s="237">
        <v>41374</v>
      </c>
      <c r="M1708" s="1" t="s">
        <v>700</v>
      </c>
      <c r="N1708" s="235">
        <f t="shared" ref="N1708" si="199">I1708</f>
        <v>250</v>
      </c>
      <c r="O1708" s="235">
        <f t="shared" ref="O1708:O1710" si="200">I1708-N1708</f>
        <v>0</v>
      </c>
      <c r="P1708" s="238" t="s">
        <v>6144</v>
      </c>
      <c r="Q1708" s="363" t="s">
        <v>3146</v>
      </c>
      <c r="R1708" s="239" t="s">
        <v>3164</v>
      </c>
      <c r="S1708" s="238" t="s">
        <v>3165</v>
      </c>
      <c r="T1708" s="238" t="s">
        <v>2709</v>
      </c>
      <c r="U1708" s="238" t="s">
        <v>168</v>
      </c>
      <c r="V1708" s="238" t="s">
        <v>176</v>
      </c>
      <c r="AB1708" s="363" t="s">
        <v>3095</v>
      </c>
    </row>
    <row r="1709" spans="1:28">
      <c r="A1709" s="233">
        <v>41374</v>
      </c>
      <c r="B1709" s="1" t="s">
        <v>4819</v>
      </c>
      <c r="C1709" s="1" t="s">
        <v>758</v>
      </c>
      <c r="D1709" s="1" t="s">
        <v>355</v>
      </c>
      <c r="E1709" s="1" t="s">
        <v>6163</v>
      </c>
      <c r="F1709" s="1">
        <v>10</v>
      </c>
      <c r="G1709" s="1" t="s">
        <v>686</v>
      </c>
      <c r="H1709" s="234">
        <v>11.94</v>
      </c>
      <c r="I1709" s="235">
        <f>F1709*H1709</f>
        <v>119.39999999999999</v>
      </c>
      <c r="K1709" s="250">
        <f>10.94*10</f>
        <v>109.39999999999999</v>
      </c>
      <c r="N1709" s="1">
        <v>0</v>
      </c>
      <c r="O1709" s="235">
        <f t="shared" si="200"/>
        <v>119.39999999999999</v>
      </c>
      <c r="P1709" s="238" t="s">
        <v>6167</v>
      </c>
      <c r="Q1709" s="1" t="s">
        <v>6166</v>
      </c>
      <c r="R1709" s="239" t="s">
        <v>707</v>
      </c>
      <c r="S1709" s="238" t="s">
        <v>707</v>
      </c>
      <c r="T1709" s="238" t="s">
        <v>707</v>
      </c>
      <c r="U1709" s="238" t="s">
        <v>707</v>
      </c>
      <c r="AB1709" s="1" t="s">
        <v>1570</v>
      </c>
    </row>
    <row r="1710" spans="1:28">
      <c r="A1710" s="233">
        <v>41374</v>
      </c>
      <c r="B1710" s="1" t="s">
        <v>4819</v>
      </c>
      <c r="C1710" s="1" t="s">
        <v>758</v>
      </c>
      <c r="D1710" s="1" t="s">
        <v>269</v>
      </c>
      <c r="E1710" s="1" t="s">
        <v>6164</v>
      </c>
      <c r="F1710" s="1">
        <v>100</v>
      </c>
      <c r="G1710" s="1" t="s">
        <v>6165</v>
      </c>
      <c r="H1710" s="234">
        <v>1.27</v>
      </c>
      <c r="I1710" s="235">
        <f>F1710*H1710</f>
        <v>127</v>
      </c>
      <c r="K1710" s="250">
        <f>1.17*100</f>
        <v>117</v>
      </c>
      <c r="N1710" s="1">
        <v>0</v>
      </c>
      <c r="O1710" s="235">
        <f t="shared" si="200"/>
        <v>127</v>
      </c>
      <c r="P1710" s="238" t="s">
        <v>6167</v>
      </c>
      <c r="Q1710" s="1" t="s">
        <v>6166</v>
      </c>
      <c r="R1710" s="239" t="s">
        <v>707</v>
      </c>
      <c r="S1710" s="238" t="s">
        <v>707</v>
      </c>
      <c r="T1710" s="238" t="s">
        <v>707</v>
      </c>
      <c r="U1710" s="238" t="s">
        <v>707</v>
      </c>
      <c r="AB1710" s="1" t="s">
        <v>1570</v>
      </c>
    </row>
    <row r="1711" spans="1:28">
      <c r="A1711" s="233">
        <v>41374</v>
      </c>
      <c r="B1711" s="1" t="s">
        <v>958</v>
      </c>
      <c r="C1711" s="5" t="s">
        <v>836</v>
      </c>
      <c r="D1711" s="1" t="s">
        <v>1720</v>
      </c>
      <c r="E1711" s="1">
        <v>8210</v>
      </c>
      <c r="F1711" s="1">
        <v>360</v>
      </c>
      <c r="G1711" s="1" t="s">
        <v>171</v>
      </c>
      <c r="H1711" s="234">
        <v>6.9</v>
      </c>
      <c r="I1711" s="235">
        <f>F1711*H1711</f>
        <v>2484</v>
      </c>
      <c r="K1711" s="250">
        <f>3.78*360</f>
        <v>1360.8</v>
      </c>
      <c r="L1711" s="237">
        <v>41374</v>
      </c>
      <c r="M1711" s="1" t="s">
        <v>6168</v>
      </c>
      <c r="N1711" s="236">
        <f>I1711</f>
        <v>2484</v>
      </c>
      <c r="O1711" s="236">
        <f>I1711-N1711</f>
        <v>0</v>
      </c>
      <c r="P1711" s="238" t="s">
        <v>6159</v>
      </c>
      <c r="Q1711" s="1" t="s">
        <v>6169</v>
      </c>
      <c r="R1711" s="239" t="s">
        <v>3594</v>
      </c>
      <c r="S1711" s="238" t="s">
        <v>960</v>
      </c>
      <c r="T1711" s="238" t="s">
        <v>961</v>
      </c>
      <c r="U1711" s="238" t="s">
        <v>6179</v>
      </c>
      <c r="AB1711" s="1" t="s">
        <v>1570</v>
      </c>
    </row>
    <row r="1712" spans="1:28">
      <c r="A1712" s="233">
        <v>41374</v>
      </c>
      <c r="B1712" s="1" t="s">
        <v>3103</v>
      </c>
      <c r="C1712" s="5" t="s">
        <v>163</v>
      </c>
      <c r="D1712" s="5" t="s">
        <v>307</v>
      </c>
      <c r="E1712" s="1">
        <v>1270</v>
      </c>
      <c r="F1712" s="5">
        <v>100</v>
      </c>
      <c r="G1712" s="1" t="s">
        <v>173</v>
      </c>
      <c r="H1712" s="234">
        <v>6</v>
      </c>
      <c r="I1712" s="235">
        <f>F1712*H1712</f>
        <v>600</v>
      </c>
      <c r="K1712" s="250">
        <f>4.5162*100</f>
        <v>451.62000000000006</v>
      </c>
      <c r="L1712" s="237">
        <v>41382</v>
      </c>
      <c r="M1712" s="1" t="s">
        <v>167</v>
      </c>
      <c r="N1712" s="236">
        <f>I1712</f>
        <v>600</v>
      </c>
      <c r="O1712" s="236">
        <f>I1712-N1712</f>
        <v>0</v>
      </c>
      <c r="P1712" s="238" t="s">
        <v>6160</v>
      </c>
      <c r="Q1712" s="1" t="s">
        <v>6172</v>
      </c>
      <c r="R1712" s="239" t="s">
        <v>190</v>
      </c>
      <c r="S1712" s="238" t="s">
        <v>191</v>
      </c>
      <c r="T1712" s="238" t="s">
        <v>3934</v>
      </c>
      <c r="U1712" s="238" t="s">
        <v>6171</v>
      </c>
      <c r="V1712" s="238" t="s">
        <v>6170</v>
      </c>
      <c r="W1712" s="236">
        <v>900</v>
      </c>
      <c r="X1712" s="233">
        <v>41374</v>
      </c>
      <c r="Y1712" s="238" t="s">
        <v>6171</v>
      </c>
      <c r="AB1712" s="1" t="s">
        <v>2079</v>
      </c>
    </row>
    <row r="1713" spans="1:28">
      <c r="A1713" s="233">
        <v>41374</v>
      </c>
      <c r="B1713" s="1" t="s">
        <v>3459</v>
      </c>
      <c r="C1713" s="1" t="s">
        <v>758</v>
      </c>
      <c r="D1713" s="1" t="s">
        <v>1219</v>
      </c>
      <c r="E1713" s="5" t="s">
        <v>3577</v>
      </c>
      <c r="F1713" s="5">
        <v>100</v>
      </c>
      <c r="G1713" s="1" t="s">
        <v>756</v>
      </c>
      <c r="H1713" s="234">
        <v>20</v>
      </c>
      <c r="I1713" s="236">
        <f t="shared" ref="I1713" si="201">H1713*F1713</f>
        <v>2000</v>
      </c>
      <c r="K1713" s="250">
        <f>12.6*100</f>
        <v>1260</v>
      </c>
      <c r="L1713" s="237">
        <v>41374</v>
      </c>
      <c r="M1713" s="1" t="s">
        <v>6176</v>
      </c>
      <c r="N1713" s="236">
        <f>I1713</f>
        <v>2000</v>
      </c>
      <c r="O1713" s="236">
        <f>I1713-N1713</f>
        <v>0</v>
      </c>
      <c r="P1713" s="238" t="s">
        <v>6156</v>
      </c>
      <c r="Q1713" s="1" t="s">
        <v>6187</v>
      </c>
      <c r="R1713" s="239" t="s">
        <v>3461</v>
      </c>
      <c r="S1713" s="238" t="s">
        <v>3579</v>
      </c>
      <c r="T1713" s="238" t="s">
        <v>3580</v>
      </c>
      <c r="U1713" s="238" t="s">
        <v>6189</v>
      </c>
      <c r="V1713" s="238" t="s">
        <v>176</v>
      </c>
      <c r="AB1713" s="1" t="s">
        <v>1570</v>
      </c>
    </row>
    <row r="1714" spans="1:28">
      <c r="A1714" s="233">
        <v>41374</v>
      </c>
      <c r="B1714" s="1" t="s">
        <v>5653</v>
      </c>
      <c r="C1714" s="1" t="s">
        <v>163</v>
      </c>
      <c r="D1714" s="5" t="s">
        <v>51</v>
      </c>
      <c r="E1714" s="1">
        <v>9032</v>
      </c>
      <c r="F1714" s="1">
        <v>100</v>
      </c>
      <c r="G1714" s="1" t="s">
        <v>5195</v>
      </c>
      <c r="H1714" s="234">
        <v>1.62</v>
      </c>
      <c r="I1714" s="235">
        <f t="shared" ref="I1714:I1721" si="202">F1714*H1714</f>
        <v>162</v>
      </c>
      <c r="K1714" s="250">
        <f>1.4929*100</f>
        <v>149.29</v>
      </c>
      <c r="L1714" s="237">
        <v>41374</v>
      </c>
      <c r="M1714" s="1" t="s">
        <v>167</v>
      </c>
      <c r="N1714" s="236">
        <f t="shared" ref="N1714:N1717" si="203">I1714</f>
        <v>162</v>
      </c>
      <c r="O1714" s="236">
        <f t="shared" ref="O1714:O1717" si="204">I1714-N1714</f>
        <v>0</v>
      </c>
      <c r="P1714" s="238" t="s">
        <v>6157</v>
      </c>
      <c r="Q1714" s="1" t="s">
        <v>6177</v>
      </c>
      <c r="R1714" s="239" t="s">
        <v>5662</v>
      </c>
      <c r="S1714" s="238" t="s">
        <v>5663</v>
      </c>
      <c r="T1714" s="238" t="s">
        <v>5664</v>
      </c>
      <c r="U1714" s="238" t="s">
        <v>6178</v>
      </c>
      <c r="AB1714" s="1" t="s">
        <v>1570</v>
      </c>
    </row>
    <row r="1715" spans="1:28">
      <c r="A1715" s="233">
        <v>41374</v>
      </c>
      <c r="B1715" s="1" t="s">
        <v>5653</v>
      </c>
      <c r="C1715" s="1" t="s">
        <v>163</v>
      </c>
      <c r="D1715" s="1" t="s">
        <v>2038</v>
      </c>
      <c r="E1715" s="1" t="s">
        <v>6158</v>
      </c>
      <c r="F1715" s="1">
        <v>1</v>
      </c>
      <c r="G1715" s="1" t="s">
        <v>5195</v>
      </c>
      <c r="H1715" s="234">
        <v>4.3</v>
      </c>
      <c r="I1715" s="235">
        <f t="shared" si="202"/>
        <v>4.3</v>
      </c>
      <c r="K1715" s="250">
        <f>3.69*1</f>
        <v>3.69</v>
      </c>
      <c r="L1715" s="237">
        <v>41374</v>
      </c>
      <c r="M1715" s="1" t="s">
        <v>167</v>
      </c>
      <c r="N1715" s="236">
        <f t="shared" si="203"/>
        <v>4.3</v>
      </c>
      <c r="O1715" s="236">
        <f t="shared" si="204"/>
        <v>0</v>
      </c>
      <c r="P1715" s="238" t="s">
        <v>6157</v>
      </c>
      <c r="Q1715" s="1" t="s">
        <v>6177</v>
      </c>
      <c r="R1715" s="239" t="s">
        <v>5662</v>
      </c>
      <c r="S1715" s="238" t="s">
        <v>5663</v>
      </c>
      <c r="T1715" s="238" t="s">
        <v>5664</v>
      </c>
      <c r="U1715" s="238" t="s">
        <v>6178</v>
      </c>
      <c r="AB1715" s="1" t="s">
        <v>1570</v>
      </c>
    </row>
    <row r="1716" spans="1:28">
      <c r="A1716" s="233">
        <v>41374</v>
      </c>
      <c r="B1716" s="1" t="s">
        <v>5653</v>
      </c>
      <c r="C1716" s="1" t="s">
        <v>163</v>
      </c>
      <c r="D1716" s="1" t="s">
        <v>666</v>
      </c>
      <c r="E1716" s="1">
        <v>8246</v>
      </c>
      <c r="F1716" s="1">
        <v>1</v>
      </c>
      <c r="G1716" s="1" t="s">
        <v>5195</v>
      </c>
      <c r="H1716" s="234">
        <v>16</v>
      </c>
      <c r="I1716" s="235">
        <f t="shared" si="202"/>
        <v>16</v>
      </c>
      <c r="K1716" s="250">
        <f>11.7*1</f>
        <v>11.7</v>
      </c>
      <c r="L1716" s="237">
        <v>41374</v>
      </c>
      <c r="M1716" s="1" t="s">
        <v>167</v>
      </c>
      <c r="N1716" s="236">
        <f t="shared" si="203"/>
        <v>16</v>
      </c>
      <c r="O1716" s="236">
        <f t="shared" si="204"/>
        <v>0</v>
      </c>
      <c r="P1716" s="238" t="s">
        <v>6157</v>
      </c>
      <c r="Q1716" s="1" t="s">
        <v>6177</v>
      </c>
      <c r="R1716" s="239" t="s">
        <v>5662</v>
      </c>
      <c r="S1716" s="238" t="s">
        <v>5663</v>
      </c>
      <c r="T1716" s="238" t="s">
        <v>5664</v>
      </c>
      <c r="U1716" s="238" t="s">
        <v>6178</v>
      </c>
      <c r="AB1716" s="1" t="s">
        <v>1570</v>
      </c>
    </row>
    <row r="1717" spans="1:28">
      <c r="A1717" s="233">
        <v>41374</v>
      </c>
      <c r="B1717" s="1" t="s">
        <v>5653</v>
      </c>
      <c r="C1717" s="1" t="s">
        <v>163</v>
      </c>
      <c r="D1717" s="1" t="s">
        <v>1720</v>
      </c>
      <c r="E1717" s="1">
        <v>8210</v>
      </c>
      <c r="F1717" s="1">
        <v>50</v>
      </c>
      <c r="G1717" s="1" t="s">
        <v>5195</v>
      </c>
      <c r="H1717" s="234">
        <v>4.32</v>
      </c>
      <c r="I1717" s="235">
        <f t="shared" si="202"/>
        <v>216</v>
      </c>
      <c r="K1717" s="250">
        <f>3.78*50</f>
        <v>189</v>
      </c>
      <c r="L1717" s="237">
        <v>41374</v>
      </c>
      <c r="M1717" s="1" t="s">
        <v>167</v>
      </c>
      <c r="N1717" s="236">
        <f t="shared" si="203"/>
        <v>216</v>
      </c>
      <c r="O1717" s="236">
        <f t="shared" si="204"/>
        <v>0</v>
      </c>
      <c r="P1717" s="238" t="s">
        <v>6157</v>
      </c>
      <c r="Q1717" s="1" t="s">
        <v>6177</v>
      </c>
      <c r="R1717" s="239" t="s">
        <v>5662</v>
      </c>
      <c r="S1717" s="238" t="s">
        <v>5663</v>
      </c>
      <c r="T1717" s="238" t="s">
        <v>5664</v>
      </c>
      <c r="U1717" s="238" t="s">
        <v>6178</v>
      </c>
      <c r="AB1717" s="1" t="s">
        <v>1570</v>
      </c>
    </row>
    <row r="1718" spans="1:28">
      <c r="A1718" s="233">
        <v>41374</v>
      </c>
      <c r="B1718" s="1" t="s">
        <v>6181</v>
      </c>
      <c r="C1718" s="1" t="s">
        <v>758</v>
      </c>
      <c r="D1718" s="1" t="s">
        <v>1774</v>
      </c>
      <c r="E1718" s="1">
        <v>1860</v>
      </c>
      <c r="F1718" s="1">
        <v>40</v>
      </c>
      <c r="G1718" s="1" t="s">
        <v>6180</v>
      </c>
      <c r="H1718" s="234">
        <v>12</v>
      </c>
      <c r="I1718" s="235">
        <f t="shared" si="202"/>
        <v>480</v>
      </c>
      <c r="K1718" s="282">
        <f>9.5*40</f>
        <v>380</v>
      </c>
      <c r="L1718" s="237">
        <v>41374</v>
      </c>
      <c r="M1718" s="1" t="s">
        <v>6176</v>
      </c>
      <c r="N1718" s="235">
        <f>I1718</f>
        <v>480</v>
      </c>
      <c r="O1718" s="235">
        <f>I1718-N1718</f>
        <v>0</v>
      </c>
      <c r="P1718" s="238" t="s">
        <v>6185</v>
      </c>
      <c r="Q1718" s="1" t="s">
        <v>6177</v>
      </c>
      <c r="R1718" s="239" t="s">
        <v>6183</v>
      </c>
      <c r="S1718" s="238" t="s">
        <v>6184</v>
      </c>
      <c r="T1718" s="238" t="s">
        <v>6182</v>
      </c>
      <c r="U1718" s="238" t="s">
        <v>6186</v>
      </c>
      <c r="Z1718" s="255" t="s">
        <v>6188</v>
      </c>
      <c r="AB1718" s="1" t="s">
        <v>1570</v>
      </c>
    </row>
    <row r="1719" spans="1:28">
      <c r="A1719" s="233">
        <v>41375</v>
      </c>
      <c r="B1719" s="1" t="s">
        <v>3514</v>
      </c>
      <c r="C1719" s="1" t="s">
        <v>163</v>
      </c>
      <c r="D1719" s="1" t="s">
        <v>1216</v>
      </c>
      <c r="E1719" s="5">
        <v>3200</v>
      </c>
      <c r="F1719" s="5">
        <v>50</v>
      </c>
      <c r="G1719" s="1" t="s">
        <v>171</v>
      </c>
      <c r="H1719" s="234">
        <v>40.5</v>
      </c>
      <c r="I1719" s="235">
        <f t="shared" si="202"/>
        <v>2025</v>
      </c>
      <c r="K1719" s="250">
        <f>27.4*50</f>
        <v>1370</v>
      </c>
      <c r="L1719" s="237">
        <v>41380</v>
      </c>
      <c r="M1719" s="1" t="s">
        <v>166</v>
      </c>
      <c r="N1719" s="235">
        <f t="shared" ref="N1719:N1721" si="205">I1719</f>
        <v>2025</v>
      </c>
      <c r="O1719" s="235">
        <f>I1719-N1719</f>
        <v>0</v>
      </c>
      <c r="P1719" s="238" t="s">
        <v>6113</v>
      </c>
      <c r="Q1719" s="1" t="s">
        <v>1571</v>
      </c>
      <c r="R1719" s="239" t="s">
        <v>3516</v>
      </c>
      <c r="S1719" s="238" t="s">
        <v>3517</v>
      </c>
      <c r="T1719" s="238" t="s">
        <v>6202</v>
      </c>
      <c r="V1719" s="238" t="s">
        <v>176</v>
      </c>
      <c r="AB1719" s="1" t="s">
        <v>2079</v>
      </c>
    </row>
    <row r="1720" spans="1:28">
      <c r="A1720" s="233">
        <v>41375</v>
      </c>
      <c r="B1720" s="1" t="s">
        <v>3514</v>
      </c>
      <c r="C1720" s="1" t="s">
        <v>163</v>
      </c>
      <c r="D1720" s="1" t="s">
        <v>269</v>
      </c>
      <c r="E1720" s="5" t="s">
        <v>178</v>
      </c>
      <c r="F1720" s="5">
        <v>100</v>
      </c>
      <c r="G1720" s="1" t="s">
        <v>172</v>
      </c>
      <c r="H1720" s="234">
        <v>2</v>
      </c>
      <c r="I1720" s="235">
        <f t="shared" si="202"/>
        <v>200</v>
      </c>
      <c r="K1720" s="250">
        <f>1.53*100</f>
        <v>153</v>
      </c>
      <c r="L1720" s="237">
        <v>41380</v>
      </c>
      <c r="M1720" s="1" t="s">
        <v>166</v>
      </c>
      <c r="N1720" s="235">
        <f t="shared" si="205"/>
        <v>200</v>
      </c>
      <c r="O1720" s="235">
        <f>I1720-N1720</f>
        <v>0</v>
      </c>
      <c r="P1720" s="238" t="s">
        <v>6113</v>
      </c>
      <c r="Q1720" s="1" t="s">
        <v>1571</v>
      </c>
      <c r="R1720" s="239" t="s">
        <v>3516</v>
      </c>
      <c r="S1720" s="238" t="s">
        <v>3517</v>
      </c>
      <c r="T1720" s="238" t="s">
        <v>6202</v>
      </c>
      <c r="V1720" s="238" t="s">
        <v>176</v>
      </c>
      <c r="AB1720" s="1" t="s">
        <v>2079</v>
      </c>
    </row>
    <row r="1721" spans="1:28">
      <c r="A1721" s="233">
        <v>41375</v>
      </c>
      <c r="B1721" s="1" t="s">
        <v>3514</v>
      </c>
      <c r="C1721" s="1" t="s">
        <v>163</v>
      </c>
      <c r="D1721" s="1" t="s">
        <v>264</v>
      </c>
      <c r="E1721" s="5" t="s">
        <v>3519</v>
      </c>
      <c r="F1721" s="5">
        <v>50</v>
      </c>
      <c r="G1721" s="1" t="s">
        <v>171</v>
      </c>
      <c r="H1721" s="234">
        <v>2.5</v>
      </c>
      <c r="I1721" s="235">
        <f t="shared" si="202"/>
        <v>125</v>
      </c>
      <c r="K1721" s="250">
        <f>5*1.88+45*1.58</f>
        <v>80.5</v>
      </c>
      <c r="L1721" s="237">
        <v>41380</v>
      </c>
      <c r="M1721" s="1" t="s">
        <v>166</v>
      </c>
      <c r="N1721" s="235">
        <f t="shared" si="205"/>
        <v>125</v>
      </c>
      <c r="O1721" s="235">
        <f>I1721-N1721</f>
        <v>0</v>
      </c>
      <c r="P1721" s="238" t="s">
        <v>6113</v>
      </c>
      <c r="Q1721" s="1" t="s">
        <v>1571</v>
      </c>
      <c r="R1721" s="239" t="s">
        <v>3516</v>
      </c>
      <c r="S1721" s="238" t="s">
        <v>3517</v>
      </c>
      <c r="T1721" s="238" t="s">
        <v>6202</v>
      </c>
      <c r="V1721" s="238" t="s">
        <v>176</v>
      </c>
      <c r="AB1721" s="1" t="s">
        <v>2079</v>
      </c>
    </row>
    <row r="1722" spans="1:28">
      <c r="A1722" s="233">
        <v>41376</v>
      </c>
      <c r="B1722" s="1" t="s">
        <v>3799</v>
      </c>
      <c r="C1722" s="1" t="s">
        <v>758</v>
      </c>
      <c r="D1722" s="1" t="s">
        <v>1774</v>
      </c>
      <c r="E1722" s="1">
        <v>1860</v>
      </c>
      <c r="F1722" s="1">
        <v>400</v>
      </c>
      <c r="G1722" s="1" t="s">
        <v>6180</v>
      </c>
      <c r="H1722" s="234">
        <v>13.5</v>
      </c>
      <c r="I1722" s="235">
        <f>F1722*H1722</f>
        <v>5400</v>
      </c>
      <c r="K1722" s="282">
        <f>12.15*360+9.5*40</f>
        <v>4754</v>
      </c>
      <c r="L1722" s="237">
        <v>41376</v>
      </c>
      <c r="M1722" s="1" t="s">
        <v>700</v>
      </c>
      <c r="N1722" s="235">
        <f t="shared" ref="N1722" si="206">I1722</f>
        <v>5400</v>
      </c>
      <c r="O1722" s="235">
        <f t="shared" ref="O1722" si="207">I1722-N1722</f>
        <v>0</v>
      </c>
      <c r="P1722" s="238" t="s">
        <v>6214</v>
      </c>
      <c r="Q1722" s="1" t="s">
        <v>1571</v>
      </c>
      <c r="R1722" s="1" t="s">
        <v>3801</v>
      </c>
      <c r="S1722" s="238" t="s">
        <v>3802</v>
      </c>
      <c r="T1722" s="238" t="s">
        <v>4435</v>
      </c>
      <c r="U1722" s="238" t="s">
        <v>168</v>
      </c>
      <c r="V1722" s="238" t="s">
        <v>6221</v>
      </c>
      <c r="Z1722" s="255" t="s">
        <v>6320</v>
      </c>
      <c r="AB1722" s="1" t="s">
        <v>1570</v>
      </c>
    </row>
    <row r="1723" spans="1:28">
      <c r="A1723" s="233">
        <v>41376</v>
      </c>
      <c r="B1723" s="1" t="s">
        <v>6194</v>
      </c>
      <c r="C1723" s="1" t="s">
        <v>163</v>
      </c>
      <c r="D1723" s="1" t="s">
        <v>51</v>
      </c>
      <c r="E1723" s="1">
        <v>9031</v>
      </c>
      <c r="F1723" s="1">
        <v>50</v>
      </c>
      <c r="G1723" s="1" t="s">
        <v>171</v>
      </c>
      <c r="H1723" s="234">
        <v>2.7</v>
      </c>
      <c r="I1723" s="235">
        <f>F1723*H1723</f>
        <v>135</v>
      </c>
      <c r="K1723" s="250">
        <f>1.4929*50</f>
        <v>74.644999999999996</v>
      </c>
      <c r="L1723" s="237">
        <v>41375</v>
      </c>
      <c r="M1723" s="1" t="s">
        <v>166</v>
      </c>
      <c r="N1723" s="235">
        <f>I1723</f>
        <v>135</v>
      </c>
      <c r="O1723" s="235">
        <f>I1723-N1723</f>
        <v>0</v>
      </c>
      <c r="P1723" s="238" t="s">
        <v>168</v>
      </c>
      <c r="Q1723" s="1" t="s">
        <v>6246</v>
      </c>
      <c r="R1723" s="239" t="s">
        <v>6195</v>
      </c>
      <c r="S1723" s="238" t="s">
        <v>6196</v>
      </c>
      <c r="T1723" s="238" t="s">
        <v>6197</v>
      </c>
      <c r="U1723" s="238" t="s">
        <v>6247</v>
      </c>
      <c r="V1723" s="238" t="s">
        <v>6203</v>
      </c>
      <c r="W1723" s="236">
        <v>135</v>
      </c>
      <c r="X1723" s="233">
        <v>41375</v>
      </c>
      <c r="AA1723" s="334" t="s">
        <v>6198</v>
      </c>
      <c r="AB1723" s="1" t="s">
        <v>2079</v>
      </c>
    </row>
    <row r="1724" spans="1:28">
      <c r="A1724" s="233">
        <v>41376</v>
      </c>
      <c r="B1724" s="1" t="s">
        <v>6254</v>
      </c>
      <c r="C1724" s="1" t="s">
        <v>163</v>
      </c>
      <c r="D1724" s="5" t="s">
        <v>2029</v>
      </c>
      <c r="E1724" s="1">
        <v>7502</v>
      </c>
      <c r="F1724" s="1">
        <v>10</v>
      </c>
      <c r="G1724" s="1" t="s">
        <v>171</v>
      </c>
      <c r="H1724" s="234">
        <v>130.18</v>
      </c>
      <c r="I1724" s="235">
        <f>H1724*F1724</f>
        <v>1301.8000000000002</v>
      </c>
      <c r="K1724" s="250">
        <f>110*10</f>
        <v>1100</v>
      </c>
      <c r="L1724" s="237">
        <v>41376</v>
      </c>
      <c r="M1724" s="1" t="s">
        <v>6257</v>
      </c>
      <c r="N1724" s="1">
        <f>I1724</f>
        <v>1301.8000000000002</v>
      </c>
      <c r="O1724" s="236">
        <f>I1724-N1724</f>
        <v>0</v>
      </c>
      <c r="P1724" s="238" t="s">
        <v>6259</v>
      </c>
      <c r="Q1724" s="5" t="s">
        <v>1571</v>
      </c>
      <c r="R1724" s="239" t="s">
        <v>6258</v>
      </c>
      <c r="S1724" s="238" t="s">
        <v>6264</v>
      </c>
      <c r="T1724" s="238" t="s">
        <v>6253</v>
      </c>
      <c r="U1724" s="238" t="s">
        <v>168</v>
      </c>
      <c r="AB1724" s="5" t="s">
        <v>1570</v>
      </c>
    </row>
    <row r="1725" spans="1:28">
      <c r="A1725" s="233">
        <v>41376</v>
      </c>
      <c r="B1725" s="1" t="s">
        <v>6254</v>
      </c>
      <c r="C1725" s="1" t="s">
        <v>163</v>
      </c>
      <c r="D1725" s="1" t="s">
        <v>5879</v>
      </c>
      <c r="E1725" s="1" t="s">
        <v>6255</v>
      </c>
      <c r="F1725" s="1">
        <v>500</v>
      </c>
      <c r="G1725" s="1" t="s">
        <v>171</v>
      </c>
      <c r="H1725" s="234">
        <v>1.63</v>
      </c>
      <c r="I1725" s="235">
        <f>H1725*F1725</f>
        <v>815</v>
      </c>
      <c r="K1725" s="250">
        <f>1.48*500</f>
        <v>740</v>
      </c>
      <c r="L1725" s="237">
        <v>41376</v>
      </c>
      <c r="M1725" s="1" t="s">
        <v>6257</v>
      </c>
      <c r="N1725" s="1">
        <f>I1725</f>
        <v>815</v>
      </c>
      <c r="O1725" s="236">
        <f>I1725-N1725</f>
        <v>0</v>
      </c>
      <c r="P1725" s="238" t="s">
        <v>6259</v>
      </c>
      <c r="Q1725" s="5" t="s">
        <v>1571</v>
      </c>
      <c r="R1725" s="239" t="s">
        <v>6258</v>
      </c>
      <c r="S1725" s="238" t="s">
        <v>6264</v>
      </c>
      <c r="T1725" s="238" t="s">
        <v>6253</v>
      </c>
      <c r="U1725" s="238" t="s">
        <v>168</v>
      </c>
      <c r="AB1725" s="5" t="s">
        <v>1570</v>
      </c>
    </row>
    <row r="1726" spans="1:28">
      <c r="A1726" s="233">
        <v>41376</v>
      </c>
      <c r="B1726" s="1" t="s">
        <v>6254</v>
      </c>
      <c r="C1726" s="1" t="s">
        <v>163</v>
      </c>
      <c r="D1726" s="1" t="s">
        <v>355</v>
      </c>
      <c r="E1726" s="1" t="s">
        <v>146</v>
      </c>
      <c r="F1726" s="1">
        <v>20</v>
      </c>
      <c r="G1726" s="1" t="s">
        <v>171</v>
      </c>
      <c r="H1726" s="234">
        <v>19.260000000000002</v>
      </c>
      <c r="I1726" s="235">
        <f t="shared" ref="I1726:I1728" si="208">H1726*F1726</f>
        <v>385.20000000000005</v>
      </c>
      <c r="K1726" s="250">
        <f>17.8*20</f>
        <v>356</v>
      </c>
      <c r="L1726" s="237">
        <v>41376</v>
      </c>
      <c r="M1726" s="1" t="s">
        <v>6257</v>
      </c>
      <c r="N1726" s="1">
        <f t="shared" ref="N1726:N1728" si="209">I1726</f>
        <v>385.20000000000005</v>
      </c>
      <c r="O1726" s="236">
        <f t="shared" ref="O1726:O1728" si="210">I1726-N1726</f>
        <v>0</v>
      </c>
      <c r="P1726" s="238" t="s">
        <v>6259</v>
      </c>
      <c r="Q1726" s="5" t="s">
        <v>1571</v>
      </c>
      <c r="R1726" s="239" t="s">
        <v>6258</v>
      </c>
      <c r="S1726" s="238" t="s">
        <v>6264</v>
      </c>
      <c r="T1726" s="238" t="s">
        <v>6253</v>
      </c>
      <c r="U1726" s="238" t="s">
        <v>168</v>
      </c>
      <c r="AB1726" s="5" t="s">
        <v>1570</v>
      </c>
    </row>
    <row r="1727" spans="1:28">
      <c r="A1727" s="233">
        <v>41376</v>
      </c>
      <c r="B1727" s="1" t="s">
        <v>6254</v>
      </c>
      <c r="C1727" s="1" t="s">
        <v>163</v>
      </c>
      <c r="D1727" s="5" t="s">
        <v>183</v>
      </c>
      <c r="E1727" s="1" t="s">
        <v>195</v>
      </c>
      <c r="F1727" s="1">
        <v>20</v>
      </c>
      <c r="G1727" s="1" t="s">
        <v>172</v>
      </c>
      <c r="H1727" s="234">
        <v>6.5</v>
      </c>
      <c r="I1727" s="235">
        <f t="shared" si="208"/>
        <v>130</v>
      </c>
      <c r="K1727" s="250">
        <f>4.75*20</f>
        <v>95</v>
      </c>
      <c r="L1727" s="237">
        <v>41376</v>
      </c>
      <c r="M1727" s="1" t="s">
        <v>6257</v>
      </c>
      <c r="N1727" s="1">
        <f t="shared" si="209"/>
        <v>130</v>
      </c>
      <c r="O1727" s="236">
        <f t="shared" si="210"/>
        <v>0</v>
      </c>
      <c r="P1727" s="238" t="s">
        <v>6259</v>
      </c>
      <c r="Q1727" s="5" t="s">
        <v>1571</v>
      </c>
      <c r="R1727" s="239" t="s">
        <v>6258</v>
      </c>
      <c r="S1727" s="238" t="s">
        <v>6264</v>
      </c>
      <c r="T1727" s="238" t="s">
        <v>6253</v>
      </c>
      <c r="U1727" s="238" t="s">
        <v>168</v>
      </c>
      <c r="AB1727" s="5" t="s">
        <v>1570</v>
      </c>
    </row>
    <row r="1728" spans="1:28">
      <c r="A1728" s="233">
        <v>41376</v>
      </c>
      <c r="B1728" s="1" t="s">
        <v>6254</v>
      </c>
      <c r="C1728" s="1" t="s">
        <v>163</v>
      </c>
      <c r="D1728" s="5" t="s">
        <v>1882</v>
      </c>
      <c r="E1728" s="1">
        <v>501</v>
      </c>
      <c r="F1728" s="1">
        <v>20</v>
      </c>
      <c r="G1728" s="1" t="s">
        <v>171</v>
      </c>
      <c r="H1728" s="234">
        <v>1.65</v>
      </c>
      <c r="I1728" s="235">
        <f t="shared" si="208"/>
        <v>33</v>
      </c>
      <c r="K1728" s="250">
        <f>1.39*20</f>
        <v>27.799999999999997</v>
      </c>
      <c r="L1728" s="237">
        <v>41376</v>
      </c>
      <c r="M1728" s="1" t="s">
        <v>6257</v>
      </c>
      <c r="N1728" s="1">
        <f t="shared" si="209"/>
        <v>33</v>
      </c>
      <c r="O1728" s="236">
        <f t="shared" si="210"/>
        <v>0</v>
      </c>
      <c r="P1728" s="238" t="s">
        <v>6259</v>
      </c>
      <c r="Q1728" s="5" t="s">
        <v>1571</v>
      </c>
      <c r="R1728" s="239" t="s">
        <v>6258</v>
      </c>
      <c r="S1728" s="238" t="s">
        <v>6264</v>
      </c>
      <c r="T1728" s="238" t="s">
        <v>6253</v>
      </c>
      <c r="U1728" s="238" t="s">
        <v>168</v>
      </c>
      <c r="AB1728" s="5" t="s">
        <v>1570</v>
      </c>
    </row>
    <row r="1729" spans="1:28">
      <c r="A1729" s="233">
        <v>41376</v>
      </c>
      <c r="B1729" s="1" t="s">
        <v>5280</v>
      </c>
      <c r="C1729" s="5" t="s">
        <v>163</v>
      </c>
      <c r="D1729" s="1" t="s">
        <v>1774</v>
      </c>
      <c r="E1729" s="1">
        <v>1860</v>
      </c>
      <c r="F1729" s="1">
        <v>360</v>
      </c>
      <c r="G1729" s="1" t="s">
        <v>171</v>
      </c>
      <c r="H1729" s="234">
        <v>15</v>
      </c>
      <c r="I1729" s="235">
        <f>F1729*H1729</f>
        <v>5400</v>
      </c>
      <c r="K1729" s="250">
        <f>12.15*360</f>
        <v>4374</v>
      </c>
      <c r="L1729" s="237">
        <v>41375</v>
      </c>
      <c r="M1729" s="1" t="s">
        <v>167</v>
      </c>
      <c r="N1729" s="235">
        <f>I1729</f>
        <v>5400</v>
      </c>
      <c r="O1729" s="235">
        <f t="shared" ref="O1729:O1733" si="211">I1729-N1729</f>
        <v>0</v>
      </c>
      <c r="Q1729" s="1" t="s">
        <v>6266</v>
      </c>
      <c r="R1729" s="239" t="s">
        <v>6207</v>
      </c>
      <c r="S1729" s="238" t="s">
        <v>6209</v>
      </c>
      <c r="T1729" s="238" t="s">
        <v>6208</v>
      </c>
      <c r="AB1729" s="1" t="s">
        <v>1570</v>
      </c>
    </row>
    <row r="1730" spans="1:28">
      <c r="A1730" s="233">
        <v>41376</v>
      </c>
      <c r="B1730" s="1" t="s">
        <v>2486</v>
      </c>
      <c r="C1730" s="1" t="s">
        <v>163</v>
      </c>
      <c r="D1730" s="1" t="s">
        <v>6210</v>
      </c>
      <c r="E1730" s="1">
        <v>8577</v>
      </c>
      <c r="F1730" s="1">
        <v>10</v>
      </c>
      <c r="G1730" s="1" t="s">
        <v>171</v>
      </c>
      <c r="H1730" s="234">
        <v>29.45</v>
      </c>
      <c r="I1730" s="235">
        <f>F1730*H1730</f>
        <v>294.5</v>
      </c>
      <c r="K1730" s="250">
        <f>28.65*10</f>
        <v>286.5</v>
      </c>
      <c r="L1730" s="237">
        <v>41375</v>
      </c>
      <c r="M1730" s="1" t="s">
        <v>166</v>
      </c>
      <c r="N1730" s="235">
        <f>I1730</f>
        <v>294.5</v>
      </c>
      <c r="O1730" s="235">
        <f t="shared" si="211"/>
        <v>0</v>
      </c>
      <c r="Q1730" s="1" t="s">
        <v>6244</v>
      </c>
      <c r="R1730" s="239" t="s">
        <v>2490</v>
      </c>
      <c r="S1730" s="238" t="s">
        <v>735</v>
      </c>
      <c r="T1730" s="238" t="s">
        <v>736</v>
      </c>
      <c r="U1730" s="238" t="s">
        <v>6245</v>
      </c>
      <c r="V1730" s="238" t="s">
        <v>1601</v>
      </c>
      <c r="AB1730" s="1" t="s">
        <v>1570</v>
      </c>
    </row>
    <row r="1731" spans="1:28">
      <c r="A1731" s="233">
        <v>41376</v>
      </c>
      <c r="B1731" s="1" t="s">
        <v>2486</v>
      </c>
      <c r="C1731" s="1" t="s">
        <v>163</v>
      </c>
      <c r="D1731" s="1" t="s">
        <v>1720</v>
      </c>
      <c r="E1731" s="1">
        <v>8210</v>
      </c>
      <c r="F1731" s="1">
        <v>20</v>
      </c>
      <c r="G1731" s="1" t="s">
        <v>171</v>
      </c>
      <c r="H1731" s="234">
        <v>4</v>
      </c>
      <c r="I1731" s="235">
        <f>F1731*H1731</f>
        <v>80</v>
      </c>
      <c r="K1731" s="250">
        <f>3.78*20</f>
        <v>75.599999999999994</v>
      </c>
      <c r="L1731" s="237">
        <v>41375</v>
      </c>
      <c r="M1731" s="1" t="s">
        <v>166</v>
      </c>
      <c r="N1731" s="235">
        <f>I1731</f>
        <v>80</v>
      </c>
      <c r="O1731" s="235">
        <f t="shared" si="211"/>
        <v>0</v>
      </c>
      <c r="Q1731" s="1" t="s">
        <v>6244</v>
      </c>
      <c r="R1731" s="239" t="s">
        <v>2490</v>
      </c>
      <c r="S1731" s="238" t="s">
        <v>735</v>
      </c>
      <c r="T1731" s="238" t="s">
        <v>736</v>
      </c>
      <c r="U1731" s="238" t="s">
        <v>6245</v>
      </c>
      <c r="V1731" s="238" t="s">
        <v>1601</v>
      </c>
      <c r="AB1731" s="1" t="s">
        <v>1570</v>
      </c>
    </row>
    <row r="1732" spans="1:28">
      <c r="A1732" s="233">
        <v>41376</v>
      </c>
      <c r="B1732" s="1" t="s">
        <v>6236</v>
      </c>
      <c r="C1732" s="1" t="s">
        <v>163</v>
      </c>
      <c r="D1732" s="368" t="s">
        <v>704</v>
      </c>
      <c r="E1732" s="1" t="s">
        <v>6237</v>
      </c>
      <c r="F1732" s="1">
        <v>9000</v>
      </c>
      <c r="G1732" s="1" t="s">
        <v>171</v>
      </c>
      <c r="H1732" s="234">
        <v>2.62</v>
      </c>
      <c r="I1732" s="235">
        <f>H1732*F1732</f>
        <v>23580</v>
      </c>
      <c r="K1732" s="250">
        <f>2.32*9000</f>
        <v>20880</v>
      </c>
      <c r="L1732" s="237">
        <v>41376</v>
      </c>
      <c r="M1732" s="1" t="s">
        <v>6239</v>
      </c>
      <c r="N1732" s="235">
        <f>I1732</f>
        <v>23580</v>
      </c>
      <c r="O1732" s="235">
        <f t="shared" si="211"/>
        <v>0</v>
      </c>
      <c r="P1732" s="238" t="s">
        <v>6253</v>
      </c>
      <c r="Q1732" s="1" t="s">
        <v>6260</v>
      </c>
      <c r="R1732" s="239" t="s">
        <v>6261</v>
      </c>
      <c r="S1732" s="238" t="s">
        <v>6262</v>
      </c>
      <c r="T1732" s="238" t="s">
        <v>6238</v>
      </c>
      <c r="U1732" s="238" t="s">
        <v>6263</v>
      </c>
      <c r="AB1732" s="5" t="s">
        <v>1570</v>
      </c>
    </row>
    <row r="1733" spans="1:28">
      <c r="A1733" s="233">
        <v>41379</v>
      </c>
      <c r="B1733" s="1" t="s">
        <v>4728</v>
      </c>
      <c r="C1733" s="1" t="s">
        <v>6231</v>
      </c>
      <c r="D1733" s="1" t="s">
        <v>6232</v>
      </c>
      <c r="E1733" s="238" t="s">
        <v>6233</v>
      </c>
      <c r="F1733" s="1">
        <v>14</v>
      </c>
      <c r="G1733" s="1" t="s">
        <v>830</v>
      </c>
      <c r="H1733" s="234">
        <v>105.6</v>
      </c>
      <c r="I1733" s="235">
        <f>F1733*H1733</f>
        <v>1478.3999999999999</v>
      </c>
      <c r="K1733" s="250">
        <f>102.08*14</f>
        <v>1429.12</v>
      </c>
      <c r="N1733" s="235">
        <v>0</v>
      </c>
      <c r="O1733" s="235">
        <f t="shared" si="211"/>
        <v>1478.3999999999999</v>
      </c>
      <c r="P1733" s="238" t="s">
        <v>6265</v>
      </c>
      <c r="Q1733" s="5" t="s">
        <v>1571</v>
      </c>
      <c r="R1733" s="239" t="s">
        <v>168</v>
      </c>
      <c r="S1733" s="238" t="s">
        <v>168</v>
      </c>
      <c r="T1733" s="238" t="s">
        <v>168</v>
      </c>
      <c r="U1733" s="238" t="s">
        <v>168</v>
      </c>
      <c r="AB1733" s="5" t="s">
        <v>1570</v>
      </c>
    </row>
    <row r="1734" spans="1:28">
      <c r="A1734" s="233">
        <v>41379</v>
      </c>
      <c r="B1734" s="1" t="s">
        <v>6296</v>
      </c>
      <c r="C1734" s="1" t="s">
        <v>163</v>
      </c>
      <c r="D1734" s="1" t="s">
        <v>48</v>
      </c>
      <c r="E1734" s="1" t="s">
        <v>3154</v>
      </c>
      <c r="F1734" s="1">
        <v>50</v>
      </c>
      <c r="G1734" s="1" t="s">
        <v>193</v>
      </c>
      <c r="H1734" s="234">
        <v>200</v>
      </c>
      <c r="I1734" s="235">
        <f t="shared" ref="I1734" si="212">F1734*H1734</f>
        <v>10000</v>
      </c>
      <c r="K1734" s="250">
        <f>107.64*250</f>
        <v>26910</v>
      </c>
      <c r="L1734" s="237">
        <v>41380</v>
      </c>
      <c r="M1734" s="1" t="s">
        <v>6323</v>
      </c>
      <c r="N1734" s="235">
        <f>I1734</f>
        <v>10000</v>
      </c>
      <c r="O1734" s="235">
        <f>I1734-N1734</f>
        <v>0</v>
      </c>
      <c r="P1734" s="238" t="s">
        <v>6324</v>
      </c>
      <c r="Q1734" s="5" t="s">
        <v>2529</v>
      </c>
      <c r="R1734" s="239" t="s">
        <v>168</v>
      </c>
      <c r="S1734" s="238" t="s">
        <v>168</v>
      </c>
      <c r="T1734" s="238" t="s">
        <v>5783</v>
      </c>
      <c r="U1734" s="238" t="s">
        <v>6286</v>
      </c>
      <c r="V1734" s="238" t="s">
        <v>6287</v>
      </c>
      <c r="W1734" s="236">
        <v>37500</v>
      </c>
      <c r="X1734" s="233">
        <v>41379</v>
      </c>
      <c r="Y1734" s="238" t="s">
        <v>6286</v>
      </c>
      <c r="AB1734" s="5" t="s">
        <v>1570</v>
      </c>
    </row>
    <row r="1735" spans="1:28">
      <c r="A1735" s="233">
        <v>41379</v>
      </c>
      <c r="B1735" s="1" t="s">
        <v>1572</v>
      </c>
      <c r="C1735" s="1" t="s">
        <v>163</v>
      </c>
      <c r="D1735" s="5" t="s">
        <v>1879</v>
      </c>
      <c r="E1735" s="1" t="s">
        <v>178</v>
      </c>
      <c r="F1735" s="1">
        <v>300</v>
      </c>
      <c r="G1735" s="1" t="s">
        <v>172</v>
      </c>
      <c r="H1735" s="234">
        <v>1.8</v>
      </c>
      <c r="I1735" s="235">
        <f t="shared" ref="I1735" si="213">F1735*H1735</f>
        <v>540</v>
      </c>
      <c r="K1735" s="250">
        <f>1.17*300</f>
        <v>351</v>
      </c>
      <c r="N1735" s="235">
        <v>0</v>
      </c>
      <c r="O1735" s="235">
        <f>I1735-N1735</f>
        <v>540</v>
      </c>
      <c r="P1735" s="238" t="s">
        <v>6298</v>
      </c>
      <c r="Q1735" s="1" t="s">
        <v>1571</v>
      </c>
      <c r="R1735" s="239" t="s">
        <v>6061</v>
      </c>
      <c r="S1735" s="238" t="s">
        <v>6062</v>
      </c>
      <c r="T1735" s="238" t="s">
        <v>2275</v>
      </c>
      <c r="U1735" s="238" t="s">
        <v>168</v>
      </c>
      <c r="AB1735" s="5" t="s">
        <v>2079</v>
      </c>
    </row>
    <row r="1736" spans="1:28">
      <c r="A1736" s="233">
        <v>41379</v>
      </c>
      <c r="B1736" s="228" t="s">
        <v>1496</v>
      </c>
      <c r="C1736" s="1" t="s">
        <v>163</v>
      </c>
      <c r="D1736" s="1" t="s">
        <v>1880</v>
      </c>
      <c r="E1736" s="1">
        <v>6006</v>
      </c>
      <c r="F1736" s="1">
        <v>80</v>
      </c>
      <c r="G1736" s="1" t="s">
        <v>6122</v>
      </c>
      <c r="H1736" s="234">
        <v>57.7</v>
      </c>
      <c r="I1736" s="235">
        <f>F1736*H1736</f>
        <v>4616</v>
      </c>
      <c r="K1736" s="250">
        <f>55.3*80</f>
        <v>4424</v>
      </c>
      <c r="L1736" s="237">
        <v>41375</v>
      </c>
      <c r="M1736" s="1" t="s">
        <v>167</v>
      </c>
      <c r="N1736" s="235">
        <f>I1736</f>
        <v>4616</v>
      </c>
      <c r="O1736" s="235">
        <f>I1736-N1736</f>
        <v>0</v>
      </c>
      <c r="P1736" s="238" t="s">
        <v>6115</v>
      </c>
      <c r="Q1736" s="1" t="s">
        <v>6307</v>
      </c>
      <c r="R1736" s="239" t="s">
        <v>4357</v>
      </c>
      <c r="S1736" s="238" t="s">
        <v>4358</v>
      </c>
      <c r="T1736" s="238" t="s">
        <v>1479</v>
      </c>
      <c r="U1736" s="238" t="s">
        <v>6308</v>
      </c>
      <c r="V1736" s="238" t="s">
        <v>6218</v>
      </c>
      <c r="W1736" s="236">
        <v>16862.8</v>
      </c>
      <c r="X1736" s="233">
        <v>41376</v>
      </c>
      <c r="Y1736" s="238" t="s">
        <v>6219</v>
      </c>
      <c r="AB1736" s="1" t="s">
        <v>1570</v>
      </c>
    </row>
    <row r="1737" spans="1:28">
      <c r="A1737" s="233">
        <v>41379</v>
      </c>
      <c r="B1737" s="228" t="s">
        <v>1496</v>
      </c>
      <c r="C1737" s="1" t="s">
        <v>163</v>
      </c>
      <c r="D1737" s="5" t="s">
        <v>348</v>
      </c>
      <c r="E1737" s="1">
        <v>3700</v>
      </c>
      <c r="F1737" s="1">
        <v>60</v>
      </c>
      <c r="G1737" s="1" t="s">
        <v>230</v>
      </c>
      <c r="H1737" s="234">
        <v>4</v>
      </c>
      <c r="I1737" s="235">
        <f>F1737*H1737</f>
        <v>240</v>
      </c>
      <c r="K1737" s="250">
        <f>3.65*60</f>
        <v>219</v>
      </c>
      <c r="L1737" s="237">
        <v>41375</v>
      </c>
      <c r="M1737" s="1" t="s">
        <v>167</v>
      </c>
      <c r="N1737" s="235">
        <f t="shared" ref="N1737" si="214">I1737</f>
        <v>240</v>
      </c>
      <c r="O1737" s="235">
        <f>I1737-N1737</f>
        <v>0</v>
      </c>
      <c r="P1737" s="238" t="s">
        <v>6115</v>
      </c>
      <c r="Q1737" s="1" t="s">
        <v>6307</v>
      </c>
      <c r="R1737" s="239" t="s">
        <v>4357</v>
      </c>
      <c r="S1737" s="238" t="s">
        <v>4358</v>
      </c>
      <c r="T1737" s="238" t="s">
        <v>1479</v>
      </c>
      <c r="U1737" s="238" t="s">
        <v>6308</v>
      </c>
      <c r="V1737" s="238" t="s">
        <v>6218</v>
      </c>
      <c r="W1737" s="236">
        <v>16862.8</v>
      </c>
      <c r="X1737" s="233">
        <v>41376</v>
      </c>
      <c r="Y1737" s="238" t="s">
        <v>6219</v>
      </c>
      <c r="AB1737" s="1" t="s">
        <v>1570</v>
      </c>
    </row>
    <row r="1738" spans="1:28">
      <c r="A1738" s="233">
        <v>41379</v>
      </c>
      <c r="B1738" s="1" t="s">
        <v>1578</v>
      </c>
      <c r="C1738" s="1" t="s">
        <v>163</v>
      </c>
      <c r="D1738" s="1" t="s">
        <v>1219</v>
      </c>
      <c r="E1738" s="1" t="s">
        <v>6099</v>
      </c>
      <c r="F1738" s="1">
        <v>60</v>
      </c>
      <c r="G1738" s="1" t="s">
        <v>6105</v>
      </c>
      <c r="H1738" s="234">
        <v>13.2</v>
      </c>
      <c r="I1738" s="235">
        <f t="shared" si="194"/>
        <v>792</v>
      </c>
      <c r="K1738" s="250">
        <f>12.3*60</f>
        <v>738</v>
      </c>
      <c r="N1738" s="235">
        <v>0</v>
      </c>
      <c r="O1738" s="235">
        <f t="shared" ref="O1738:O1756" si="215">I1738-N1738</f>
        <v>792</v>
      </c>
      <c r="P1738" s="238" t="s">
        <v>6318</v>
      </c>
      <c r="Q1738" s="1" t="s">
        <v>6081</v>
      </c>
      <c r="R1738" s="239" t="s">
        <v>1579</v>
      </c>
      <c r="S1738" s="238">
        <v>13368068212</v>
      </c>
      <c r="T1738" s="238" t="s">
        <v>168</v>
      </c>
      <c r="AB1738" s="5" t="s">
        <v>1570</v>
      </c>
    </row>
    <row r="1739" spans="1:28">
      <c r="A1739" s="233">
        <v>41379</v>
      </c>
      <c r="B1739" s="1" t="s">
        <v>1578</v>
      </c>
      <c r="C1739" s="1" t="s">
        <v>163</v>
      </c>
      <c r="D1739" s="5" t="s">
        <v>986</v>
      </c>
      <c r="E1739" s="1">
        <v>6800</v>
      </c>
      <c r="F1739" s="1">
        <v>30</v>
      </c>
      <c r="G1739" s="1" t="s">
        <v>6104</v>
      </c>
      <c r="H1739" s="234">
        <v>450</v>
      </c>
      <c r="I1739" s="235">
        <f t="shared" si="194"/>
        <v>13500</v>
      </c>
      <c r="K1739" s="250">
        <f>420*30</f>
        <v>12600</v>
      </c>
      <c r="N1739" s="235">
        <v>0</v>
      </c>
      <c r="O1739" s="235">
        <f t="shared" si="215"/>
        <v>13500</v>
      </c>
      <c r="P1739" s="238" t="s">
        <v>6318</v>
      </c>
      <c r="Q1739" s="1" t="s">
        <v>6081</v>
      </c>
      <c r="R1739" s="239" t="s">
        <v>1579</v>
      </c>
      <c r="S1739" s="238">
        <v>13368068212</v>
      </c>
      <c r="T1739" s="238" t="s">
        <v>168</v>
      </c>
      <c r="AB1739" s="5" t="s">
        <v>1570</v>
      </c>
    </row>
    <row r="1740" spans="1:28">
      <c r="A1740" s="233">
        <v>41379</v>
      </c>
      <c r="B1740" s="1" t="s">
        <v>1578</v>
      </c>
      <c r="C1740" s="1" t="s">
        <v>163</v>
      </c>
      <c r="D1740" s="348" t="s">
        <v>595</v>
      </c>
      <c r="E1740" s="1">
        <v>3200</v>
      </c>
      <c r="F1740" s="1">
        <v>50</v>
      </c>
      <c r="G1740" s="1" t="s">
        <v>171</v>
      </c>
      <c r="H1740" s="234">
        <v>27.5</v>
      </c>
      <c r="I1740" s="235">
        <f t="shared" si="194"/>
        <v>1375</v>
      </c>
      <c r="K1740" s="250">
        <f>23.94*50</f>
        <v>1197</v>
      </c>
      <c r="N1740" s="235">
        <v>0</v>
      </c>
      <c r="O1740" s="235">
        <f t="shared" si="215"/>
        <v>1375</v>
      </c>
      <c r="P1740" s="238" t="s">
        <v>6318</v>
      </c>
      <c r="Q1740" s="1" t="s">
        <v>6081</v>
      </c>
      <c r="R1740" s="239" t="s">
        <v>1579</v>
      </c>
      <c r="S1740" s="238">
        <v>13368068212</v>
      </c>
      <c r="T1740" s="238" t="s">
        <v>168</v>
      </c>
      <c r="AB1740" s="5" t="s">
        <v>1570</v>
      </c>
    </row>
    <row r="1741" spans="1:28">
      <c r="A1741" s="233">
        <v>41379</v>
      </c>
      <c r="B1741" s="1" t="s">
        <v>1578</v>
      </c>
      <c r="C1741" s="1" t="s">
        <v>163</v>
      </c>
      <c r="D1741" s="5" t="s">
        <v>348</v>
      </c>
      <c r="E1741" s="1">
        <v>3700</v>
      </c>
      <c r="F1741" s="1">
        <v>20</v>
      </c>
      <c r="G1741" s="1" t="s">
        <v>171</v>
      </c>
      <c r="H1741" s="234">
        <v>4</v>
      </c>
      <c r="I1741" s="235">
        <f t="shared" si="194"/>
        <v>80</v>
      </c>
      <c r="K1741" s="250">
        <f>3.65*20</f>
        <v>73</v>
      </c>
      <c r="N1741" s="235">
        <v>0</v>
      </c>
      <c r="O1741" s="235">
        <f t="shared" si="215"/>
        <v>80</v>
      </c>
      <c r="P1741" s="238" t="s">
        <v>6318</v>
      </c>
      <c r="Q1741" s="1" t="s">
        <v>6081</v>
      </c>
      <c r="R1741" s="239" t="s">
        <v>1579</v>
      </c>
      <c r="S1741" s="238">
        <v>13368068212</v>
      </c>
      <c r="T1741" s="238" t="s">
        <v>168</v>
      </c>
      <c r="AB1741" s="5" t="s">
        <v>1570</v>
      </c>
    </row>
    <row r="1742" spans="1:28">
      <c r="A1742" s="233">
        <v>41379</v>
      </c>
      <c r="B1742" s="1" t="s">
        <v>1578</v>
      </c>
      <c r="C1742" s="1" t="s">
        <v>163</v>
      </c>
      <c r="D1742" s="5" t="s">
        <v>183</v>
      </c>
      <c r="E1742" s="1" t="s">
        <v>187</v>
      </c>
      <c r="F1742" s="1">
        <v>200</v>
      </c>
      <c r="G1742" s="1" t="s">
        <v>172</v>
      </c>
      <c r="H1742" s="234">
        <v>1.65</v>
      </c>
      <c r="I1742" s="235">
        <f t="shared" si="194"/>
        <v>330</v>
      </c>
      <c r="K1742" s="250">
        <f>1.54*200</f>
        <v>308</v>
      </c>
      <c r="N1742" s="235">
        <v>0</v>
      </c>
      <c r="O1742" s="235">
        <f t="shared" si="215"/>
        <v>330</v>
      </c>
      <c r="P1742" s="238" t="s">
        <v>6318</v>
      </c>
      <c r="Q1742" s="1" t="s">
        <v>6081</v>
      </c>
      <c r="R1742" s="239" t="s">
        <v>1579</v>
      </c>
      <c r="S1742" s="238">
        <v>13368068212</v>
      </c>
      <c r="T1742" s="238" t="s">
        <v>168</v>
      </c>
      <c r="AB1742" s="5" t="s">
        <v>1570</v>
      </c>
    </row>
    <row r="1743" spans="1:28">
      <c r="A1743" s="233">
        <v>41379</v>
      </c>
      <c r="B1743" s="1" t="s">
        <v>1578</v>
      </c>
      <c r="C1743" s="1" t="s">
        <v>163</v>
      </c>
      <c r="D1743" s="1" t="s">
        <v>666</v>
      </c>
      <c r="E1743" s="1">
        <v>8246</v>
      </c>
      <c r="F1743" s="1">
        <v>20</v>
      </c>
      <c r="G1743" s="1" t="s">
        <v>171</v>
      </c>
      <c r="H1743" s="234">
        <v>13.5</v>
      </c>
      <c r="I1743" s="235">
        <f t="shared" si="194"/>
        <v>270</v>
      </c>
      <c r="K1743" s="250">
        <f>11.7*20</f>
        <v>234</v>
      </c>
      <c r="N1743" s="235">
        <v>0</v>
      </c>
      <c r="O1743" s="235">
        <f t="shared" si="215"/>
        <v>270</v>
      </c>
      <c r="P1743" s="238" t="s">
        <v>6318</v>
      </c>
      <c r="Q1743" s="1" t="s">
        <v>6081</v>
      </c>
      <c r="R1743" s="239" t="s">
        <v>1579</v>
      </c>
      <c r="S1743" s="238">
        <v>13368068212</v>
      </c>
      <c r="T1743" s="238" t="s">
        <v>168</v>
      </c>
      <c r="AB1743" s="5" t="s">
        <v>1570</v>
      </c>
    </row>
    <row r="1744" spans="1:28">
      <c r="A1744" s="233">
        <v>41379</v>
      </c>
      <c r="B1744" s="1" t="s">
        <v>1578</v>
      </c>
      <c r="C1744" s="1" t="s">
        <v>163</v>
      </c>
      <c r="D1744" s="1" t="s">
        <v>355</v>
      </c>
      <c r="E1744" s="1" t="s">
        <v>146</v>
      </c>
      <c r="F1744" s="1">
        <v>20</v>
      </c>
      <c r="G1744" s="1" t="s">
        <v>171</v>
      </c>
      <c r="H1744" s="234">
        <v>18.350000000000001</v>
      </c>
      <c r="I1744" s="235">
        <f t="shared" si="194"/>
        <v>367</v>
      </c>
      <c r="K1744" s="250">
        <f>17.25*20</f>
        <v>345</v>
      </c>
      <c r="N1744" s="235">
        <v>0</v>
      </c>
      <c r="O1744" s="235">
        <f t="shared" si="215"/>
        <v>367</v>
      </c>
      <c r="P1744" s="238" t="s">
        <v>6318</v>
      </c>
      <c r="Q1744" s="1" t="s">
        <v>6081</v>
      </c>
      <c r="R1744" s="239" t="s">
        <v>1579</v>
      </c>
      <c r="S1744" s="238">
        <v>13368068212</v>
      </c>
      <c r="T1744" s="238" t="s">
        <v>168</v>
      </c>
      <c r="AB1744" s="5" t="s">
        <v>1570</v>
      </c>
    </row>
    <row r="1745" spans="1:28">
      <c r="A1745" s="233">
        <v>41379</v>
      </c>
      <c r="B1745" s="1" t="s">
        <v>1578</v>
      </c>
      <c r="C1745" s="1" t="s">
        <v>163</v>
      </c>
      <c r="D1745" s="1" t="s">
        <v>1224</v>
      </c>
      <c r="E1745" s="1">
        <v>6004</v>
      </c>
      <c r="F1745" s="1">
        <v>20</v>
      </c>
      <c r="G1745" s="1" t="s">
        <v>171</v>
      </c>
      <c r="H1745" s="234">
        <v>42.2</v>
      </c>
      <c r="I1745" s="235">
        <f t="shared" si="194"/>
        <v>844</v>
      </c>
      <c r="K1745" s="250">
        <f>37.9*20</f>
        <v>758</v>
      </c>
      <c r="N1745" s="235">
        <v>0</v>
      </c>
      <c r="O1745" s="235">
        <f t="shared" si="215"/>
        <v>844</v>
      </c>
      <c r="P1745" s="238" t="s">
        <v>6318</v>
      </c>
      <c r="Q1745" s="1" t="s">
        <v>6081</v>
      </c>
      <c r="R1745" s="239" t="s">
        <v>1579</v>
      </c>
      <c r="S1745" s="238">
        <v>13368068212</v>
      </c>
      <c r="T1745" s="238" t="s">
        <v>168</v>
      </c>
      <c r="AB1745" s="5" t="s">
        <v>1570</v>
      </c>
    </row>
    <row r="1746" spans="1:28">
      <c r="A1746" s="233">
        <v>41379</v>
      </c>
      <c r="B1746" s="1" t="s">
        <v>1578</v>
      </c>
      <c r="C1746" s="1" t="s">
        <v>163</v>
      </c>
      <c r="D1746" s="1" t="s">
        <v>1226</v>
      </c>
      <c r="E1746" s="1">
        <v>6005</v>
      </c>
      <c r="F1746" s="1">
        <v>20</v>
      </c>
      <c r="G1746" s="1" t="s">
        <v>171</v>
      </c>
      <c r="H1746" s="234">
        <v>42.2</v>
      </c>
      <c r="I1746" s="235">
        <f t="shared" si="194"/>
        <v>844</v>
      </c>
      <c r="K1746" s="250">
        <f>37.9*20</f>
        <v>758</v>
      </c>
      <c r="N1746" s="235">
        <v>0</v>
      </c>
      <c r="O1746" s="235">
        <f t="shared" si="215"/>
        <v>844</v>
      </c>
      <c r="P1746" s="238" t="s">
        <v>6318</v>
      </c>
      <c r="Q1746" s="1" t="s">
        <v>6081</v>
      </c>
      <c r="R1746" s="239" t="s">
        <v>1579</v>
      </c>
      <c r="S1746" s="238">
        <v>13368068212</v>
      </c>
      <c r="T1746" s="238" t="s">
        <v>168</v>
      </c>
      <c r="AB1746" s="5" t="s">
        <v>1570</v>
      </c>
    </row>
    <row r="1747" spans="1:28">
      <c r="A1747" s="233">
        <v>41379</v>
      </c>
      <c r="B1747" s="1" t="s">
        <v>1578</v>
      </c>
      <c r="C1747" s="1" t="s">
        <v>163</v>
      </c>
      <c r="D1747" s="1" t="s">
        <v>1880</v>
      </c>
      <c r="E1747" s="1">
        <v>6006</v>
      </c>
      <c r="F1747" s="1">
        <v>20</v>
      </c>
      <c r="G1747" s="1" t="s">
        <v>171</v>
      </c>
      <c r="H1747" s="234">
        <v>50.5</v>
      </c>
      <c r="I1747" s="235">
        <f t="shared" si="194"/>
        <v>1010</v>
      </c>
      <c r="K1747" s="250">
        <f>47.5*20</f>
        <v>950</v>
      </c>
      <c r="N1747" s="235">
        <v>0</v>
      </c>
      <c r="O1747" s="235">
        <f t="shared" si="215"/>
        <v>1010</v>
      </c>
      <c r="P1747" s="238" t="s">
        <v>6318</v>
      </c>
      <c r="Q1747" s="1" t="s">
        <v>6081</v>
      </c>
      <c r="R1747" s="239" t="s">
        <v>1579</v>
      </c>
      <c r="S1747" s="238">
        <v>13368068212</v>
      </c>
      <c r="T1747" s="238" t="s">
        <v>168</v>
      </c>
      <c r="AB1747" s="5" t="s">
        <v>1570</v>
      </c>
    </row>
    <row r="1748" spans="1:28">
      <c r="A1748" s="233">
        <v>41379</v>
      </c>
      <c r="B1748" s="1" t="s">
        <v>1578</v>
      </c>
      <c r="C1748" s="1" t="s">
        <v>163</v>
      </c>
      <c r="D1748" s="1" t="s">
        <v>662</v>
      </c>
      <c r="E1748" s="1" t="s">
        <v>6100</v>
      </c>
      <c r="F1748" s="1">
        <v>10</v>
      </c>
      <c r="G1748" s="1" t="s">
        <v>171</v>
      </c>
      <c r="H1748" s="234">
        <v>133.94</v>
      </c>
      <c r="I1748" s="235">
        <f t="shared" si="194"/>
        <v>1339.4</v>
      </c>
      <c r="K1748" s="250">
        <f>115*10</f>
        <v>1150</v>
      </c>
      <c r="N1748" s="235">
        <v>0</v>
      </c>
      <c r="O1748" s="235">
        <f t="shared" si="215"/>
        <v>1339.4</v>
      </c>
      <c r="P1748" s="238" t="s">
        <v>6318</v>
      </c>
      <c r="Q1748" s="1" t="s">
        <v>6081</v>
      </c>
      <c r="R1748" s="239" t="s">
        <v>1579</v>
      </c>
      <c r="S1748" s="238">
        <v>13368068212</v>
      </c>
      <c r="T1748" s="238" t="s">
        <v>168</v>
      </c>
      <c r="AB1748" s="5" t="s">
        <v>1570</v>
      </c>
    </row>
    <row r="1749" spans="1:28">
      <c r="A1749" s="233">
        <v>41379</v>
      </c>
      <c r="B1749" s="1" t="s">
        <v>1578</v>
      </c>
      <c r="C1749" s="1" t="s">
        <v>6102</v>
      </c>
      <c r="D1749" s="1" t="s">
        <v>6111</v>
      </c>
      <c r="E1749" s="1" t="s">
        <v>6101</v>
      </c>
      <c r="F1749" s="1">
        <v>4</v>
      </c>
      <c r="G1749" s="1" t="s">
        <v>6103</v>
      </c>
      <c r="H1749" s="234">
        <v>68</v>
      </c>
      <c r="I1749" s="235">
        <f t="shared" si="194"/>
        <v>272</v>
      </c>
      <c r="K1749" s="250">
        <f>58*4</f>
        <v>232</v>
      </c>
      <c r="N1749" s="235">
        <v>0</v>
      </c>
      <c r="O1749" s="235">
        <f t="shared" si="215"/>
        <v>272</v>
      </c>
      <c r="P1749" s="238" t="s">
        <v>6318</v>
      </c>
      <c r="Q1749" s="1" t="s">
        <v>6081</v>
      </c>
      <c r="R1749" s="239" t="s">
        <v>1579</v>
      </c>
      <c r="S1749" s="238">
        <v>13368068212</v>
      </c>
      <c r="T1749" s="238" t="s">
        <v>168</v>
      </c>
      <c r="AB1749" s="5" t="s">
        <v>1570</v>
      </c>
    </row>
    <row r="1750" spans="1:28">
      <c r="A1750" s="233">
        <v>41379</v>
      </c>
      <c r="B1750" s="1" t="s">
        <v>1578</v>
      </c>
      <c r="C1750" s="1" t="s">
        <v>6102</v>
      </c>
      <c r="D1750" s="1" t="s">
        <v>6112</v>
      </c>
      <c r="E1750" s="1">
        <v>91115802</v>
      </c>
      <c r="F1750" s="1">
        <v>4</v>
      </c>
      <c r="G1750" s="1" t="s">
        <v>6103</v>
      </c>
      <c r="H1750" s="234">
        <v>100</v>
      </c>
      <c r="I1750" s="235">
        <f t="shared" si="194"/>
        <v>400</v>
      </c>
      <c r="K1750" s="250">
        <f>90*4</f>
        <v>360</v>
      </c>
      <c r="N1750" s="235">
        <v>0</v>
      </c>
      <c r="O1750" s="235">
        <f t="shared" si="215"/>
        <v>400</v>
      </c>
      <c r="P1750" s="238" t="s">
        <v>6318</v>
      </c>
      <c r="Q1750" s="1" t="s">
        <v>6081</v>
      </c>
      <c r="R1750" s="239" t="s">
        <v>1579</v>
      </c>
      <c r="S1750" s="238">
        <v>13368068212</v>
      </c>
      <c r="T1750" s="238" t="s">
        <v>168</v>
      </c>
      <c r="AB1750" s="5" t="s">
        <v>1570</v>
      </c>
    </row>
    <row r="1751" spans="1:28">
      <c r="A1751" s="233">
        <v>41379</v>
      </c>
      <c r="B1751" s="1" t="s">
        <v>1578</v>
      </c>
      <c r="C1751" s="1" t="s">
        <v>163</v>
      </c>
      <c r="D1751" s="1" t="s">
        <v>355</v>
      </c>
      <c r="E1751" s="1" t="s">
        <v>929</v>
      </c>
      <c r="F1751" s="1">
        <v>3</v>
      </c>
      <c r="G1751" s="1" t="s">
        <v>171</v>
      </c>
      <c r="H1751" s="234">
        <v>12.93</v>
      </c>
      <c r="I1751" s="235">
        <f t="shared" ref="I1751" si="216">F1751*H1751</f>
        <v>38.79</v>
      </c>
      <c r="K1751" s="250">
        <f>10.94*3</f>
        <v>32.82</v>
      </c>
      <c r="N1751" s="235">
        <v>0</v>
      </c>
      <c r="O1751" s="235">
        <f t="shared" ref="O1751" si="217">I1751-N1751</f>
        <v>38.79</v>
      </c>
      <c r="P1751" s="238" t="s">
        <v>6318</v>
      </c>
      <c r="Q1751" s="1" t="s">
        <v>1571</v>
      </c>
      <c r="R1751" s="239" t="s">
        <v>1579</v>
      </c>
      <c r="S1751" s="238">
        <v>13368068212</v>
      </c>
      <c r="T1751" s="238" t="s">
        <v>168</v>
      </c>
      <c r="AB1751" s="5" t="s">
        <v>1570</v>
      </c>
    </row>
    <row r="1752" spans="1:28">
      <c r="A1752" s="233">
        <v>41379</v>
      </c>
      <c r="B1752" s="1" t="s">
        <v>5112</v>
      </c>
      <c r="C1752" s="1" t="s">
        <v>163</v>
      </c>
      <c r="D1752" s="1" t="s">
        <v>355</v>
      </c>
      <c r="E1752" s="1" t="s">
        <v>146</v>
      </c>
      <c r="F1752" s="1">
        <v>20</v>
      </c>
      <c r="G1752" s="1" t="s">
        <v>6277</v>
      </c>
      <c r="H1752" s="234">
        <v>18</v>
      </c>
      <c r="I1752" s="235">
        <f>F1752*H1752</f>
        <v>360</v>
      </c>
      <c r="K1752" s="250">
        <f>17.25*20</f>
        <v>345</v>
      </c>
      <c r="N1752" s="1">
        <v>0</v>
      </c>
      <c r="O1752" s="235">
        <f>I1752-N1752</f>
        <v>360</v>
      </c>
      <c r="P1752" s="238" t="s">
        <v>6278</v>
      </c>
      <c r="Q1752" s="1" t="s">
        <v>393</v>
      </c>
      <c r="R1752" s="265" t="s">
        <v>5173</v>
      </c>
      <c r="S1752" s="265">
        <v>13883590995</v>
      </c>
      <c r="T1752" s="265" t="s">
        <v>5174</v>
      </c>
      <c r="U1752" s="238" t="s">
        <v>168</v>
      </c>
      <c r="AB1752" s="1" t="s">
        <v>1570</v>
      </c>
    </row>
    <row r="1753" spans="1:28">
      <c r="A1753" s="233">
        <v>41380</v>
      </c>
      <c r="B1753" s="228" t="s">
        <v>1496</v>
      </c>
      <c r="C1753" s="1" t="s">
        <v>163</v>
      </c>
      <c r="D1753" s="1" t="s">
        <v>1912</v>
      </c>
      <c r="E1753" s="1">
        <v>3100</v>
      </c>
      <c r="F1753" s="1">
        <v>60</v>
      </c>
      <c r="G1753" s="1" t="s">
        <v>230</v>
      </c>
      <c r="H1753" s="234">
        <v>32.65</v>
      </c>
      <c r="I1753" s="235">
        <f>F1753*H1753</f>
        <v>1959</v>
      </c>
      <c r="K1753" s="250">
        <f>31.2*60</f>
        <v>1872</v>
      </c>
      <c r="L1753" s="237">
        <v>41375</v>
      </c>
      <c r="M1753" s="1" t="s">
        <v>167</v>
      </c>
      <c r="N1753" s="235">
        <f>I1753</f>
        <v>1959</v>
      </c>
      <c r="O1753" s="235">
        <f>I1753-N1753</f>
        <v>0</v>
      </c>
      <c r="P1753" s="238" t="s">
        <v>6115</v>
      </c>
      <c r="Q1753" s="1" t="s">
        <v>2293</v>
      </c>
      <c r="R1753" s="239" t="s">
        <v>4357</v>
      </c>
      <c r="S1753" s="238" t="s">
        <v>4358</v>
      </c>
      <c r="T1753" s="238" t="s">
        <v>1479</v>
      </c>
      <c r="U1753" s="238" t="s">
        <v>6333</v>
      </c>
      <c r="V1753" s="238" t="s">
        <v>6218</v>
      </c>
      <c r="W1753" s="236">
        <v>16862.8</v>
      </c>
      <c r="X1753" s="233">
        <v>41376</v>
      </c>
      <c r="Y1753" s="238" t="s">
        <v>6219</v>
      </c>
      <c r="AB1753" s="1" t="s">
        <v>1570</v>
      </c>
    </row>
    <row r="1754" spans="1:28">
      <c r="A1754" s="233">
        <v>41380</v>
      </c>
      <c r="B1754" s="1" t="s">
        <v>5288</v>
      </c>
      <c r="C1754" s="1" t="s">
        <v>7</v>
      </c>
      <c r="D1754" s="369" t="s">
        <v>5009</v>
      </c>
      <c r="E1754" s="1" t="s">
        <v>5006</v>
      </c>
      <c r="F1754" s="1">
        <v>1000</v>
      </c>
      <c r="G1754" s="1" t="s">
        <v>173</v>
      </c>
      <c r="H1754" s="234">
        <v>1.42</v>
      </c>
      <c r="I1754" s="235">
        <f>F1754*H1754</f>
        <v>1420</v>
      </c>
      <c r="K1754" s="250">
        <f>1.32*1000</f>
        <v>1320</v>
      </c>
      <c r="N1754" s="235">
        <v>0</v>
      </c>
      <c r="O1754" s="235">
        <f>I1754-N1754</f>
        <v>1420</v>
      </c>
      <c r="P1754" s="238" t="s">
        <v>168</v>
      </c>
      <c r="Q1754" s="1" t="s">
        <v>2293</v>
      </c>
      <c r="R1754" s="239" t="s">
        <v>6146</v>
      </c>
      <c r="S1754" s="238" t="s">
        <v>6147</v>
      </c>
      <c r="T1754" s="238" t="s">
        <v>5289</v>
      </c>
      <c r="U1754" s="238" t="s">
        <v>6334</v>
      </c>
      <c r="AB1754" s="1" t="s">
        <v>1570</v>
      </c>
    </row>
    <row r="1755" spans="1:28">
      <c r="A1755" s="233">
        <v>41380</v>
      </c>
      <c r="B1755" s="1" t="s">
        <v>2127</v>
      </c>
      <c r="C1755" s="1" t="s">
        <v>163</v>
      </c>
      <c r="D1755" s="1" t="s">
        <v>1720</v>
      </c>
      <c r="E1755" s="1">
        <v>8210</v>
      </c>
      <c r="F1755" s="1">
        <v>160</v>
      </c>
      <c r="G1755" s="1" t="s">
        <v>6161</v>
      </c>
      <c r="H1755" s="234">
        <v>4.32</v>
      </c>
      <c r="I1755" s="235">
        <f t="shared" ref="I1755:I1812" si="218">F1755*H1755</f>
        <v>691.2</v>
      </c>
      <c r="K1755" s="250">
        <f>3.78*160</f>
        <v>604.79999999999995</v>
      </c>
      <c r="L1755" s="237">
        <v>41250</v>
      </c>
      <c r="M1755" s="1" t="s">
        <v>166</v>
      </c>
      <c r="N1755" s="235">
        <f t="shared" ref="N1755:N1756" si="219">I1755</f>
        <v>691.2</v>
      </c>
      <c r="O1755" s="235">
        <f t="shared" si="215"/>
        <v>0</v>
      </c>
      <c r="P1755" s="238" t="s">
        <v>6162</v>
      </c>
      <c r="Q1755" s="1" t="s">
        <v>6326</v>
      </c>
      <c r="R1755" s="239" t="s">
        <v>416</v>
      </c>
      <c r="S1755" s="238" t="s">
        <v>417</v>
      </c>
      <c r="T1755" s="238" t="s">
        <v>3817</v>
      </c>
      <c r="U1755" s="238" t="s">
        <v>6327</v>
      </c>
      <c r="V1755" s="246" t="s">
        <v>176</v>
      </c>
      <c r="AB1755" s="1" t="s">
        <v>1570</v>
      </c>
    </row>
    <row r="1756" spans="1:28">
      <c r="A1756" s="233">
        <v>41380</v>
      </c>
      <c r="B1756" s="1" t="s">
        <v>2127</v>
      </c>
      <c r="C1756" s="1" t="s">
        <v>163</v>
      </c>
      <c r="D1756" s="1" t="s">
        <v>2038</v>
      </c>
      <c r="E1756" s="1" t="s">
        <v>6158</v>
      </c>
      <c r="F1756" s="1">
        <v>50</v>
      </c>
      <c r="G1756" s="1" t="s">
        <v>6161</v>
      </c>
      <c r="H1756" s="234">
        <v>4.5</v>
      </c>
      <c r="I1756" s="235">
        <f t="shared" si="218"/>
        <v>225</v>
      </c>
      <c r="K1756" s="250">
        <f>3.69*50</f>
        <v>184.5</v>
      </c>
      <c r="L1756" s="237">
        <v>41250</v>
      </c>
      <c r="M1756" s="1" t="s">
        <v>166</v>
      </c>
      <c r="N1756" s="235">
        <f t="shared" si="219"/>
        <v>225</v>
      </c>
      <c r="O1756" s="235">
        <f t="shared" si="215"/>
        <v>0</v>
      </c>
      <c r="P1756" s="238" t="s">
        <v>6162</v>
      </c>
      <c r="Q1756" s="1" t="s">
        <v>6326</v>
      </c>
      <c r="R1756" s="239" t="s">
        <v>416</v>
      </c>
      <c r="S1756" s="238" t="s">
        <v>417</v>
      </c>
      <c r="T1756" s="238" t="s">
        <v>3817</v>
      </c>
      <c r="U1756" s="238" t="s">
        <v>6327</v>
      </c>
      <c r="V1756" s="246" t="s">
        <v>176</v>
      </c>
      <c r="AB1756" s="1" t="s">
        <v>1570</v>
      </c>
    </row>
    <row r="1757" spans="1:28">
      <c r="A1757" s="233">
        <v>41380</v>
      </c>
      <c r="B1757" s="1" t="s">
        <v>5280</v>
      </c>
      <c r="C1757" s="5" t="s">
        <v>163</v>
      </c>
      <c r="D1757" s="5" t="s">
        <v>986</v>
      </c>
      <c r="E1757" s="1">
        <v>6800</v>
      </c>
      <c r="F1757" s="1">
        <v>4</v>
      </c>
      <c r="G1757" s="1" t="s">
        <v>6206</v>
      </c>
      <c r="H1757" s="234">
        <v>460</v>
      </c>
      <c r="I1757" s="235">
        <f t="shared" si="218"/>
        <v>1840</v>
      </c>
      <c r="K1757" s="250">
        <f>420*4</f>
        <v>1680</v>
      </c>
      <c r="L1757" s="237">
        <v>41375</v>
      </c>
      <c r="M1757" s="1" t="s">
        <v>167</v>
      </c>
      <c r="N1757" s="235">
        <f t="shared" ref="N1757:N1807" si="220">I1757</f>
        <v>1840</v>
      </c>
      <c r="O1757" s="235">
        <f t="shared" ref="O1757:O1807" si="221">I1757-N1757</f>
        <v>0</v>
      </c>
      <c r="P1757" s="238" t="s">
        <v>6325</v>
      </c>
      <c r="Q1757" s="1" t="s">
        <v>3693</v>
      </c>
      <c r="R1757" s="239" t="s">
        <v>6207</v>
      </c>
      <c r="S1757" s="238" t="s">
        <v>6209</v>
      </c>
      <c r="T1757" s="238" t="s">
        <v>6208</v>
      </c>
      <c r="U1757" s="238" t="s">
        <v>6332</v>
      </c>
      <c r="AB1757" s="1" t="s">
        <v>1570</v>
      </c>
    </row>
    <row r="1758" spans="1:28">
      <c r="A1758" s="233">
        <v>41380</v>
      </c>
      <c r="B1758" s="1" t="s">
        <v>6222</v>
      </c>
      <c r="C1758" s="1" t="s">
        <v>163</v>
      </c>
      <c r="D1758" s="1" t="s">
        <v>1720</v>
      </c>
      <c r="E1758" s="1">
        <v>8210</v>
      </c>
      <c r="F1758" s="1">
        <v>500</v>
      </c>
      <c r="G1758" s="1" t="s">
        <v>171</v>
      </c>
      <c r="H1758" s="234">
        <v>4.32</v>
      </c>
      <c r="I1758" s="235">
        <f t="shared" si="218"/>
        <v>2160</v>
      </c>
      <c r="K1758" s="250">
        <f>3.78*500</f>
        <v>1890</v>
      </c>
      <c r="L1758" s="237">
        <v>41376</v>
      </c>
      <c r="M1758" s="1" t="s">
        <v>166</v>
      </c>
      <c r="N1758" s="1">
        <f t="shared" si="220"/>
        <v>2160</v>
      </c>
      <c r="O1758" s="236">
        <f t="shared" si="221"/>
        <v>0</v>
      </c>
      <c r="P1758" s="238" t="s">
        <v>6328</v>
      </c>
      <c r="Q1758" s="1" t="s">
        <v>2293</v>
      </c>
      <c r="R1758" s="239" t="s">
        <v>6227</v>
      </c>
      <c r="S1758" s="238" t="s">
        <v>6228</v>
      </c>
      <c r="T1758" s="238" t="s">
        <v>6242</v>
      </c>
      <c r="U1758" s="238" t="s">
        <v>6329</v>
      </c>
      <c r="AB1758" s="1" t="s">
        <v>1570</v>
      </c>
    </row>
    <row r="1759" spans="1:28">
      <c r="A1759" s="233">
        <v>41380</v>
      </c>
      <c r="B1759" s="1" t="s">
        <v>6222</v>
      </c>
      <c r="C1759" s="1" t="s">
        <v>163</v>
      </c>
      <c r="D1759" s="5" t="s">
        <v>6274</v>
      </c>
      <c r="E1759" s="1" t="s">
        <v>6223</v>
      </c>
      <c r="F1759" s="1">
        <v>35</v>
      </c>
      <c r="G1759" s="1" t="s">
        <v>175</v>
      </c>
      <c r="H1759" s="234">
        <v>28.4</v>
      </c>
      <c r="I1759" s="235">
        <f t="shared" si="218"/>
        <v>994</v>
      </c>
      <c r="K1759" s="250">
        <f>23.2*35</f>
        <v>812</v>
      </c>
      <c r="L1759" s="237">
        <v>41376</v>
      </c>
      <c r="M1759" s="1" t="s">
        <v>166</v>
      </c>
      <c r="N1759" s="1">
        <f t="shared" si="220"/>
        <v>994</v>
      </c>
      <c r="O1759" s="236">
        <f t="shared" si="221"/>
        <v>0</v>
      </c>
      <c r="P1759" s="238" t="s">
        <v>6328</v>
      </c>
      <c r="Q1759" s="1" t="s">
        <v>2293</v>
      </c>
      <c r="R1759" s="239" t="s">
        <v>6227</v>
      </c>
      <c r="S1759" s="238" t="s">
        <v>6228</v>
      </c>
      <c r="T1759" s="238" t="s">
        <v>6229</v>
      </c>
      <c r="U1759" s="238" t="s">
        <v>6329</v>
      </c>
      <c r="AB1759" s="1" t="s">
        <v>1570</v>
      </c>
    </row>
    <row r="1760" spans="1:28">
      <c r="A1760" s="233">
        <v>41380</v>
      </c>
      <c r="B1760" s="1" t="s">
        <v>6222</v>
      </c>
      <c r="C1760" s="1" t="s">
        <v>163</v>
      </c>
      <c r="D1760" s="5" t="s">
        <v>6362</v>
      </c>
      <c r="E1760" s="1">
        <v>4620</v>
      </c>
      <c r="F1760" s="1">
        <v>43</v>
      </c>
      <c r="G1760" s="1" t="s">
        <v>175</v>
      </c>
      <c r="H1760" s="234">
        <v>18.7</v>
      </c>
      <c r="I1760" s="235">
        <f t="shared" si="218"/>
        <v>804.1</v>
      </c>
      <c r="K1760" s="250">
        <f>17.79*43</f>
        <v>764.96999999999991</v>
      </c>
      <c r="L1760" s="237">
        <v>41376</v>
      </c>
      <c r="M1760" s="1" t="s">
        <v>166</v>
      </c>
      <c r="N1760" s="1">
        <f t="shared" si="220"/>
        <v>804.1</v>
      </c>
      <c r="O1760" s="236">
        <f t="shared" si="221"/>
        <v>0</v>
      </c>
      <c r="P1760" s="238" t="s">
        <v>6328</v>
      </c>
      <c r="Q1760" s="1" t="s">
        <v>2293</v>
      </c>
      <c r="R1760" s="239" t="s">
        <v>6227</v>
      </c>
      <c r="S1760" s="238" t="s">
        <v>6228</v>
      </c>
      <c r="T1760" s="238" t="s">
        <v>6229</v>
      </c>
      <c r="U1760" s="238" t="s">
        <v>6329</v>
      </c>
      <c r="AB1760" s="1" t="s">
        <v>1570</v>
      </c>
    </row>
    <row r="1761" spans="1:28">
      <c r="A1761" s="233">
        <v>41380</v>
      </c>
      <c r="B1761" s="1" t="s">
        <v>6222</v>
      </c>
      <c r="C1761" s="1" t="s">
        <v>163</v>
      </c>
      <c r="D1761" s="372" t="s">
        <v>6301</v>
      </c>
      <c r="E1761" s="372" t="s">
        <v>6302</v>
      </c>
      <c r="F1761" s="1">
        <v>2</v>
      </c>
      <c r="G1761" s="1" t="s">
        <v>171</v>
      </c>
      <c r="H1761" s="234">
        <v>95</v>
      </c>
      <c r="I1761" s="235">
        <f t="shared" si="218"/>
        <v>190</v>
      </c>
      <c r="K1761" s="250">
        <f>87*2</f>
        <v>174</v>
      </c>
      <c r="L1761" s="237">
        <v>41376</v>
      </c>
      <c r="M1761" s="1" t="s">
        <v>166</v>
      </c>
      <c r="N1761" s="1">
        <f t="shared" si="220"/>
        <v>190</v>
      </c>
      <c r="O1761" s="236">
        <f t="shared" si="221"/>
        <v>0</v>
      </c>
      <c r="P1761" s="238" t="s">
        <v>6328</v>
      </c>
      <c r="Q1761" s="1" t="s">
        <v>2293</v>
      </c>
      <c r="R1761" s="239" t="s">
        <v>6227</v>
      </c>
      <c r="S1761" s="238" t="s">
        <v>6228</v>
      </c>
      <c r="T1761" s="238" t="s">
        <v>6229</v>
      </c>
      <c r="U1761" s="238" t="s">
        <v>6329</v>
      </c>
      <c r="AB1761" s="1" t="s">
        <v>1570</v>
      </c>
    </row>
    <row r="1762" spans="1:28">
      <c r="A1762" s="233">
        <v>41380</v>
      </c>
      <c r="B1762" s="1" t="s">
        <v>6249</v>
      </c>
      <c r="C1762" s="1" t="s">
        <v>163</v>
      </c>
      <c r="D1762" s="368" t="s">
        <v>595</v>
      </c>
      <c r="E1762" s="1">
        <v>3200</v>
      </c>
      <c r="F1762" s="1">
        <v>20</v>
      </c>
      <c r="G1762" s="1" t="s">
        <v>171</v>
      </c>
      <c r="H1762" s="234">
        <v>32</v>
      </c>
      <c r="I1762" s="235">
        <f t="shared" si="218"/>
        <v>640</v>
      </c>
      <c r="K1762" s="250">
        <f>27.4*20</f>
        <v>548</v>
      </c>
      <c r="L1762" s="237">
        <v>41376</v>
      </c>
      <c r="M1762" s="1" t="s">
        <v>166</v>
      </c>
      <c r="N1762" s="1">
        <f t="shared" si="220"/>
        <v>640</v>
      </c>
      <c r="O1762" s="236">
        <f t="shared" si="221"/>
        <v>0</v>
      </c>
      <c r="P1762" s="238" t="s">
        <v>6325</v>
      </c>
      <c r="Q1762" s="1" t="s">
        <v>6335</v>
      </c>
      <c r="R1762" s="239" t="s">
        <v>6250</v>
      </c>
      <c r="S1762" s="238" t="s">
        <v>6251</v>
      </c>
      <c r="T1762" s="238" t="s">
        <v>6252</v>
      </c>
      <c r="U1762" s="238" t="s">
        <v>6336</v>
      </c>
      <c r="AB1762" s="1" t="s">
        <v>6230</v>
      </c>
    </row>
    <row r="1763" spans="1:28">
      <c r="A1763" s="233">
        <v>41380</v>
      </c>
      <c r="B1763" s="1" t="s">
        <v>6213</v>
      </c>
      <c r="C1763" s="1" t="s">
        <v>163</v>
      </c>
      <c r="D1763" s="5" t="s">
        <v>348</v>
      </c>
      <c r="E1763" s="1">
        <v>3700</v>
      </c>
      <c r="F1763" s="1">
        <v>10</v>
      </c>
      <c r="G1763" s="1" t="s">
        <v>171</v>
      </c>
      <c r="H1763" s="234">
        <v>4.21</v>
      </c>
      <c r="I1763" s="235">
        <f t="shared" si="218"/>
        <v>42.1</v>
      </c>
      <c r="K1763" s="250">
        <f>3.65*10</f>
        <v>36.5</v>
      </c>
      <c r="L1763" s="237">
        <v>41376</v>
      </c>
      <c r="M1763" s="1" t="s">
        <v>166</v>
      </c>
      <c r="N1763" s="1">
        <f t="shared" si="220"/>
        <v>42.1</v>
      </c>
      <c r="O1763" s="236">
        <f t="shared" si="221"/>
        <v>0</v>
      </c>
      <c r="P1763" s="238" t="s">
        <v>6325</v>
      </c>
      <c r="Q1763" s="1" t="s">
        <v>6335</v>
      </c>
      <c r="R1763" s="239" t="s">
        <v>6250</v>
      </c>
      <c r="S1763" s="238" t="s">
        <v>6251</v>
      </c>
      <c r="T1763" s="238" t="s">
        <v>6252</v>
      </c>
      <c r="U1763" s="238" t="s">
        <v>6336</v>
      </c>
      <c r="AB1763" s="1" t="s">
        <v>6230</v>
      </c>
    </row>
    <row r="1764" spans="1:28">
      <c r="A1764" s="233">
        <v>41380</v>
      </c>
      <c r="B1764" s="1" t="s">
        <v>6224</v>
      </c>
      <c r="C1764" s="1" t="s">
        <v>163</v>
      </c>
      <c r="D1764" s="5" t="s">
        <v>183</v>
      </c>
      <c r="E1764" s="1" t="s">
        <v>187</v>
      </c>
      <c r="F1764" s="1">
        <v>50</v>
      </c>
      <c r="G1764" s="1" t="s">
        <v>172</v>
      </c>
      <c r="H1764" s="234">
        <v>1.79</v>
      </c>
      <c r="I1764" s="235">
        <f t="shared" si="218"/>
        <v>89.5</v>
      </c>
      <c r="K1764" s="250">
        <f>1.54*50</f>
        <v>77</v>
      </c>
      <c r="L1764" s="237">
        <v>41376</v>
      </c>
      <c r="M1764" s="1" t="s">
        <v>166</v>
      </c>
      <c r="N1764" s="1">
        <f t="shared" si="220"/>
        <v>89.5</v>
      </c>
      <c r="O1764" s="236">
        <f t="shared" si="221"/>
        <v>0</v>
      </c>
      <c r="P1764" s="238" t="s">
        <v>6325</v>
      </c>
      <c r="Q1764" s="1" t="s">
        <v>6335</v>
      </c>
      <c r="R1764" s="239" t="s">
        <v>6250</v>
      </c>
      <c r="S1764" s="238" t="s">
        <v>6251</v>
      </c>
      <c r="T1764" s="238" t="s">
        <v>6252</v>
      </c>
      <c r="U1764" s="238" t="s">
        <v>6336</v>
      </c>
      <c r="AB1764" s="1" t="s">
        <v>6230</v>
      </c>
    </row>
    <row r="1765" spans="1:28">
      <c r="A1765" s="233">
        <v>41380</v>
      </c>
      <c r="B1765" s="1" t="s">
        <v>958</v>
      </c>
      <c r="C1765" s="276" t="s">
        <v>680</v>
      </c>
      <c r="D1765" s="1" t="s">
        <v>1219</v>
      </c>
      <c r="E1765" s="5" t="s">
        <v>128</v>
      </c>
      <c r="F1765" s="1">
        <v>50</v>
      </c>
      <c r="G1765" s="1" t="s">
        <v>6271</v>
      </c>
      <c r="H1765" s="234">
        <v>21</v>
      </c>
      <c r="I1765" s="235">
        <f t="shared" ref="I1765:I1770" si="222">F1765*H1765</f>
        <v>1050</v>
      </c>
      <c r="K1765" s="250">
        <f>12.3*50</f>
        <v>615</v>
      </c>
      <c r="L1765" s="237">
        <v>41380</v>
      </c>
      <c r="M1765" s="1" t="s">
        <v>6323</v>
      </c>
      <c r="N1765" s="1">
        <f t="shared" si="220"/>
        <v>1050</v>
      </c>
      <c r="O1765" s="236">
        <f t="shared" si="221"/>
        <v>0</v>
      </c>
      <c r="P1765" s="238" t="s">
        <v>6276</v>
      </c>
      <c r="Q1765" s="1" t="s">
        <v>728</v>
      </c>
      <c r="R1765" s="239" t="s">
        <v>3594</v>
      </c>
      <c r="S1765" s="238" t="s">
        <v>960</v>
      </c>
      <c r="T1765" s="238" t="s">
        <v>961</v>
      </c>
      <c r="U1765" s="238" t="s">
        <v>6341</v>
      </c>
      <c r="AB1765" s="1" t="s">
        <v>1570</v>
      </c>
    </row>
    <row r="1766" spans="1:28">
      <c r="A1766" s="233">
        <v>41380</v>
      </c>
      <c r="B1766" s="1" t="s">
        <v>6305</v>
      </c>
      <c r="C1766" s="5" t="s">
        <v>836</v>
      </c>
      <c r="D1766" s="1" t="s">
        <v>1720</v>
      </c>
      <c r="E1766" s="1">
        <v>8210</v>
      </c>
      <c r="F1766" s="1">
        <v>400</v>
      </c>
      <c r="G1766" s="1" t="s">
        <v>171</v>
      </c>
      <c r="H1766" s="234">
        <v>6.9</v>
      </c>
      <c r="I1766" s="235">
        <f t="shared" si="222"/>
        <v>2760</v>
      </c>
      <c r="K1766" s="250">
        <f>3.78*400</f>
        <v>1512</v>
      </c>
      <c r="L1766" s="237">
        <v>41380</v>
      </c>
      <c r="M1766" s="1" t="s">
        <v>6323</v>
      </c>
      <c r="N1766" s="1">
        <f t="shared" si="220"/>
        <v>2760</v>
      </c>
      <c r="O1766" s="236">
        <f t="shared" si="221"/>
        <v>0</v>
      </c>
      <c r="P1766" s="238" t="s">
        <v>6276</v>
      </c>
      <c r="Q1766" s="1" t="s">
        <v>728</v>
      </c>
      <c r="R1766" s="239" t="s">
        <v>3594</v>
      </c>
      <c r="S1766" s="238" t="s">
        <v>960</v>
      </c>
      <c r="T1766" s="238" t="s">
        <v>961</v>
      </c>
      <c r="U1766" s="238" t="s">
        <v>6341</v>
      </c>
      <c r="AB1766" s="1" t="s">
        <v>1570</v>
      </c>
    </row>
    <row r="1767" spans="1:28">
      <c r="A1767" s="233">
        <v>41380</v>
      </c>
      <c r="B1767" s="1" t="s">
        <v>6280</v>
      </c>
      <c r="C1767" s="1" t="s">
        <v>163</v>
      </c>
      <c r="D1767" s="5" t="s">
        <v>183</v>
      </c>
      <c r="E1767" s="1" t="s">
        <v>187</v>
      </c>
      <c r="F1767" s="1">
        <v>2560</v>
      </c>
      <c r="G1767" s="1" t="s">
        <v>6281</v>
      </c>
      <c r="H1767" s="234">
        <v>1.72</v>
      </c>
      <c r="I1767" s="235">
        <f t="shared" si="222"/>
        <v>4403.2</v>
      </c>
      <c r="K1767" s="250">
        <f>1.54*2560</f>
        <v>3942.4</v>
      </c>
      <c r="L1767" s="237">
        <v>41379</v>
      </c>
      <c r="M1767" s="1" t="s">
        <v>166</v>
      </c>
      <c r="N1767" s="236">
        <v>4403</v>
      </c>
      <c r="O1767" s="235">
        <v>0</v>
      </c>
      <c r="P1767" s="238" t="s">
        <v>6330</v>
      </c>
      <c r="Q1767" s="1" t="s">
        <v>3693</v>
      </c>
      <c r="R1767" s="239" t="s">
        <v>6284</v>
      </c>
      <c r="S1767" s="238" t="s">
        <v>6283</v>
      </c>
      <c r="T1767" s="238" t="s">
        <v>6285</v>
      </c>
      <c r="U1767" s="238" t="s">
        <v>6331</v>
      </c>
      <c r="AB1767" s="1" t="s">
        <v>1570</v>
      </c>
    </row>
    <row r="1768" spans="1:28">
      <c r="A1768" s="233">
        <v>41380</v>
      </c>
      <c r="B1768" s="1" t="s">
        <v>6280</v>
      </c>
      <c r="C1768" s="1" t="s">
        <v>163</v>
      </c>
      <c r="D1768" s="1" t="s">
        <v>355</v>
      </c>
      <c r="E1768" s="1" t="s">
        <v>6299</v>
      </c>
      <c r="F1768" s="1">
        <v>15</v>
      </c>
      <c r="G1768" s="1" t="s">
        <v>171</v>
      </c>
      <c r="H1768" s="234">
        <v>14.92</v>
      </c>
      <c r="I1768" s="235">
        <f t="shared" si="222"/>
        <v>223.8</v>
      </c>
      <c r="K1768" s="250">
        <f>10.94*15</f>
        <v>164.1</v>
      </c>
      <c r="L1768" s="237">
        <v>41382</v>
      </c>
      <c r="M1768" s="1" t="s">
        <v>166</v>
      </c>
      <c r="N1768" s="236">
        <v>4403</v>
      </c>
      <c r="O1768" s="235">
        <v>0</v>
      </c>
      <c r="P1768" s="238" t="s">
        <v>6330</v>
      </c>
      <c r="Q1768" s="1" t="s">
        <v>3693</v>
      </c>
      <c r="R1768" s="239" t="s">
        <v>6284</v>
      </c>
      <c r="S1768" s="238" t="s">
        <v>6283</v>
      </c>
      <c r="T1768" s="238" t="s">
        <v>2581</v>
      </c>
      <c r="U1768" s="238" t="s">
        <v>6331</v>
      </c>
      <c r="AB1768" s="1" t="s">
        <v>1570</v>
      </c>
    </row>
    <row r="1769" spans="1:28">
      <c r="A1769" s="233">
        <v>41380</v>
      </c>
      <c r="B1769" s="1" t="s">
        <v>6280</v>
      </c>
      <c r="C1769" s="1" t="s">
        <v>163</v>
      </c>
      <c r="D1769" s="5" t="s">
        <v>1879</v>
      </c>
      <c r="E1769" s="1" t="s">
        <v>6300</v>
      </c>
      <c r="F1769" s="1">
        <v>100</v>
      </c>
      <c r="G1769" s="1" t="s">
        <v>172</v>
      </c>
      <c r="H1769" s="234">
        <v>1.59</v>
      </c>
      <c r="I1769" s="235">
        <f t="shared" si="222"/>
        <v>159</v>
      </c>
      <c r="K1769" s="250">
        <f>1.17*100</f>
        <v>117</v>
      </c>
      <c r="L1769" s="237">
        <v>41382</v>
      </c>
      <c r="M1769" s="1" t="s">
        <v>166</v>
      </c>
      <c r="N1769" s="236">
        <v>4403</v>
      </c>
      <c r="O1769" s="235">
        <v>0</v>
      </c>
      <c r="P1769" s="238" t="s">
        <v>6330</v>
      </c>
      <c r="Q1769" s="1" t="s">
        <v>3693</v>
      </c>
      <c r="R1769" s="239" t="s">
        <v>6284</v>
      </c>
      <c r="S1769" s="238" t="s">
        <v>6283</v>
      </c>
      <c r="T1769" s="238" t="s">
        <v>2581</v>
      </c>
      <c r="U1769" s="238" t="s">
        <v>6331</v>
      </c>
      <c r="AB1769" s="1" t="s">
        <v>1570</v>
      </c>
    </row>
    <row r="1770" spans="1:28">
      <c r="A1770" s="233">
        <v>41380</v>
      </c>
      <c r="B1770" s="1" t="s">
        <v>6280</v>
      </c>
      <c r="C1770" s="1" t="s">
        <v>163</v>
      </c>
      <c r="D1770" s="1" t="s">
        <v>264</v>
      </c>
      <c r="E1770" s="1" t="s">
        <v>198</v>
      </c>
      <c r="F1770" s="1">
        <v>15</v>
      </c>
      <c r="G1770" s="1" t="s">
        <v>171</v>
      </c>
      <c r="H1770" s="234">
        <v>2.15</v>
      </c>
      <c r="I1770" s="235">
        <f t="shared" si="222"/>
        <v>32.25</v>
      </c>
      <c r="K1770" s="250">
        <f>1.58*15</f>
        <v>23.700000000000003</v>
      </c>
      <c r="L1770" s="237">
        <v>41382</v>
      </c>
      <c r="M1770" s="1" t="s">
        <v>166</v>
      </c>
      <c r="N1770" s="236">
        <v>4403</v>
      </c>
      <c r="O1770" s="235">
        <v>0</v>
      </c>
      <c r="P1770" s="238" t="s">
        <v>6330</v>
      </c>
      <c r="Q1770" s="1" t="s">
        <v>3693</v>
      </c>
      <c r="R1770" s="239" t="s">
        <v>6284</v>
      </c>
      <c r="S1770" s="238" t="s">
        <v>6283</v>
      </c>
      <c r="T1770" s="238" t="s">
        <v>2581</v>
      </c>
      <c r="U1770" s="238" t="s">
        <v>6331</v>
      </c>
      <c r="AB1770" s="1" t="s">
        <v>1570</v>
      </c>
    </row>
    <row r="1771" spans="1:28">
      <c r="A1771" s="233">
        <v>41380</v>
      </c>
      <c r="B1771" s="5" t="s">
        <v>2121</v>
      </c>
      <c r="C1771" s="219" t="s">
        <v>1016</v>
      </c>
      <c r="D1771" s="372" t="s">
        <v>1919</v>
      </c>
      <c r="E1771" s="372" t="s">
        <v>1017</v>
      </c>
      <c r="F1771" s="372">
        <v>1</v>
      </c>
      <c r="G1771" s="372" t="s">
        <v>1018</v>
      </c>
      <c r="H1771" s="31">
        <v>800</v>
      </c>
      <c r="I1771" s="235">
        <f t="shared" ref="I1771" si="223">F1771*H1771</f>
        <v>800</v>
      </c>
      <c r="K1771" s="250">
        <f>708*1</f>
        <v>708</v>
      </c>
      <c r="N1771" s="235">
        <v>0</v>
      </c>
      <c r="O1771" s="235">
        <f t="shared" ref="O1771" si="224">I1771-N1771</f>
        <v>800</v>
      </c>
      <c r="P1771" s="238" t="s">
        <v>6325</v>
      </c>
      <c r="Q1771" s="1" t="s">
        <v>6339</v>
      </c>
      <c r="R1771" s="247" t="s">
        <v>2493</v>
      </c>
      <c r="S1771" s="246" t="s">
        <v>2119</v>
      </c>
      <c r="T1771" s="246" t="s">
        <v>3723</v>
      </c>
      <c r="U1771" s="238" t="s">
        <v>6340</v>
      </c>
      <c r="V1771" s="238" t="s">
        <v>176</v>
      </c>
      <c r="AB1771" s="1" t="s">
        <v>1570</v>
      </c>
    </row>
    <row r="1772" spans="1:28">
      <c r="A1772" s="233">
        <v>41381</v>
      </c>
      <c r="B1772" s="1" t="s">
        <v>6351</v>
      </c>
      <c r="C1772" s="1" t="s">
        <v>6352</v>
      </c>
      <c r="D1772" s="1" t="s">
        <v>241</v>
      </c>
      <c r="E1772" s="1">
        <v>6200</v>
      </c>
      <c r="F1772" s="1">
        <v>1</v>
      </c>
      <c r="G1772" s="1" t="s">
        <v>6349</v>
      </c>
      <c r="H1772" s="234">
        <v>50</v>
      </c>
      <c r="I1772" s="235">
        <f t="shared" ref="I1772:I1785" si="225">F1772*H1772</f>
        <v>50</v>
      </c>
      <c r="K1772" s="250">
        <f>44.5*1</f>
        <v>44.5</v>
      </c>
      <c r="L1772" s="237">
        <v>41381</v>
      </c>
      <c r="M1772" s="1" t="s">
        <v>6375</v>
      </c>
      <c r="N1772" s="236">
        <f>I1772</f>
        <v>50</v>
      </c>
      <c r="O1772" s="235">
        <f t="shared" ref="O1772:O1785" si="226">I1772-N1772</f>
        <v>0</v>
      </c>
      <c r="P1772" s="238" t="s">
        <v>6373</v>
      </c>
      <c r="Q1772" s="1" t="s">
        <v>6376</v>
      </c>
      <c r="R1772" s="239" t="s">
        <v>6373</v>
      </c>
      <c r="S1772" s="238" t="s">
        <v>6377</v>
      </c>
      <c r="T1772" s="238" t="s">
        <v>6378</v>
      </c>
      <c r="U1772" s="238" t="s">
        <v>6373</v>
      </c>
      <c r="V1772" s="238" t="s">
        <v>6379</v>
      </c>
      <c r="W1772" s="236">
        <v>590</v>
      </c>
      <c r="X1772" s="233">
        <v>41381</v>
      </c>
      <c r="Y1772" s="238" t="s">
        <v>6373</v>
      </c>
      <c r="AB1772" s="1" t="s">
        <v>6380</v>
      </c>
    </row>
    <row r="1773" spans="1:28">
      <c r="A1773" s="233">
        <v>41381</v>
      </c>
      <c r="B1773" s="1" t="s">
        <v>6351</v>
      </c>
      <c r="C1773" s="1" t="s">
        <v>6352</v>
      </c>
      <c r="D1773" s="1" t="s">
        <v>355</v>
      </c>
      <c r="E1773" s="1" t="s">
        <v>146</v>
      </c>
      <c r="F1773" s="1">
        <v>4</v>
      </c>
      <c r="G1773" s="1" t="s">
        <v>6349</v>
      </c>
      <c r="H1773" s="234">
        <v>22</v>
      </c>
      <c r="I1773" s="235">
        <f t="shared" si="225"/>
        <v>88</v>
      </c>
      <c r="K1773" s="250">
        <f>17.25*4</f>
        <v>69</v>
      </c>
      <c r="L1773" s="237">
        <v>41381</v>
      </c>
      <c r="M1773" s="1" t="s">
        <v>6375</v>
      </c>
      <c r="N1773" s="236">
        <f t="shared" ref="N1773:N1784" si="227">I1773</f>
        <v>88</v>
      </c>
      <c r="O1773" s="235">
        <f t="shared" si="226"/>
        <v>0</v>
      </c>
      <c r="P1773" s="238" t="s">
        <v>6373</v>
      </c>
      <c r="Q1773" s="1" t="s">
        <v>6376</v>
      </c>
      <c r="R1773" s="239" t="s">
        <v>6373</v>
      </c>
      <c r="S1773" s="238" t="s">
        <v>6377</v>
      </c>
      <c r="T1773" s="238" t="s">
        <v>6378</v>
      </c>
      <c r="U1773" s="238" t="s">
        <v>6373</v>
      </c>
      <c r="V1773" s="238" t="s">
        <v>6379</v>
      </c>
      <c r="W1773" s="236">
        <v>590</v>
      </c>
      <c r="X1773" s="233">
        <v>41381</v>
      </c>
      <c r="Y1773" s="238" t="s">
        <v>6373</v>
      </c>
      <c r="AB1773" s="1" t="s">
        <v>6380</v>
      </c>
    </row>
    <row r="1774" spans="1:28">
      <c r="A1774" s="233">
        <v>41381</v>
      </c>
      <c r="B1774" s="1" t="s">
        <v>6351</v>
      </c>
      <c r="C1774" s="1" t="s">
        <v>6352</v>
      </c>
      <c r="D1774" s="5" t="s">
        <v>1882</v>
      </c>
      <c r="E1774" s="1">
        <v>501</v>
      </c>
      <c r="F1774" s="1">
        <v>2</v>
      </c>
      <c r="G1774" s="1" t="s">
        <v>6349</v>
      </c>
      <c r="H1774" s="234">
        <v>2</v>
      </c>
      <c r="I1774" s="235">
        <f t="shared" si="225"/>
        <v>4</v>
      </c>
      <c r="K1774" s="250">
        <f>1.39*2</f>
        <v>2.78</v>
      </c>
      <c r="L1774" s="237">
        <v>41381</v>
      </c>
      <c r="M1774" s="1" t="s">
        <v>6375</v>
      </c>
      <c r="N1774" s="236">
        <f t="shared" si="227"/>
        <v>4</v>
      </c>
      <c r="O1774" s="235">
        <f t="shared" si="226"/>
        <v>0</v>
      </c>
      <c r="P1774" s="238" t="s">
        <v>6373</v>
      </c>
      <c r="Q1774" s="1" t="s">
        <v>6376</v>
      </c>
      <c r="R1774" s="239" t="s">
        <v>6373</v>
      </c>
      <c r="S1774" s="238" t="s">
        <v>6377</v>
      </c>
      <c r="T1774" s="238" t="s">
        <v>6378</v>
      </c>
      <c r="U1774" s="238" t="s">
        <v>6373</v>
      </c>
      <c r="V1774" s="238" t="s">
        <v>6379</v>
      </c>
      <c r="W1774" s="236">
        <v>590</v>
      </c>
      <c r="X1774" s="233">
        <v>41381</v>
      </c>
      <c r="Y1774" s="238" t="s">
        <v>6373</v>
      </c>
      <c r="AB1774" s="1" t="s">
        <v>6380</v>
      </c>
    </row>
    <row r="1775" spans="1:28">
      <c r="A1775" s="233">
        <v>41381</v>
      </c>
      <c r="B1775" s="1" t="s">
        <v>6351</v>
      </c>
      <c r="C1775" s="1" t="s">
        <v>6352</v>
      </c>
      <c r="D1775" s="5" t="s">
        <v>183</v>
      </c>
      <c r="E1775" s="1" t="s">
        <v>195</v>
      </c>
      <c r="F1775" s="1">
        <v>4</v>
      </c>
      <c r="G1775" s="1" t="s">
        <v>6354</v>
      </c>
      <c r="H1775" s="234">
        <v>5.5</v>
      </c>
      <c r="I1775" s="235">
        <f t="shared" si="225"/>
        <v>22</v>
      </c>
      <c r="K1775" s="250">
        <f>4.5*4</f>
        <v>18</v>
      </c>
      <c r="L1775" s="237">
        <v>41381</v>
      </c>
      <c r="M1775" s="1" t="s">
        <v>6375</v>
      </c>
      <c r="N1775" s="236">
        <f t="shared" si="227"/>
        <v>22</v>
      </c>
      <c r="O1775" s="235">
        <f t="shared" si="226"/>
        <v>0</v>
      </c>
      <c r="P1775" s="238" t="s">
        <v>6373</v>
      </c>
      <c r="Q1775" s="1" t="s">
        <v>6376</v>
      </c>
      <c r="R1775" s="239" t="s">
        <v>6373</v>
      </c>
      <c r="S1775" s="238" t="s">
        <v>6377</v>
      </c>
      <c r="T1775" s="238" t="s">
        <v>6378</v>
      </c>
      <c r="U1775" s="238" t="s">
        <v>6373</v>
      </c>
      <c r="V1775" s="238" t="s">
        <v>6379</v>
      </c>
      <c r="W1775" s="236">
        <v>590</v>
      </c>
      <c r="X1775" s="233">
        <v>41381</v>
      </c>
      <c r="Y1775" s="238" t="s">
        <v>6373</v>
      </c>
      <c r="AB1775" s="1" t="s">
        <v>6380</v>
      </c>
    </row>
    <row r="1776" spans="1:28">
      <c r="A1776" s="233">
        <v>41381</v>
      </c>
      <c r="B1776" s="1" t="s">
        <v>6351</v>
      </c>
      <c r="C1776" s="1" t="s">
        <v>6352</v>
      </c>
      <c r="D1776" s="1" t="s">
        <v>683</v>
      </c>
      <c r="E1776" s="1" t="s">
        <v>6353</v>
      </c>
      <c r="F1776" s="1">
        <v>1</v>
      </c>
      <c r="G1776" s="1" t="s">
        <v>6355</v>
      </c>
      <c r="H1776" s="234">
        <v>4</v>
      </c>
      <c r="I1776" s="235">
        <f t="shared" si="225"/>
        <v>4</v>
      </c>
      <c r="K1776" s="250">
        <f>3.31*1</f>
        <v>3.31</v>
      </c>
      <c r="L1776" s="237">
        <v>41381</v>
      </c>
      <c r="M1776" s="1" t="s">
        <v>6375</v>
      </c>
      <c r="N1776" s="236">
        <f t="shared" si="227"/>
        <v>4</v>
      </c>
      <c r="O1776" s="235">
        <f t="shared" si="226"/>
        <v>0</v>
      </c>
      <c r="P1776" s="238" t="s">
        <v>6373</v>
      </c>
      <c r="Q1776" s="1" t="s">
        <v>6376</v>
      </c>
      <c r="R1776" s="239" t="s">
        <v>6373</v>
      </c>
      <c r="S1776" s="238" t="s">
        <v>6377</v>
      </c>
      <c r="T1776" s="238" t="s">
        <v>6378</v>
      </c>
      <c r="U1776" s="238" t="s">
        <v>6373</v>
      </c>
      <c r="V1776" s="238" t="s">
        <v>6379</v>
      </c>
      <c r="W1776" s="236">
        <v>590</v>
      </c>
      <c r="X1776" s="233">
        <v>41381</v>
      </c>
      <c r="Y1776" s="238" t="s">
        <v>6373</v>
      </c>
      <c r="AB1776" s="1" t="s">
        <v>6380</v>
      </c>
    </row>
    <row r="1777" spans="1:28">
      <c r="A1777" s="233">
        <v>41381</v>
      </c>
      <c r="B1777" s="1" t="s">
        <v>6351</v>
      </c>
      <c r="C1777" s="1" t="s">
        <v>6352</v>
      </c>
      <c r="D1777" s="5" t="s">
        <v>6360</v>
      </c>
      <c r="E1777" s="1">
        <v>4680</v>
      </c>
      <c r="F1777" s="1">
        <v>1</v>
      </c>
      <c r="G1777" s="1" t="s">
        <v>6356</v>
      </c>
      <c r="H1777" s="234">
        <v>85</v>
      </c>
      <c r="I1777" s="235">
        <v>82</v>
      </c>
      <c r="K1777" s="282">
        <f>81.5</f>
        <v>81.5</v>
      </c>
      <c r="L1777" s="237">
        <v>41381</v>
      </c>
      <c r="M1777" s="1" t="s">
        <v>6375</v>
      </c>
      <c r="N1777" s="236">
        <f t="shared" si="227"/>
        <v>82</v>
      </c>
      <c r="O1777" s="235">
        <f t="shared" si="226"/>
        <v>0</v>
      </c>
      <c r="P1777" s="238" t="s">
        <v>6373</v>
      </c>
      <c r="Q1777" s="1" t="s">
        <v>6376</v>
      </c>
      <c r="R1777" s="239" t="s">
        <v>6373</v>
      </c>
      <c r="S1777" s="238" t="s">
        <v>6377</v>
      </c>
      <c r="T1777" s="238" t="s">
        <v>6378</v>
      </c>
      <c r="U1777" s="238" t="s">
        <v>6373</v>
      </c>
      <c r="V1777" s="238" t="s">
        <v>6379</v>
      </c>
      <c r="W1777" s="236">
        <v>590</v>
      </c>
      <c r="X1777" s="233">
        <v>41381</v>
      </c>
      <c r="Y1777" s="238" t="s">
        <v>6373</v>
      </c>
      <c r="Z1777" s="255" t="s">
        <v>6364</v>
      </c>
      <c r="AB1777" s="1" t="s">
        <v>6380</v>
      </c>
    </row>
    <row r="1778" spans="1:28">
      <c r="A1778" s="233">
        <v>41381</v>
      </c>
      <c r="B1778" s="1" t="s">
        <v>6351</v>
      </c>
      <c r="C1778" s="1" t="s">
        <v>6352</v>
      </c>
      <c r="D1778" s="1" t="s">
        <v>1219</v>
      </c>
      <c r="E1778" s="1" t="s">
        <v>179</v>
      </c>
      <c r="F1778" s="1">
        <v>1</v>
      </c>
      <c r="G1778" s="1" t="s">
        <v>6355</v>
      </c>
      <c r="H1778" s="234">
        <v>15</v>
      </c>
      <c r="I1778" s="235">
        <f t="shared" si="225"/>
        <v>15</v>
      </c>
      <c r="K1778" s="250">
        <f>12.6*1</f>
        <v>12.6</v>
      </c>
      <c r="L1778" s="237">
        <v>41381</v>
      </c>
      <c r="M1778" s="1" t="s">
        <v>6375</v>
      </c>
      <c r="N1778" s="236">
        <f t="shared" si="227"/>
        <v>15</v>
      </c>
      <c r="O1778" s="235">
        <f t="shared" si="226"/>
        <v>0</v>
      </c>
      <c r="P1778" s="238" t="s">
        <v>6373</v>
      </c>
      <c r="Q1778" s="1" t="s">
        <v>6376</v>
      </c>
      <c r="R1778" s="239" t="s">
        <v>6373</v>
      </c>
      <c r="S1778" s="238" t="s">
        <v>6377</v>
      </c>
      <c r="T1778" s="238" t="s">
        <v>6378</v>
      </c>
      <c r="U1778" s="238" t="s">
        <v>6373</v>
      </c>
      <c r="V1778" s="238" t="s">
        <v>6379</v>
      </c>
      <c r="W1778" s="236">
        <v>590</v>
      </c>
      <c r="X1778" s="233">
        <v>41381</v>
      </c>
      <c r="Y1778" s="238" t="s">
        <v>6373</v>
      </c>
      <c r="AB1778" s="1" t="s">
        <v>6380</v>
      </c>
    </row>
    <row r="1779" spans="1:28">
      <c r="A1779" s="233">
        <v>41381</v>
      </c>
      <c r="B1779" s="1" t="s">
        <v>6351</v>
      </c>
      <c r="C1779" s="1" t="s">
        <v>6352</v>
      </c>
      <c r="D1779" s="1" t="s">
        <v>2024</v>
      </c>
      <c r="E1779" s="1">
        <v>10434</v>
      </c>
      <c r="F1779" s="1">
        <v>1</v>
      </c>
      <c r="G1779" s="1" t="s">
        <v>6355</v>
      </c>
      <c r="H1779" s="234">
        <v>30</v>
      </c>
      <c r="I1779" s="235">
        <f t="shared" si="225"/>
        <v>30</v>
      </c>
      <c r="K1779" s="250">
        <f>14.2*1</f>
        <v>14.2</v>
      </c>
      <c r="L1779" s="237">
        <v>41381</v>
      </c>
      <c r="M1779" s="1" t="s">
        <v>6375</v>
      </c>
      <c r="N1779" s="236">
        <f t="shared" si="227"/>
        <v>30</v>
      </c>
      <c r="O1779" s="235">
        <f t="shared" si="226"/>
        <v>0</v>
      </c>
      <c r="P1779" s="238" t="s">
        <v>6373</v>
      </c>
      <c r="Q1779" s="1" t="s">
        <v>6376</v>
      </c>
      <c r="R1779" s="239" t="s">
        <v>6373</v>
      </c>
      <c r="S1779" s="238" t="s">
        <v>6377</v>
      </c>
      <c r="T1779" s="238" t="s">
        <v>6378</v>
      </c>
      <c r="U1779" s="238" t="s">
        <v>6373</v>
      </c>
      <c r="V1779" s="238" t="s">
        <v>6379</v>
      </c>
      <c r="W1779" s="236">
        <v>590</v>
      </c>
      <c r="X1779" s="233">
        <v>41381</v>
      </c>
      <c r="Y1779" s="238" t="s">
        <v>6373</v>
      </c>
      <c r="AB1779" s="1" t="s">
        <v>6380</v>
      </c>
    </row>
    <row r="1780" spans="1:28">
      <c r="A1780" s="233">
        <v>41381</v>
      </c>
      <c r="B1780" s="1" t="s">
        <v>6351</v>
      </c>
      <c r="C1780" s="1" t="s">
        <v>6352</v>
      </c>
      <c r="D1780" s="1" t="s">
        <v>5803</v>
      </c>
      <c r="E1780" s="1" t="s">
        <v>6357</v>
      </c>
      <c r="F1780" s="1">
        <v>3</v>
      </c>
      <c r="G1780" s="1" t="s">
        <v>6359</v>
      </c>
      <c r="H1780" s="234">
        <v>45</v>
      </c>
      <c r="I1780" s="235">
        <f t="shared" si="225"/>
        <v>135</v>
      </c>
      <c r="K1780" s="250">
        <f>33.111*3</f>
        <v>99.332999999999998</v>
      </c>
      <c r="L1780" s="237">
        <v>41381</v>
      </c>
      <c r="M1780" s="1" t="s">
        <v>6375</v>
      </c>
      <c r="N1780" s="236">
        <f t="shared" si="227"/>
        <v>135</v>
      </c>
      <c r="O1780" s="235">
        <f t="shared" si="226"/>
        <v>0</v>
      </c>
      <c r="P1780" s="238" t="s">
        <v>6373</v>
      </c>
      <c r="Q1780" s="1" t="s">
        <v>6376</v>
      </c>
      <c r="R1780" s="239" t="s">
        <v>6373</v>
      </c>
      <c r="S1780" s="238" t="s">
        <v>6377</v>
      </c>
      <c r="T1780" s="238" t="s">
        <v>6378</v>
      </c>
      <c r="U1780" s="238" t="s">
        <v>6373</v>
      </c>
      <c r="V1780" s="238" t="s">
        <v>6379</v>
      </c>
      <c r="W1780" s="236">
        <v>590</v>
      </c>
      <c r="X1780" s="233">
        <v>41381</v>
      </c>
      <c r="Y1780" s="238" t="s">
        <v>6373</v>
      </c>
      <c r="AB1780" s="1" t="s">
        <v>6380</v>
      </c>
    </row>
    <row r="1781" spans="1:28">
      <c r="A1781" s="233">
        <v>41381</v>
      </c>
      <c r="B1781" s="1" t="s">
        <v>6351</v>
      </c>
      <c r="C1781" s="1" t="s">
        <v>7</v>
      </c>
      <c r="D1781" s="1" t="s">
        <v>2056</v>
      </c>
      <c r="E1781" s="1" t="s">
        <v>6358</v>
      </c>
      <c r="F1781" s="1">
        <v>1</v>
      </c>
      <c r="G1781" s="1" t="s">
        <v>6350</v>
      </c>
      <c r="H1781" s="234">
        <v>15</v>
      </c>
      <c r="I1781" s="235">
        <f t="shared" si="225"/>
        <v>15</v>
      </c>
      <c r="K1781" s="282">
        <v>0</v>
      </c>
      <c r="L1781" s="237">
        <v>41381</v>
      </c>
      <c r="M1781" s="1" t="s">
        <v>6375</v>
      </c>
      <c r="N1781" s="236">
        <f t="shared" si="227"/>
        <v>15</v>
      </c>
      <c r="O1781" s="235">
        <f t="shared" si="226"/>
        <v>0</v>
      </c>
      <c r="P1781" s="238" t="s">
        <v>6373</v>
      </c>
      <c r="Q1781" s="1" t="s">
        <v>6376</v>
      </c>
      <c r="R1781" s="239" t="s">
        <v>6373</v>
      </c>
      <c r="S1781" s="238" t="s">
        <v>6377</v>
      </c>
      <c r="T1781" s="238" t="s">
        <v>6378</v>
      </c>
      <c r="U1781" s="238" t="s">
        <v>6373</v>
      </c>
      <c r="V1781" s="238" t="s">
        <v>6379</v>
      </c>
      <c r="W1781" s="236">
        <v>590</v>
      </c>
      <c r="X1781" s="233">
        <v>41381</v>
      </c>
      <c r="Y1781" s="238" t="s">
        <v>6373</v>
      </c>
      <c r="Z1781" s="255" t="s">
        <v>6366</v>
      </c>
      <c r="AB1781" s="1" t="s">
        <v>6380</v>
      </c>
    </row>
    <row r="1782" spans="1:28">
      <c r="A1782" s="233">
        <v>41381</v>
      </c>
      <c r="B1782" s="1" t="s">
        <v>6351</v>
      </c>
      <c r="C1782" s="1" t="s">
        <v>6352</v>
      </c>
      <c r="D1782" s="5" t="s">
        <v>3019</v>
      </c>
      <c r="E1782" s="1">
        <v>4620</v>
      </c>
      <c r="F1782" s="1">
        <v>1</v>
      </c>
      <c r="G1782" s="1" t="s">
        <v>6356</v>
      </c>
      <c r="H1782" s="234">
        <v>40</v>
      </c>
      <c r="I1782" s="235">
        <f t="shared" si="225"/>
        <v>40</v>
      </c>
      <c r="K1782" s="250">
        <f>17.79*1</f>
        <v>17.79</v>
      </c>
      <c r="L1782" s="237">
        <v>41381</v>
      </c>
      <c r="M1782" s="1" t="s">
        <v>6375</v>
      </c>
      <c r="N1782" s="236">
        <f t="shared" si="227"/>
        <v>40</v>
      </c>
      <c r="O1782" s="235">
        <f t="shared" si="226"/>
        <v>0</v>
      </c>
      <c r="P1782" s="238" t="s">
        <v>6373</v>
      </c>
      <c r="Q1782" s="1" t="s">
        <v>6376</v>
      </c>
      <c r="R1782" s="239" t="s">
        <v>6373</v>
      </c>
      <c r="S1782" s="238" t="s">
        <v>6377</v>
      </c>
      <c r="T1782" s="238" t="s">
        <v>6378</v>
      </c>
      <c r="U1782" s="238" t="s">
        <v>6373</v>
      </c>
      <c r="V1782" s="238" t="s">
        <v>6379</v>
      </c>
      <c r="W1782" s="236">
        <v>590</v>
      </c>
      <c r="X1782" s="233">
        <v>41381</v>
      </c>
      <c r="Y1782" s="238" t="s">
        <v>6373</v>
      </c>
      <c r="AB1782" s="1" t="s">
        <v>6380</v>
      </c>
    </row>
    <row r="1783" spans="1:28">
      <c r="A1783" s="233">
        <v>41381</v>
      </c>
      <c r="B1783" s="1" t="s">
        <v>6351</v>
      </c>
      <c r="C1783" s="1" t="s">
        <v>6352</v>
      </c>
      <c r="D1783" s="5" t="s">
        <v>183</v>
      </c>
      <c r="E1783" s="1" t="s">
        <v>2064</v>
      </c>
      <c r="F1783" s="1">
        <v>10</v>
      </c>
      <c r="G1783" s="1" t="s">
        <v>6354</v>
      </c>
      <c r="H1783" s="234">
        <v>3.5</v>
      </c>
      <c r="I1783" s="235">
        <f t="shared" si="225"/>
        <v>35</v>
      </c>
      <c r="K1783" s="250">
        <f>1.24*10</f>
        <v>12.4</v>
      </c>
      <c r="L1783" s="237">
        <v>41381</v>
      </c>
      <c r="M1783" s="1" t="s">
        <v>6375</v>
      </c>
      <c r="N1783" s="236">
        <f t="shared" si="227"/>
        <v>35</v>
      </c>
      <c r="O1783" s="235">
        <f t="shared" si="226"/>
        <v>0</v>
      </c>
      <c r="P1783" s="238" t="s">
        <v>6373</v>
      </c>
      <c r="Q1783" s="1" t="s">
        <v>6376</v>
      </c>
      <c r="R1783" s="239" t="s">
        <v>6373</v>
      </c>
      <c r="S1783" s="238" t="s">
        <v>6377</v>
      </c>
      <c r="T1783" s="238" t="s">
        <v>6378</v>
      </c>
      <c r="U1783" s="238" t="s">
        <v>6373</v>
      </c>
      <c r="V1783" s="238" t="s">
        <v>6379</v>
      </c>
      <c r="W1783" s="236">
        <v>590</v>
      </c>
      <c r="X1783" s="233">
        <v>41381</v>
      </c>
      <c r="Y1783" s="238" t="s">
        <v>6373</v>
      </c>
      <c r="AB1783" s="1" t="s">
        <v>6380</v>
      </c>
    </row>
    <row r="1784" spans="1:28">
      <c r="A1784" s="233">
        <v>41381</v>
      </c>
      <c r="B1784" s="1" t="s">
        <v>6351</v>
      </c>
      <c r="C1784" s="1" t="s">
        <v>6352</v>
      </c>
      <c r="D1784" s="5" t="s">
        <v>4646</v>
      </c>
      <c r="E1784" s="1" t="s">
        <v>1622</v>
      </c>
      <c r="F1784" s="1">
        <v>2</v>
      </c>
      <c r="G1784" s="1" t="s">
        <v>6349</v>
      </c>
      <c r="H1784" s="234">
        <v>35</v>
      </c>
      <c r="I1784" s="235">
        <f t="shared" si="225"/>
        <v>70</v>
      </c>
      <c r="K1784" s="250">
        <f>19.8*2</f>
        <v>39.6</v>
      </c>
      <c r="L1784" s="237">
        <v>41381</v>
      </c>
      <c r="M1784" s="1" t="s">
        <v>6375</v>
      </c>
      <c r="N1784" s="236">
        <f t="shared" si="227"/>
        <v>70</v>
      </c>
      <c r="O1784" s="235">
        <f t="shared" si="226"/>
        <v>0</v>
      </c>
      <c r="P1784" s="238" t="s">
        <v>6373</v>
      </c>
      <c r="Q1784" s="1" t="s">
        <v>6376</v>
      </c>
      <c r="R1784" s="239" t="s">
        <v>6373</v>
      </c>
      <c r="S1784" s="238" t="s">
        <v>6377</v>
      </c>
      <c r="T1784" s="238" t="s">
        <v>6378</v>
      </c>
      <c r="U1784" s="238" t="s">
        <v>6373</v>
      </c>
      <c r="V1784" s="238" t="s">
        <v>6379</v>
      </c>
      <c r="W1784" s="236">
        <v>590</v>
      </c>
      <c r="X1784" s="233">
        <v>41381</v>
      </c>
      <c r="Y1784" s="238" t="s">
        <v>6373</v>
      </c>
      <c r="AB1784" s="1" t="s">
        <v>6380</v>
      </c>
    </row>
    <row r="1785" spans="1:28">
      <c r="A1785" s="233">
        <v>41381</v>
      </c>
      <c r="B1785" s="1" t="s">
        <v>1993</v>
      </c>
      <c r="C1785" s="1" t="s">
        <v>163</v>
      </c>
      <c r="D1785" s="1" t="s">
        <v>309</v>
      </c>
      <c r="E1785" s="1">
        <v>1110</v>
      </c>
      <c r="F1785" s="1">
        <v>500</v>
      </c>
      <c r="G1785" s="1" t="s">
        <v>6355</v>
      </c>
      <c r="H1785" s="234">
        <v>0.72</v>
      </c>
      <c r="I1785" s="235">
        <f t="shared" si="225"/>
        <v>360</v>
      </c>
      <c r="K1785" s="250">
        <f>0.69*500</f>
        <v>345</v>
      </c>
      <c r="L1785" s="237">
        <v>41381</v>
      </c>
      <c r="M1785" s="1" t="s">
        <v>6375</v>
      </c>
      <c r="N1785" s="1">
        <v>345</v>
      </c>
      <c r="O1785" s="235">
        <f t="shared" si="226"/>
        <v>15</v>
      </c>
      <c r="P1785" s="238" t="s">
        <v>6381</v>
      </c>
      <c r="Q1785" s="1" t="s">
        <v>1571</v>
      </c>
      <c r="R1785" s="265" t="s">
        <v>68</v>
      </c>
      <c r="S1785" s="265" t="s">
        <v>2998</v>
      </c>
      <c r="T1785" s="238" t="s">
        <v>67</v>
      </c>
      <c r="U1785" s="238" t="s">
        <v>6373</v>
      </c>
      <c r="AB1785" s="1" t="s">
        <v>1570</v>
      </c>
    </row>
    <row r="1786" spans="1:28">
      <c r="A1786" s="233">
        <v>41381</v>
      </c>
      <c r="B1786" s="1" t="s">
        <v>6200</v>
      </c>
      <c r="C1786" s="1" t="s">
        <v>163</v>
      </c>
      <c r="D1786" s="367" t="s">
        <v>1721</v>
      </c>
      <c r="E1786" s="1">
        <v>9010</v>
      </c>
      <c r="F1786" s="1">
        <v>500</v>
      </c>
      <c r="G1786" s="1" t="s">
        <v>171</v>
      </c>
      <c r="H1786" s="234">
        <v>2.8</v>
      </c>
      <c r="I1786" s="235">
        <f t="shared" ref="I1786:I1793" si="228">F1786*H1786</f>
        <v>1400</v>
      </c>
      <c r="K1786" s="250">
        <f>2.6*500</f>
        <v>1300</v>
      </c>
      <c r="L1786" s="237">
        <v>41381</v>
      </c>
      <c r="M1786" s="1" t="s">
        <v>6375</v>
      </c>
      <c r="N1786" s="235">
        <f>I1786</f>
        <v>1400</v>
      </c>
      <c r="O1786" s="235">
        <f t="shared" ref="O1786:O1791" si="229">I1786-N1786</f>
        <v>0</v>
      </c>
      <c r="P1786" s="238" t="s">
        <v>6382</v>
      </c>
      <c r="Q1786" s="1" t="s">
        <v>6376</v>
      </c>
      <c r="T1786" s="238" t="s">
        <v>6201</v>
      </c>
      <c r="AB1786" s="1" t="s">
        <v>1570</v>
      </c>
    </row>
    <row r="1787" spans="1:28">
      <c r="A1787" s="233">
        <v>41382</v>
      </c>
      <c r="B1787" s="1" t="s">
        <v>6434</v>
      </c>
      <c r="C1787" s="5" t="s">
        <v>163</v>
      </c>
      <c r="D1787" s="1" t="s">
        <v>51</v>
      </c>
      <c r="E1787" s="1">
        <v>9031</v>
      </c>
      <c r="F1787" s="1">
        <v>500</v>
      </c>
      <c r="G1787" s="1" t="s">
        <v>171</v>
      </c>
      <c r="H1787" s="234">
        <v>2.2000000000000002</v>
      </c>
      <c r="I1787" s="235">
        <f t="shared" si="228"/>
        <v>1100</v>
      </c>
      <c r="K1787" s="250">
        <f>1.4929*500</f>
        <v>746.44999999999993</v>
      </c>
      <c r="L1787" s="237">
        <v>41383</v>
      </c>
      <c r="M1787" s="1" t="s">
        <v>6428</v>
      </c>
      <c r="N1787" s="235">
        <f>I1787</f>
        <v>1100</v>
      </c>
      <c r="O1787" s="236">
        <f t="shared" si="229"/>
        <v>0</v>
      </c>
      <c r="P1787" s="238" t="s">
        <v>6429</v>
      </c>
      <c r="R1787" s="239" t="s">
        <v>6430</v>
      </c>
      <c r="S1787" s="238" t="s">
        <v>6432</v>
      </c>
      <c r="T1787" s="238" t="s">
        <v>6431</v>
      </c>
      <c r="U1787" s="238" t="s">
        <v>6429</v>
      </c>
      <c r="V1787" s="238" t="s">
        <v>6433</v>
      </c>
      <c r="AB1787" s="1" t="s">
        <v>2079</v>
      </c>
    </row>
    <row r="1788" spans="1:28">
      <c r="A1788" s="233">
        <v>41383</v>
      </c>
      <c r="B1788" s="1" t="s">
        <v>2973</v>
      </c>
      <c r="C1788" s="1" t="s">
        <v>163</v>
      </c>
      <c r="D1788" s="5" t="s">
        <v>2026</v>
      </c>
      <c r="E1788" s="1" t="s">
        <v>181</v>
      </c>
      <c r="F1788" s="1">
        <v>200</v>
      </c>
      <c r="G1788" s="1" t="s">
        <v>171</v>
      </c>
      <c r="H1788" s="234">
        <v>2.68</v>
      </c>
      <c r="I1788" s="235">
        <f t="shared" si="228"/>
        <v>536</v>
      </c>
      <c r="K1788" s="250">
        <f>1.48*200</f>
        <v>296</v>
      </c>
      <c r="N1788" s="235">
        <v>0</v>
      </c>
      <c r="O1788" s="235">
        <f t="shared" si="229"/>
        <v>536</v>
      </c>
      <c r="P1788" s="238" t="s">
        <v>6403</v>
      </c>
      <c r="Q1788" s="1" t="s">
        <v>5245</v>
      </c>
      <c r="R1788" s="239" t="s">
        <v>6398</v>
      </c>
      <c r="S1788" s="238" t="s">
        <v>6399</v>
      </c>
      <c r="T1788" s="238" t="s">
        <v>6400</v>
      </c>
      <c r="U1788" s="238" t="s">
        <v>6401</v>
      </c>
      <c r="V1788" s="238" t="s">
        <v>6404</v>
      </c>
      <c r="W1788" s="236">
        <v>536</v>
      </c>
      <c r="X1788" s="233">
        <v>41383</v>
      </c>
      <c r="Y1788" s="238" t="s">
        <v>6401</v>
      </c>
      <c r="AA1788" s="240" t="s">
        <v>2158</v>
      </c>
      <c r="AB1788" s="1" t="s">
        <v>2079</v>
      </c>
    </row>
    <row r="1789" spans="1:28">
      <c r="A1789" s="233">
        <v>41383</v>
      </c>
      <c r="B1789" s="1" t="s">
        <v>5950</v>
      </c>
      <c r="C1789" s="1" t="s">
        <v>163</v>
      </c>
      <c r="D1789" s="1" t="s">
        <v>2381</v>
      </c>
      <c r="E1789" s="1">
        <v>1711</v>
      </c>
      <c r="F1789" s="1">
        <v>1</v>
      </c>
      <c r="G1789" s="1" t="s">
        <v>6406</v>
      </c>
      <c r="H1789" s="234">
        <v>16</v>
      </c>
      <c r="I1789" s="235">
        <f t="shared" si="228"/>
        <v>16</v>
      </c>
      <c r="K1789" s="282">
        <f>11.78*1</f>
        <v>11.78</v>
      </c>
      <c r="L1789" s="237">
        <v>41383</v>
      </c>
      <c r="M1789" s="1" t="s">
        <v>700</v>
      </c>
      <c r="N1789" s="235">
        <f t="shared" ref="N1789:N1791" si="230">I1789</f>
        <v>16</v>
      </c>
      <c r="O1789" s="235">
        <f t="shared" si="229"/>
        <v>0</v>
      </c>
      <c r="P1789" s="238" t="s">
        <v>6407</v>
      </c>
      <c r="Q1789" s="1" t="s">
        <v>1571</v>
      </c>
      <c r="R1789" s="239" t="s">
        <v>6408</v>
      </c>
      <c r="S1789" s="238" t="s">
        <v>6409</v>
      </c>
      <c r="T1789" s="238" t="s">
        <v>168</v>
      </c>
      <c r="U1789" s="238" t="s">
        <v>168</v>
      </c>
      <c r="V1789" s="238" t="s">
        <v>176</v>
      </c>
      <c r="Z1789" s="255" t="s">
        <v>6411</v>
      </c>
      <c r="AB1789" s="1" t="s">
        <v>1570</v>
      </c>
    </row>
    <row r="1790" spans="1:28">
      <c r="A1790" s="233">
        <v>41383</v>
      </c>
      <c r="B1790" s="1" t="s">
        <v>5950</v>
      </c>
      <c r="C1790" s="1" t="s">
        <v>163</v>
      </c>
      <c r="D1790" s="1" t="s">
        <v>1219</v>
      </c>
      <c r="E1790" s="1" t="s">
        <v>179</v>
      </c>
      <c r="F1790" s="1">
        <v>1</v>
      </c>
      <c r="G1790" s="1" t="s">
        <v>6405</v>
      </c>
      <c r="H1790" s="234">
        <v>15</v>
      </c>
      <c r="I1790" s="235">
        <f t="shared" si="228"/>
        <v>15</v>
      </c>
      <c r="K1790" s="250">
        <f>12.6</f>
        <v>12.6</v>
      </c>
      <c r="L1790" s="237">
        <v>41383</v>
      </c>
      <c r="M1790" s="1" t="s">
        <v>700</v>
      </c>
      <c r="N1790" s="235">
        <f t="shared" si="230"/>
        <v>15</v>
      </c>
      <c r="O1790" s="235">
        <f t="shared" si="229"/>
        <v>0</v>
      </c>
      <c r="P1790" s="238" t="s">
        <v>6407</v>
      </c>
      <c r="Q1790" s="1" t="s">
        <v>1571</v>
      </c>
      <c r="R1790" s="239" t="s">
        <v>6408</v>
      </c>
      <c r="S1790" s="238" t="s">
        <v>6409</v>
      </c>
      <c r="T1790" s="238" t="s">
        <v>168</v>
      </c>
      <c r="U1790" s="238" t="s">
        <v>168</v>
      </c>
      <c r="V1790" s="238" t="s">
        <v>176</v>
      </c>
      <c r="AB1790" s="1" t="s">
        <v>1570</v>
      </c>
    </row>
    <row r="1791" spans="1:28">
      <c r="A1791" s="233">
        <v>41383</v>
      </c>
      <c r="B1791" s="1" t="s">
        <v>5950</v>
      </c>
      <c r="C1791" s="1" t="s">
        <v>163</v>
      </c>
      <c r="D1791" s="5" t="s">
        <v>1957</v>
      </c>
      <c r="E1791" s="1">
        <v>8515</v>
      </c>
      <c r="F1791" s="1">
        <v>1</v>
      </c>
      <c r="G1791" s="1" t="s">
        <v>6406</v>
      </c>
      <c r="H1791" s="234">
        <v>22</v>
      </c>
      <c r="I1791" s="235">
        <f t="shared" si="228"/>
        <v>22</v>
      </c>
      <c r="K1791" s="250">
        <f>18.96</f>
        <v>18.96</v>
      </c>
      <c r="L1791" s="237">
        <v>41383</v>
      </c>
      <c r="M1791" s="1" t="s">
        <v>700</v>
      </c>
      <c r="N1791" s="235">
        <f t="shared" si="230"/>
        <v>22</v>
      </c>
      <c r="O1791" s="235">
        <f t="shared" si="229"/>
        <v>0</v>
      </c>
      <c r="P1791" s="238" t="s">
        <v>6407</v>
      </c>
      <c r="Q1791" s="1" t="s">
        <v>1571</v>
      </c>
      <c r="R1791" s="239" t="s">
        <v>6408</v>
      </c>
      <c r="S1791" s="238" t="s">
        <v>6409</v>
      </c>
      <c r="T1791" s="238" t="s">
        <v>168</v>
      </c>
      <c r="U1791" s="238" t="s">
        <v>168</v>
      </c>
      <c r="V1791" s="238" t="s">
        <v>176</v>
      </c>
      <c r="AB1791" s="1" t="s">
        <v>1570</v>
      </c>
    </row>
    <row r="1792" spans="1:28">
      <c r="A1792" s="233">
        <v>41383</v>
      </c>
      <c r="B1792" s="1" t="s">
        <v>5903</v>
      </c>
      <c r="C1792" s="1" t="s">
        <v>163</v>
      </c>
      <c r="D1792" s="1" t="s">
        <v>1192</v>
      </c>
      <c r="E1792" s="1">
        <v>8247</v>
      </c>
      <c r="F1792" s="1">
        <v>20</v>
      </c>
      <c r="G1792" s="1" t="s">
        <v>6406</v>
      </c>
      <c r="H1792" s="234">
        <v>20</v>
      </c>
      <c r="I1792" s="235">
        <f t="shared" si="228"/>
        <v>400</v>
      </c>
      <c r="K1792" s="250">
        <f>12.35*20</f>
        <v>247</v>
      </c>
      <c r="N1792" s="235">
        <v>0</v>
      </c>
      <c r="O1792" s="235">
        <f t="shared" ref="O1792:O1793" si="231">I1792-N1792</f>
        <v>400</v>
      </c>
      <c r="P1792" s="238" t="s">
        <v>6437</v>
      </c>
      <c r="Q1792" s="1" t="s">
        <v>6436</v>
      </c>
      <c r="R1792" s="239" t="s">
        <v>5904</v>
      </c>
      <c r="S1792" s="238" t="s">
        <v>5905</v>
      </c>
      <c r="T1792" s="238" t="s">
        <v>5906</v>
      </c>
      <c r="U1792" s="238" t="s">
        <v>168</v>
      </c>
      <c r="AB1792" s="1" t="s">
        <v>2079</v>
      </c>
    </row>
    <row r="1793" spans="1:28">
      <c r="A1793" s="233">
        <v>41383</v>
      </c>
      <c r="B1793" s="1" t="s">
        <v>5903</v>
      </c>
      <c r="C1793" s="1" t="s">
        <v>163</v>
      </c>
      <c r="D1793" s="5" t="s">
        <v>51</v>
      </c>
      <c r="E1793" s="1">
        <v>9032</v>
      </c>
      <c r="F1793" s="1">
        <v>100</v>
      </c>
      <c r="G1793" s="1" t="s">
        <v>6406</v>
      </c>
      <c r="H1793" s="234">
        <v>2.7</v>
      </c>
      <c r="I1793" s="235">
        <f t="shared" si="228"/>
        <v>270</v>
      </c>
      <c r="K1793" s="250">
        <f>1.4929*100</f>
        <v>149.29</v>
      </c>
      <c r="N1793" s="235">
        <v>0</v>
      </c>
      <c r="O1793" s="235">
        <f t="shared" si="231"/>
        <v>270</v>
      </c>
      <c r="P1793" s="238" t="s">
        <v>6437</v>
      </c>
      <c r="Q1793" s="1" t="s">
        <v>6436</v>
      </c>
      <c r="R1793" s="239" t="s">
        <v>5904</v>
      </c>
      <c r="S1793" s="238" t="s">
        <v>5905</v>
      </c>
      <c r="T1793" s="238" t="s">
        <v>5906</v>
      </c>
      <c r="U1793" s="238" t="s">
        <v>168</v>
      </c>
      <c r="AB1793" s="1" t="s">
        <v>2079</v>
      </c>
    </row>
    <row r="1794" spans="1:28">
      <c r="A1794" s="233">
        <v>41383</v>
      </c>
      <c r="B1794" s="1" t="s">
        <v>5288</v>
      </c>
      <c r="C1794" s="1" t="s">
        <v>7</v>
      </c>
      <c r="D1794" s="377" t="s">
        <v>5009</v>
      </c>
      <c r="E1794" s="1" t="s">
        <v>5006</v>
      </c>
      <c r="F1794" s="1">
        <v>1000</v>
      </c>
      <c r="G1794" s="1" t="s">
        <v>173</v>
      </c>
      <c r="H1794" s="234">
        <v>1.42</v>
      </c>
      <c r="I1794" s="235">
        <f t="shared" ref="I1794:I1803" si="232">F1794*H1794</f>
        <v>1420</v>
      </c>
      <c r="J1794" s="235"/>
      <c r="K1794" s="250">
        <f>500*1.35+1.32*500</f>
        <v>1335</v>
      </c>
      <c r="N1794" s="235">
        <v>0</v>
      </c>
      <c r="O1794" s="235">
        <f t="shared" ref="O1794:O1805" si="233">I1794-N1794</f>
        <v>1420</v>
      </c>
      <c r="R1794" s="239" t="s">
        <v>6146</v>
      </c>
      <c r="S1794" s="238" t="s">
        <v>6147</v>
      </c>
      <c r="T1794" s="238" t="s">
        <v>5289</v>
      </c>
      <c r="AB1794" s="1" t="s">
        <v>1570</v>
      </c>
    </row>
    <row r="1795" spans="1:28">
      <c r="A1795" s="233">
        <v>41383</v>
      </c>
      <c r="B1795" s="1" t="s">
        <v>4583</v>
      </c>
      <c r="C1795" s="1" t="s">
        <v>163</v>
      </c>
      <c r="D1795" s="5" t="s">
        <v>183</v>
      </c>
      <c r="E1795" s="1" t="s">
        <v>195</v>
      </c>
      <c r="F1795" s="1">
        <v>600</v>
      </c>
      <c r="G1795" s="1" t="s">
        <v>172</v>
      </c>
      <c r="H1795" s="234">
        <v>5.0599999999999996</v>
      </c>
      <c r="I1795" s="235">
        <f t="shared" si="232"/>
        <v>3035.9999999999995</v>
      </c>
      <c r="K1795" s="250">
        <f>120*4.75+4.9*480</f>
        <v>2922</v>
      </c>
      <c r="L1795" s="237">
        <v>41383</v>
      </c>
      <c r="M1795" s="1" t="s">
        <v>6424</v>
      </c>
      <c r="N1795" s="236">
        <f>I1795</f>
        <v>3035.9999999999995</v>
      </c>
      <c r="O1795" s="236">
        <f t="shared" si="233"/>
        <v>0</v>
      </c>
      <c r="P1795" s="238" t="s">
        <v>6414</v>
      </c>
      <c r="R1795" s="239" t="s">
        <v>4560</v>
      </c>
      <c r="S1795" s="238" t="s">
        <v>4561</v>
      </c>
      <c r="T1795" s="238" t="s">
        <v>3200</v>
      </c>
      <c r="V1795" s="238" t="s">
        <v>6426</v>
      </c>
      <c r="W1795" s="236">
        <v>3036</v>
      </c>
      <c r="X1795" s="233">
        <v>41383</v>
      </c>
      <c r="AB1795" s="1" t="s">
        <v>1570</v>
      </c>
    </row>
    <row r="1796" spans="1:28">
      <c r="A1796" s="233">
        <v>41383</v>
      </c>
      <c r="B1796" s="1" t="s">
        <v>2716</v>
      </c>
      <c r="C1796" s="1" t="s">
        <v>163</v>
      </c>
      <c r="D1796" s="1" t="s">
        <v>6419</v>
      </c>
      <c r="E1796" s="1">
        <v>6100</v>
      </c>
      <c r="F1796" s="1">
        <v>6</v>
      </c>
      <c r="G1796" s="1" t="s">
        <v>6406</v>
      </c>
      <c r="H1796" s="234">
        <v>47.5</v>
      </c>
      <c r="I1796" s="235">
        <f t="shared" si="232"/>
        <v>285</v>
      </c>
      <c r="K1796" s="282">
        <f>29.17*6</f>
        <v>175.02</v>
      </c>
      <c r="L1796" s="237">
        <v>41383</v>
      </c>
      <c r="M1796" s="1" t="s">
        <v>6424</v>
      </c>
      <c r="N1796" s="236">
        <f t="shared" ref="N1796:N1798" si="234">I1796</f>
        <v>285</v>
      </c>
      <c r="O1796" s="236">
        <f t="shared" si="233"/>
        <v>0</v>
      </c>
      <c r="R1796" s="239" t="s">
        <v>2712</v>
      </c>
      <c r="S1796" s="238" t="s">
        <v>2713</v>
      </c>
      <c r="T1796" s="238" t="s">
        <v>2581</v>
      </c>
      <c r="Z1796" s="255" t="s">
        <v>6445</v>
      </c>
      <c r="AB1796" s="1" t="s">
        <v>1570</v>
      </c>
    </row>
    <row r="1797" spans="1:28">
      <c r="A1797" s="233">
        <v>41383</v>
      </c>
      <c r="B1797" s="1" t="s">
        <v>2716</v>
      </c>
      <c r="C1797" s="1" t="s">
        <v>163</v>
      </c>
      <c r="D1797" s="1" t="s">
        <v>1880</v>
      </c>
      <c r="E1797" s="1">
        <v>6006</v>
      </c>
      <c r="F1797" s="1">
        <v>20</v>
      </c>
      <c r="G1797" s="1" t="s">
        <v>6406</v>
      </c>
      <c r="H1797" s="234">
        <v>57.7</v>
      </c>
      <c r="I1797" s="235">
        <f t="shared" si="232"/>
        <v>1154</v>
      </c>
      <c r="K1797" s="250">
        <f>55.3*20</f>
        <v>1106</v>
      </c>
      <c r="L1797" s="237">
        <v>41383</v>
      </c>
      <c r="M1797" s="1" t="s">
        <v>6424</v>
      </c>
      <c r="N1797" s="236">
        <f t="shared" si="234"/>
        <v>1154</v>
      </c>
      <c r="O1797" s="236">
        <f t="shared" si="233"/>
        <v>0</v>
      </c>
      <c r="R1797" s="239" t="s">
        <v>2712</v>
      </c>
      <c r="S1797" s="238" t="s">
        <v>2713</v>
      </c>
      <c r="T1797" s="238" t="s">
        <v>2581</v>
      </c>
      <c r="AB1797" s="1" t="s">
        <v>1570</v>
      </c>
    </row>
    <row r="1798" spans="1:28">
      <c r="A1798" s="233">
        <v>41383</v>
      </c>
      <c r="B1798" s="1" t="s">
        <v>2716</v>
      </c>
      <c r="C1798" s="1" t="s">
        <v>163</v>
      </c>
      <c r="D1798" s="1" t="s">
        <v>1224</v>
      </c>
      <c r="E1798" s="1">
        <v>6004</v>
      </c>
      <c r="F1798" s="1">
        <v>10</v>
      </c>
      <c r="G1798" s="1" t="s">
        <v>6406</v>
      </c>
      <c r="H1798" s="234">
        <v>43.39</v>
      </c>
      <c r="I1798" s="235">
        <f t="shared" si="232"/>
        <v>433.9</v>
      </c>
      <c r="K1798" s="250">
        <f>41.6*10</f>
        <v>416</v>
      </c>
      <c r="L1798" s="237">
        <v>41383</v>
      </c>
      <c r="M1798" s="1" t="s">
        <v>6424</v>
      </c>
      <c r="N1798" s="236">
        <f t="shared" si="234"/>
        <v>433.9</v>
      </c>
      <c r="O1798" s="236">
        <f t="shared" si="233"/>
        <v>0</v>
      </c>
      <c r="R1798" s="239" t="s">
        <v>2712</v>
      </c>
      <c r="S1798" s="238" t="s">
        <v>2713</v>
      </c>
      <c r="T1798" s="238" t="s">
        <v>2581</v>
      </c>
      <c r="AB1798" s="1" t="s">
        <v>1570</v>
      </c>
    </row>
    <row r="1799" spans="1:28">
      <c r="A1799" s="233">
        <v>41383</v>
      </c>
      <c r="B1799" s="1" t="s">
        <v>6449</v>
      </c>
      <c r="C1799" s="1" t="s">
        <v>163</v>
      </c>
      <c r="D1799" s="1" t="s">
        <v>1720</v>
      </c>
      <c r="E1799" s="1">
        <v>8210</v>
      </c>
      <c r="F1799" s="1">
        <v>800</v>
      </c>
      <c r="G1799" s="1" t="s">
        <v>171</v>
      </c>
      <c r="H1799" s="234">
        <v>5.5</v>
      </c>
      <c r="I1799" s="235">
        <f t="shared" si="232"/>
        <v>4400</v>
      </c>
      <c r="K1799" s="250">
        <f>3.78*800</f>
        <v>3024</v>
      </c>
      <c r="N1799" s="1">
        <v>0</v>
      </c>
      <c r="O1799" s="236">
        <f t="shared" si="233"/>
        <v>4400</v>
      </c>
      <c r="R1799" s="239" t="s">
        <v>6452</v>
      </c>
      <c r="S1799" s="238" t="s">
        <v>6453</v>
      </c>
      <c r="T1799" s="238" t="s">
        <v>6451</v>
      </c>
      <c r="AB1799" s="1" t="s">
        <v>1570</v>
      </c>
    </row>
    <row r="1800" spans="1:28">
      <c r="A1800" s="233">
        <v>41383</v>
      </c>
      <c r="B1800" s="1" t="s">
        <v>6449</v>
      </c>
      <c r="C1800" s="1" t="s">
        <v>163</v>
      </c>
      <c r="D1800" s="5" t="s">
        <v>986</v>
      </c>
      <c r="E1800" s="1">
        <v>6800</v>
      </c>
      <c r="F1800" s="1">
        <v>1</v>
      </c>
      <c r="G1800" s="1" t="s">
        <v>171</v>
      </c>
      <c r="H1800" s="234">
        <v>460</v>
      </c>
      <c r="I1800" s="235">
        <f t="shared" si="232"/>
        <v>460</v>
      </c>
      <c r="K1800" s="250">
        <f>430*1</f>
        <v>430</v>
      </c>
      <c r="N1800" s="1">
        <v>0</v>
      </c>
      <c r="O1800" s="236">
        <f t="shared" si="233"/>
        <v>460</v>
      </c>
      <c r="R1800" s="239" t="s">
        <v>6452</v>
      </c>
      <c r="S1800" s="238" t="s">
        <v>6453</v>
      </c>
      <c r="T1800" s="238" t="s">
        <v>6451</v>
      </c>
      <c r="AB1800" s="1" t="s">
        <v>1570</v>
      </c>
    </row>
    <row r="1801" spans="1:28">
      <c r="A1801" s="233">
        <v>41383</v>
      </c>
      <c r="B1801" s="1" t="s">
        <v>6449</v>
      </c>
      <c r="C1801" s="1" t="s">
        <v>163</v>
      </c>
      <c r="D1801" s="1" t="s">
        <v>241</v>
      </c>
      <c r="E1801" s="1">
        <v>6200</v>
      </c>
      <c r="F1801" s="1">
        <v>1</v>
      </c>
      <c r="G1801" s="1" t="s">
        <v>171</v>
      </c>
      <c r="H1801" s="234">
        <v>60</v>
      </c>
      <c r="I1801" s="235">
        <f t="shared" si="232"/>
        <v>60</v>
      </c>
      <c r="K1801" s="250">
        <f>43.7*1</f>
        <v>43.7</v>
      </c>
      <c r="N1801" s="1">
        <v>0</v>
      </c>
      <c r="O1801" s="236">
        <f t="shared" si="233"/>
        <v>60</v>
      </c>
      <c r="R1801" s="239" t="s">
        <v>6452</v>
      </c>
      <c r="S1801" s="238" t="s">
        <v>6453</v>
      </c>
      <c r="T1801" s="238" t="s">
        <v>6451</v>
      </c>
      <c r="AB1801" s="1" t="s">
        <v>1570</v>
      </c>
    </row>
    <row r="1802" spans="1:28">
      <c r="A1802" s="233">
        <v>41383</v>
      </c>
      <c r="B1802" s="1" t="s">
        <v>6449</v>
      </c>
      <c r="C1802" s="1" t="s">
        <v>163</v>
      </c>
      <c r="D1802" s="1" t="s">
        <v>355</v>
      </c>
      <c r="E1802" s="1" t="s">
        <v>146</v>
      </c>
      <c r="F1802" s="1">
        <v>2</v>
      </c>
      <c r="G1802" s="1" t="s">
        <v>171</v>
      </c>
      <c r="H1802" s="234">
        <v>25</v>
      </c>
      <c r="I1802" s="235">
        <f t="shared" si="232"/>
        <v>50</v>
      </c>
      <c r="K1802" s="250">
        <f>14*2</f>
        <v>28</v>
      </c>
      <c r="N1802" s="1">
        <v>0</v>
      </c>
      <c r="O1802" s="236">
        <f t="shared" si="233"/>
        <v>50</v>
      </c>
      <c r="R1802" s="239" t="s">
        <v>6452</v>
      </c>
      <c r="S1802" s="238" t="s">
        <v>6453</v>
      </c>
      <c r="T1802" s="238" t="s">
        <v>6451</v>
      </c>
      <c r="AB1802" s="1" t="s">
        <v>1570</v>
      </c>
    </row>
    <row r="1803" spans="1:28">
      <c r="A1803" s="233">
        <v>41383</v>
      </c>
      <c r="B1803" s="1" t="s">
        <v>6449</v>
      </c>
      <c r="C1803" s="1" t="s">
        <v>163</v>
      </c>
      <c r="D1803" s="5" t="s">
        <v>1882</v>
      </c>
      <c r="E1803" s="1">
        <v>501</v>
      </c>
      <c r="F1803" s="1">
        <v>2</v>
      </c>
      <c r="G1803" s="1" t="s">
        <v>171</v>
      </c>
      <c r="H1803" s="234">
        <v>6</v>
      </c>
      <c r="I1803" s="235">
        <f t="shared" si="232"/>
        <v>12</v>
      </c>
      <c r="K1803" s="250">
        <f>1.39*2</f>
        <v>2.78</v>
      </c>
      <c r="N1803" s="1">
        <v>0</v>
      </c>
      <c r="O1803" s="236">
        <f t="shared" si="233"/>
        <v>12</v>
      </c>
      <c r="R1803" s="239" t="s">
        <v>6452</v>
      </c>
      <c r="S1803" s="238" t="s">
        <v>6453</v>
      </c>
      <c r="T1803" s="238" t="s">
        <v>6451</v>
      </c>
      <c r="AB1803" s="1" t="s">
        <v>1570</v>
      </c>
    </row>
    <row r="1804" spans="1:28">
      <c r="A1804" s="233">
        <v>41383</v>
      </c>
      <c r="B1804" s="1" t="s">
        <v>6449</v>
      </c>
      <c r="C1804" s="1" t="s">
        <v>163</v>
      </c>
      <c r="D1804" s="5" t="s">
        <v>183</v>
      </c>
      <c r="E1804" s="1" t="s">
        <v>195</v>
      </c>
      <c r="F1804" s="1">
        <v>2</v>
      </c>
      <c r="G1804" s="1" t="s">
        <v>6455</v>
      </c>
      <c r="H1804" s="234">
        <v>6.5</v>
      </c>
      <c r="I1804" s="235">
        <f t="shared" ref="I1804" si="235">F1804*H1804</f>
        <v>13</v>
      </c>
      <c r="K1804" s="250">
        <f>4.5*2</f>
        <v>9</v>
      </c>
      <c r="N1804" s="1">
        <v>0</v>
      </c>
      <c r="O1804" s="236">
        <f t="shared" si="233"/>
        <v>13</v>
      </c>
      <c r="R1804" s="239" t="s">
        <v>6452</v>
      </c>
      <c r="S1804" s="238" t="s">
        <v>6453</v>
      </c>
      <c r="T1804" s="238" t="s">
        <v>6451</v>
      </c>
      <c r="AB1804" s="1" t="s">
        <v>1570</v>
      </c>
    </row>
    <row r="1805" spans="1:28">
      <c r="A1805" s="233">
        <v>41383</v>
      </c>
      <c r="B1805" s="1" t="s">
        <v>6449</v>
      </c>
      <c r="C1805" s="1" t="s">
        <v>163</v>
      </c>
      <c r="D1805" s="1" t="s">
        <v>5977</v>
      </c>
      <c r="E1805" s="1" t="s">
        <v>6450</v>
      </c>
      <c r="F1805" s="1">
        <v>12</v>
      </c>
      <c r="G1805" s="1" t="s">
        <v>6418</v>
      </c>
      <c r="H1805" s="234">
        <v>13</v>
      </c>
      <c r="I1805" s="235">
        <f>F1805*H1805</f>
        <v>156</v>
      </c>
      <c r="K1805" s="282">
        <f>0</f>
        <v>0</v>
      </c>
      <c r="N1805" s="1">
        <v>0</v>
      </c>
      <c r="O1805" s="236">
        <f t="shared" si="233"/>
        <v>156</v>
      </c>
      <c r="R1805" s="239" t="s">
        <v>6452</v>
      </c>
      <c r="S1805" s="238" t="s">
        <v>6453</v>
      </c>
      <c r="T1805" s="238" t="s">
        <v>6451</v>
      </c>
      <c r="AB1805" s="1" t="s">
        <v>1570</v>
      </c>
    </row>
    <row r="1806" spans="1:28">
      <c r="B1806" s="1" t="s">
        <v>6224</v>
      </c>
      <c r="C1806" s="1" t="s">
        <v>163</v>
      </c>
      <c r="D1806" s="1" t="s">
        <v>6225</v>
      </c>
      <c r="E1806" s="1" t="s">
        <v>6348</v>
      </c>
      <c r="F1806" s="1">
        <v>3</v>
      </c>
      <c r="G1806" s="1" t="s">
        <v>6226</v>
      </c>
      <c r="H1806" s="234">
        <v>135</v>
      </c>
      <c r="I1806" s="235">
        <f t="shared" si="218"/>
        <v>405</v>
      </c>
      <c r="L1806" s="237">
        <v>41376</v>
      </c>
      <c r="M1806" s="1" t="s">
        <v>166</v>
      </c>
      <c r="N1806" s="1">
        <f t="shared" si="220"/>
        <v>405</v>
      </c>
      <c r="O1806" s="236">
        <f t="shared" si="221"/>
        <v>0</v>
      </c>
      <c r="R1806" s="239" t="s">
        <v>6250</v>
      </c>
      <c r="S1806" s="238" t="s">
        <v>6251</v>
      </c>
      <c r="T1806" s="238" t="s">
        <v>6252</v>
      </c>
      <c r="AB1806" s="1" t="s">
        <v>6230</v>
      </c>
    </row>
    <row r="1807" spans="1:28">
      <c r="B1807" s="1" t="s">
        <v>6224</v>
      </c>
      <c r="C1807" s="1" t="s">
        <v>163</v>
      </c>
      <c r="D1807" s="1" t="s">
        <v>295</v>
      </c>
      <c r="E1807" s="1">
        <v>7744</v>
      </c>
      <c r="F1807" s="1">
        <v>6</v>
      </c>
      <c r="G1807" s="1" t="s">
        <v>6241</v>
      </c>
      <c r="H1807" s="234">
        <v>8</v>
      </c>
      <c r="I1807" s="235">
        <f t="shared" si="218"/>
        <v>48</v>
      </c>
      <c r="L1807" s="237">
        <v>41376</v>
      </c>
      <c r="M1807" s="1" t="s">
        <v>166</v>
      </c>
      <c r="N1807" s="1">
        <f t="shared" si="220"/>
        <v>48</v>
      </c>
      <c r="O1807" s="236">
        <f t="shared" si="221"/>
        <v>0</v>
      </c>
      <c r="R1807" s="239" t="s">
        <v>6250</v>
      </c>
      <c r="S1807" s="238" t="s">
        <v>6251</v>
      </c>
      <c r="T1807" s="238" t="s">
        <v>6252</v>
      </c>
      <c r="AB1807" s="1" t="s">
        <v>6230</v>
      </c>
    </row>
    <row r="1808" spans="1:28">
      <c r="B1808" s="136" t="s">
        <v>6018</v>
      </c>
      <c r="C1808" s="1" t="s">
        <v>6272</v>
      </c>
      <c r="D1808" s="1" t="s">
        <v>6270</v>
      </c>
      <c r="E1808" s="372">
        <v>110110</v>
      </c>
      <c r="F1808" s="1">
        <v>200</v>
      </c>
      <c r="G1808" s="1" t="s">
        <v>6271</v>
      </c>
      <c r="H1808" s="234">
        <v>18</v>
      </c>
      <c r="I1808" s="235">
        <f t="shared" si="218"/>
        <v>3600</v>
      </c>
      <c r="N1808" s="235">
        <v>0</v>
      </c>
      <c r="O1808" s="235">
        <f t="shared" ref="O1808:O1812" si="236">I1808-N1808</f>
        <v>3600</v>
      </c>
      <c r="Q1808" s="1" t="s">
        <v>2529</v>
      </c>
      <c r="R1808" s="239" t="s">
        <v>5352</v>
      </c>
      <c r="S1808" s="238" t="s">
        <v>5353</v>
      </c>
      <c r="T1808" s="238" t="s">
        <v>5351</v>
      </c>
      <c r="U1808" s="238" t="s">
        <v>6253</v>
      </c>
      <c r="AB1808" s="1" t="s">
        <v>2079</v>
      </c>
    </row>
    <row r="1809" spans="2:28">
      <c r="B1809" s="136" t="s">
        <v>6018</v>
      </c>
      <c r="C1809" s="1" t="s">
        <v>168</v>
      </c>
      <c r="D1809" s="1" t="s">
        <v>5718</v>
      </c>
      <c r="E1809" s="1" t="s">
        <v>168</v>
      </c>
      <c r="F1809" s="1">
        <v>20</v>
      </c>
      <c r="G1809" s="1" t="s">
        <v>1074</v>
      </c>
      <c r="H1809" s="234">
        <v>38</v>
      </c>
      <c r="I1809" s="235">
        <f t="shared" si="218"/>
        <v>760</v>
      </c>
      <c r="N1809" s="235">
        <v>0</v>
      </c>
      <c r="O1809" s="235">
        <f t="shared" si="236"/>
        <v>760</v>
      </c>
      <c r="Q1809" s="1" t="s">
        <v>2529</v>
      </c>
      <c r="R1809" s="239" t="s">
        <v>5352</v>
      </c>
      <c r="S1809" s="238" t="s">
        <v>5353</v>
      </c>
      <c r="T1809" s="238" t="s">
        <v>5351</v>
      </c>
      <c r="U1809" s="238" t="s">
        <v>6253</v>
      </c>
      <c r="AB1809" s="1" t="s">
        <v>2079</v>
      </c>
    </row>
    <row r="1810" spans="2:28">
      <c r="B1810" s="136" t="s">
        <v>6018</v>
      </c>
      <c r="C1810" s="1" t="s">
        <v>7</v>
      </c>
      <c r="D1810" s="1" t="s">
        <v>5808</v>
      </c>
      <c r="E1810" s="1" t="s">
        <v>5392</v>
      </c>
      <c r="F1810" s="1">
        <v>200</v>
      </c>
      <c r="G1810" s="1" t="s">
        <v>830</v>
      </c>
      <c r="H1810" s="234">
        <v>9</v>
      </c>
      <c r="I1810" s="235">
        <f t="shared" si="218"/>
        <v>1800</v>
      </c>
      <c r="N1810" s="235">
        <v>0</v>
      </c>
      <c r="O1810" s="235">
        <f t="shared" si="236"/>
        <v>1800</v>
      </c>
      <c r="Q1810" s="1" t="s">
        <v>2529</v>
      </c>
      <c r="R1810" s="239" t="s">
        <v>5352</v>
      </c>
      <c r="S1810" s="238" t="s">
        <v>5353</v>
      </c>
      <c r="T1810" s="238" t="s">
        <v>5351</v>
      </c>
      <c r="U1810" s="238" t="s">
        <v>6253</v>
      </c>
      <c r="AB1810" s="1" t="s">
        <v>2079</v>
      </c>
    </row>
    <row r="1811" spans="2:28">
      <c r="B1811" s="136" t="s">
        <v>6018</v>
      </c>
      <c r="C1811" s="1" t="s">
        <v>7</v>
      </c>
      <c r="D1811" s="1" t="s">
        <v>5720</v>
      </c>
      <c r="E1811" s="1">
        <v>3895</v>
      </c>
      <c r="F1811" s="1">
        <v>400</v>
      </c>
      <c r="G1811" s="1" t="s">
        <v>830</v>
      </c>
      <c r="H1811" s="234">
        <v>8</v>
      </c>
      <c r="I1811" s="235">
        <f t="shared" si="218"/>
        <v>3200</v>
      </c>
      <c r="N1811" s="235">
        <v>0</v>
      </c>
      <c r="O1811" s="235">
        <f t="shared" si="236"/>
        <v>3200</v>
      </c>
      <c r="Q1811" s="1" t="s">
        <v>2529</v>
      </c>
      <c r="R1811" s="239" t="s">
        <v>5352</v>
      </c>
      <c r="S1811" s="238" t="s">
        <v>5353</v>
      </c>
      <c r="T1811" s="238" t="s">
        <v>5351</v>
      </c>
      <c r="U1811" s="238" t="s">
        <v>6253</v>
      </c>
      <c r="AB1811" s="1" t="s">
        <v>2079</v>
      </c>
    </row>
    <row r="1812" spans="2:28">
      <c r="B1812" s="136" t="s">
        <v>6018</v>
      </c>
      <c r="C1812" s="1" t="s">
        <v>168</v>
      </c>
      <c r="D1812" s="1" t="s">
        <v>5721</v>
      </c>
      <c r="E1812" s="1" t="s">
        <v>168</v>
      </c>
      <c r="F1812" s="1">
        <v>40</v>
      </c>
      <c r="G1812" s="1" t="s">
        <v>1074</v>
      </c>
      <c r="H1812" s="234">
        <v>5</v>
      </c>
      <c r="I1812" s="235">
        <f t="shared" si="218"/>
        <v>200</v>
      </c>
      <c r="N1812" s="235">
        <v>0</v>
      </c>
      <c r="O1812" s="235">
        <f t="shared" si="236"/>
        <v>200</v>
      </c>
      <c r="Q1812" s="1" t="s">
        <v>2529</v>
      </c>
      <c r="R1812" s="239" t="s">
        <v>5352</v>
      </c>
      <c r="S1812" s="238" t="s">
        <v>5353</v>
      </c>
      <c r="T1812" s="238" t="s">
        <v>5351</v>
      </c>
      <c r="U1812" s="238" t="s">
        <v>6253</v>
      </c>
      <c r="AB1812" s="1" t="s">
        <v>2079</v>
      </c>
    </row>
    <row r="1813" spans="2:28">
      <c r="B1813" s="1" t="s">
        <v>5288</v>
      </c>
      <c r="C1813" s="1" t="s">
        <v>163</v>
      </c>
      <c r="D1813" s="1" t="s">
        <v>1216</v>
      </c>
      <c r="E1813" s="1">
        <v>3200</v>
      </c>
      <c r="F1813" s="1">
        <v>900</v>
      </c>
      <c r="G1813" s="1" t="s">
        <v>5955</v>
      </c>
      <c r="H1813" s="234">
        <v>28.3</v>
      </c>
      <c r="I1813" s="235">
        <f>F1813*H1813</f>
        <v>25470</v>
      </c>
      <c r="N1813" s="235">
        <v>0</v>
      </c>
      <c r="O1813" s="235">
        <f>I1813-N1813</f>
        <v>25470</v>
      </c>
      <c r="R1813" s="239" t="s">
        <v>6146</v>
      </c>
      <c r="S1813" s="238" t="s">
        <v>6147</v>
      </c>
      <c r="T1813" s="238" t="s">
        <v>5289</v>
      </c>
      <c r="AB1813" s="1" t="s">
        <v>1570</v>
      </c>
    </row>
    <row r="1814" spans="2:28">
      <c r="B1814" s="1" t="s">
        <v>5288</v>
      </c>
      <c r="C1814" s="1" t="s">
        <v>163</v>
      </c>
      <c r="D1814" s="5" t="s">
        <v>183</v>
      </c>
      <c r="E1814" s="1" t="s">
        <v>187</v>
      </c>
      <c r="F1814" s="1">
        <v>6000</v>
      </c>
      <c r="G1814" s="1" t="s">
        <v>5975</v>
      </c>
      <c r="H1814" s="234">
        <v>1.65</v>
      </c>
      <c r="I1814" s="235">
        <f>F1814*H1814</f>
        <v>9900</v>
      </c>
      <c r="N1814" s="235">
        <v>0</v>
      </c>
      <c r="O1814" s="235">
        <f>I1814-N1814</f>
        <v>9900</v>
      </c>
      <c r="R1814" s="239" t="s">
        <v>6146</v>
      </c>
      <c r="S1814" s="238" t="s">
        <v>6147</v>
      </c>
      <c r="T1814" s="238" t="s">
        <v>5289</v>
      </c>
      <c r="AB1814" s="1" t="s">
        <v>1570</v>
      </c>
    </row>
    <row r="1815" spans="2:28">
      <c r="B1815" s="1" t="s">
        <v>3799</v>
      </c>
      <c r="C1815" s="1" t="s">
        <v>6352</v>
      </c>
      <c r="D1815" s="1" t="s">
        <v>6384</v>
      </c>
      <c r="E1815" s="1" t="s">
        <v>6383</v>
      </c>
      <c r="F1815" s="1">
        <v>150</v>
      </c>
      <c r="G1815" s="1" t="s">
        <v>6356</v>
      </c>
      <c r="H1815" s="234">
        <v>56.8</v>
      </c>
      <c r="I1815" s="235">
        <f t="shared" ref="I1815:I1816" si="237">F1815*H1815</f>
        <v>8520</v>
      </c>
      <c r="N1815" s="235">
        <v>0</v>
      </c>
      <c r="O1815" s="235">
        <f t="shared" ref="O1815:O1816" si="238">I1815-N1815</f>
        <v>8520</v>
      </c>
      <c r="Q1815" s="1" t="s">
        <v>1571</v>
      </c>
      <c r="R1815" s="1" t="s">
        <v>3801</v>
      </c>
      <c r="S1815" s="238" t="s">
        <v>3802</v>
      </c>
      <c r="T1815" s="238" t="s">
        <v>4435</v>
      </c>
      <c r="U1815" s="238" t="s">
        <v>168</v>
      </c>
      <c r="AB1815" s="1" t="s">
        <v>1570</v>
      </c>
    </row>
    <row r="1816" spans="2:28">
      <c r="B1816" s="1" t="s">
        <v>3799</v>
      </c>
      <c r="C1816" s="5" t="s">
        <v>163</v>
      </c>
      <c r="D1816" s="1" t="s">
        <v>1774</v>
      </c>
      <c r="E1816" s="1">
        <v>1860</v>
      </c>
      <c r="F1816" s="1">
        <v>200</v>
      </c>
      <c r="G1816" s="1" t="s">
        <v>6349</v>
      </c>
      <c r="H1816" s="234">
        <v>14.5</v>
      </c>
      <c r="I1816" s="235">
        <f t="shared" si="237"/>
        <v>2900</v>
      </c>
      <c r="N1816" s="235">
        <v>0</v>
      </c>
      <c r="O1816" s="235">
        <f t="shared" si="238"/>
        <v>2900</v>
      </c>
      <c r="Q1816" s="1" t="s">
        <v>1571</v>
      </c>
      <c r="R1816" s="1" t="s">
        <v>3801</v>
      </c>
      <c r="S1816" s="238" t="s">
        <v>3802</v>
      </c>
      <c r="T1816" s="238" t="s">
        <v>4435</v>
      </c>
      <c r="U1816" s="238" t="s">
        <v>168</v>
      </c>
      <c r="AB1816" s="1" t="s">
        <v>1570</v>
      </c>
    </row>
    <row r="1817" spans="2:28">
      <c r="B1817" s="1" t="s">
        <v>2716</v>
      </c>
      <c r="C1817" s="1" t="s">
        <v>6415</v>
      </c>
      <c r="D1817" s="1" t="s">
        <v>6417</v>
      </c>
      <c r="E1817" s="1" t="s">
        <v>6416</v>
      </c>
      <c r="F1817" s="1">
        <v>4</v>
      </c>
      <c r="G1817" s="1" t="s">
        <v>6418</v>
      </c>
      <c r="H1817" s="234">
        <v>135</v>
      </c>
      <c r="I1817" s="235">
        <f t="shared" ref="I1817" si="239">F1817*H1817</f>
        <v>540</v>
      </c>
      <c r="L1817" s="237">
        <v>41382</v>
      </c>
      <c r="M1817" s="1" t="s">
        <v>166</v>
      </c>
      <c r="N1817" s="236">
        <f>I1817</f>
        <v>540</v>
      </c>
      <c r="O1817" s="236">
        <f t="shared" ref="O1817" si="240">I1817-N1817</f>
        <v>0</v>
      </c>
      <c r="R1817" s="239" t="s">
        <v>2712</v>
      </c>
      <c r="S1817" s="238" t="s">
        <v>2713</v>
      </c>
      <c r="T1817" s="238" t="s">
        <v>2581</v>
      </c>
      <c r="AB1817" s="1" t="s">
        <v>1570</v>
      </c>
    </row>
    <row r="1818" spans="2:28">
      <c r="B1818" s="1" t="s">
        <v>4819</v>
      </c>
      <c r="C1818" s="1" t="s">
        <v>163</v>
      </c>
      <c r="D1818" s="1" t="s">
        <v>6420</v>
      </c>
      <c r="E1818" s="1" t="s">
        <v>181</v>
      </c>
      <c r="F1818" s="1">
        <v>5000</v>
      </c>
      <c r="G1818" s="1" t="s">
        <v>171</v>
      </c>
      <c r="H1818" s="234">
        <v>1.82</v>
      </c>
      <c r="I1818" s="235">
        <f t="shared" ref="I1818" si="241">F1818*H1818</f>
        <v>9100</v>
      </c>
      <c r="P1818" s="238" t="s">
        <v>6421</v>
      </c>
      <c r="Q1818" s="1" t="s">
        <v>1571</v>
      </c>
      <c r="R1818" s="239" t="s">
        <v>6422</v>
      </c>
      <c r="S1818" s="238" t="s">
        <v>6423</v>
      </c>
      <c r="T1818" s="238" t="s">
        <v>168</v>
      </c>
      <c r="U1818" s="238" t="s">
        <v>168</v>
      </c>
      <c r="AB1818" s="1" t="s">
        <v>1570</v>
      </c>
    </row>
  </sheetData>
  <autoFilter ref="A1:AR1818">
    <filterColumn colId="0"/>
    <filterColumn colId="1"/>
    <filterColumn colId="4"/>
    <filterColumn colId="9"/>
    <filterColumn colId="11"/>
    <filterColumn colId="13"/>
    <filterColumn colId="14"/>
    <filterColumn colId="21"/>
    <filterColumn colId="27"/>
  </autoFilter>
  <customSheetViews>
    <customSheetView guid="{E2EBE12A-2EEF-4ED6-A8ED-23574FF31B29}" showAutoFilter="1">
      <pane xSplit="2" ySplit="1" topLeftCell="C650" activePane="bottomRight" state="frozen"/>
      <selection pane="bottomRight" activeCell="D666" sqref="D666"/>
      <pageMargins left="0.70866141732283472" right="0.70866141732283472" top="0.74803149606299213" bottom="0.74803149606299213" header="0.31496062992125984" footer="0.31496062992125984"/>
      <pageSetup paperSize="9" firstPageNumber="4294963191" orientation="landscape" horizontalDpi="200" verticalDpi="200" r:id="rId1"/>
      <headerFooter alignWithMargins="0"/>
      <autoFilter ref="B1:BO1"/>
    </customSheetView>
  </customSheetViews>
  <mergeCells count="1">
    <mergeCell ref="K2:K3"/>
  </mergeCells>
  <phoneticPr fontId="22" type="noConversion"/>
  <dataValidations count="1">
    <dataValidation type="custom" allowBlank="1" showInputMessage="1" showErrorMessage="1" sqref="AB1">
      <formula1>"渠道,终端"</formula1>
    </dataValidation>
  </dataValidations>
  <pageMargins left="0.70866141732283472" right="0.70866141732283472" top="0.74803149606299213" bottom="0.74803149606299213" header="0.31496062992125984" footer="0.31496062992125984"/>
  <pageSetup paperSize="9" firstPageNumber="4294963191" orientation="landscape" horizontalDpi="200" verticalDpi="200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AK170"/>
  <sheetViews>
    <sheetView workbookViewId="0">
      <pane ySplit="1" topLeftCell="A2" activePane="bottomLeft" state="frozen"/>
      <selection pane="bottomLeft" activeCell="E17" sqref="E17"/>
    </sheetView>
  </sheetViews>
  <sheetFormatPr defaultRowHeight="12"/>
  <cols>
    <col min="1" max="1" width="36.75" style="134" bestFit="1" customWidth="1"/>
    <col min="2" max="2" width="10.25" style="134" customWidth="1"/>
    <col min="3" max="3" width="9" style="134" customWidth="1"/>
    <col min="4" max="4" width="21.75" style="115" customWidth="1"/>
    <col min="5" max="5" width="10.375" style="135" customWidth="1"/>
    <col min="6" max="6" width="9.75" style="136" customWidth="1"/>
    <col min="7" max="16384" width="9" style="136"/>
  </cols>
  <sheetData>
    <row r="1" spans="1:6" s="133" customFormat="1">
      <c r="A1" s="145" t="s">
        <v>1114</v>
      </c>
      <c r="B1" s="145" t="s">
        <v>1115</v>
      </c>
      <c r="C1" s="145" t="s">
        <v>1116</v>
      </c>
      <c r="D1" s="146" t="s">
        <v>1117</v>
      </c>
      <c r="E1" s="147" t="s">
        <v>1118</v>
      </c>
      <c r="F1" s="133" t="s">
        <v>1532</v>
      </c>
    </row>
    <row r="2" spans="1:6" s="133" customFormat="1">
      <c r="A2" s="70" t="s">
        <v>5901</v>
      </c>
      <c r="B2" s="343" t="s">
        <v>5900</v>
      </c>
      <c r="C2" s="139">
        <f>31000-7000</f>
        <v>24000</v>
      </c>
      <c r="D2" s="346" t="s">
        <v>6012</v>
      </c>
      <c r="E2" s="147"/>
    </row>
    <row r="3" spans="1:6" s="133" customFormat="1">
      <c r="A3" s="70" t="s">
        <v>6148</v>
      </c>
      <c r="B3" s="70" t="s">
        <v>6149</v>
      </c>
      <c r="C3" s="139">
        <f>500-1-50</f>
        <v>449</v>
      </c>
      <c r="D3" s="346" t="s">
        <v>6150</v>
      </c>
      <c r="E3" s="365">
        <f>C3*D3</f>
        <v>1656.81</v>
      </c>
    </row>
    <row r="4" spans="1:6" s="133" customFormat="1">
      <c r="A4" s="70" t="s">
        <v>1774</v>
      </c>
      <c r="B4" s="70">
        <v>1860</v>
      </c>
      <c r="C4" s="139">
        <f>140-40+720-400-360</f>
        <v>60</v>
      </c>
      <c r="D4" s="346" t="s">
        <v>6321</v>
      </c>
      <c r="E4" s="365">
        <f>0*12.15</f>
        <v>0</v>
      </c>
    </row>
    <row r="5" spans="1:6">
      <c r="A5" s="139" t="s">
        <v>1119</v>
      </c>
      <c r="B5" s="139" t="s">
        <v>1120</v>
      </c>
      <c r="C5" s="139">
        <f>300-100-200-50-100+400-5-200-10+410-70-10-10-100-1-200-20+400-100-200+500-200-20-100-200-50+3000-2560</f>
        <v>504</v>
      </c>
      <c r="D5" s="140" t="s">
        <v>5157</v>
      </c>
      <c r="E5" s="141">
        <f>C5*D5</f>
        <v>776.16</v>
      </c>
    </row>
    <row r="6" spans="1:6">
      <c r="A6" s="139" t="s">
        <v>1481</v>
      </c>
      <c r="B6" s="139" t="s">
        <v>1404</v>
      </c>
      <c r="C6" s="139">
        <f>4000-200-500+19+4000-7000-3+3000-3000-60+30+4000-50+1400-200-2500-20+400-500-200-10</f>
        <v>2606</v>
      </c>
      <c r="D6" s="140" t="s">
        <v>1381</v>
      </c>
      <c r="E6" s="141">
        <f>D6*C6</f>
        <v>3231.44</v>
      </c>
    </row>
    <row r="7" spans="1:6">
      <c r="A7" s="139" t="s">
        <v>595</v>
      </c>
      <c r="B7" s="139">
        <v>3200</v>
      </c>
      <c r="C7" s="139">
        <f>10+2-8+10-3-2-5+10-10+10-1-10+60-20-15-1+400-20-5-1+20-27-20-5-3-30+500-350+100-50-50-20</f>
        <v>466</v>
      </c>
      <c r="D7" s="140" t="s">
        <v>6315</v>
      </c>
      <c r="E7" s="141">
        <f>30*27.4+416*23.94+20*20.89</f>
        <v>11198.84</v>
      </c>
    </row>
    <row r="8" spans="1:6">
      <c r="A8" s="139" t="s">
        <v>1134</v>
      </c>
      <c r="B8" s="139" t="s">
        <v>1602</v>
      </c>
      <c r="C8" s="139">
        <v>2</v>
      </c>
      <c r="D8" s="140" t="s">
        <v>1291</v>
      </c>
      <c r="E8" s="141">
        <v>0</v>
      </c>
    </row>
    <row r="9" spans="1:6">
      <c r="A9" s="139" t="s">
        <v>297</v>
      </c>
      <c r="B9" s="139">
        <v>3700</v>
      </c>
      <c r="C9" s="139">
        <f>100+194-50-10-8-50-100-3+150-150-5+10-10-10-1-20-11-20+200-60-20-10</f>
        <v>116</v>
      </c>
      <c r="D9" s="140" t="s">
        <v>6316</v>
      </c>
      <c r="E9" s="141">
        <f>3.09*6+3.65*110</f>
        <v>420.04</v>
      </c>
    </row>
    <row r="10" spans="1:6">
      <c r="A10" s="139" t="s">
        <v>5820</v>
      </c>
      <c r="B10" s="139" t="s">
        <v>1122</v>
      </c>
      <c r="C10" s="139">
        <f>60+4-20-2-10-10+120-60-5-27+300-200-60-5-10-3-15</f>
        <v>57</v>
      </c>
      <c r="D10" s="140" t="s">
        <v>5264</v>
      </c>
      <c r="E10" s="141">
        <f>C10*D10</f>
        <v>623.57999999999993</v>
      </c>
    </row>
    <row r="11" spans="1:6">
      <c r="A11" s="139" t="s">
        <v>1374</v>
      </c>
      <c r="B11" s="139" t="s">
        <v>1641</v>
      </c>
      <c r="C11" s="139">
        <f>800-300-4-200-70-20</f>
        <v>206</v>
      </c>
      <c r="D11" s="140" t="s">
        <v>1705</v>
      </c>
      <c r="E11" s="141">
        <f>C11*D11</f>
        <v>10002.33</v>
      </c>
    </row>
    <row r="12" spans="1:6">
      <c r="A12" s="139" t="s">
        <v>1803</v>
      </c>
      <c r="B12" s="139">
        <v>2091</v>
      </c>
      <c r="C12" s="139">
        <f>100-100+100</f>
        <v>100</v>
      </c>
      <c r="D12" s="140" t="s">
        <v>6143</v>
      </c>
      <c r="E12" s="141">
        <f>D12*C12</f>
        <v>873</v>
      </c>
    </row>
    <row r="13" spans="1:6">
      <c r="A13" s="139" t="s">
        <v>1123</v>
      </c>
      <c r="B13" s="139" t="s">
        <v>1124</v>
      </c>
      <c r="C13" s="139">
        <f>308-500+500-50-200+500-200-100-50-10-100-47+300-10+500-800-27+500-200-100-35-100</f>
        <v>79</v>
      </c>
      <c r="D13" s="140" t="s">
        <v>1377</v>
      </c>
      <c r="E13" s="141">
        <f>C13*D13</f>
        <v>92.429999999999993</v>
      </c>
    </row>
    <row r="14" spans="1:6">
      <c r="A14" s="139" t="s">
        <v>1125</v>
      </c>
      <c r="B14" s="139" t="s">
        <v>1126</v>
      </c>
      <c r="C14" s="139">
        <f>20+50-10+100-27-5-50-15</f>
        <v>63</v>
      </c>
      <c r="D14" s="140" t="s">
        <v>6322</v>
      </c>
      <c r="E14" s="141">
        <f>1.58*63</f>
        <v>99.54</v>
      </c>
    </row>
    <row r="15" spans="1:6">
      <c r="A15" s="139" t="s">
        <v>1127</v>
      </c>
      <c r="B15" s="139">
        <v>6200</v>
      </c>
      <c r="C15" s="139">
        <f>24-24+22+296-1-20-2-1-288+5-8+216-6-1-10-20-10+95+60-80-2-48-1-30-1</f>
        <v>165</v>
      </c>
      <c r="D15" s="140" t="s">
        <v>6456</v>
      </c>
      <c r="E15" s="141">
        <f>154*44.5+11*43.7</f>
        <v>7333.7</v>
      </c>
    </row>
    <row r="16" spans="1:6">
      <c r="A16" s="139" t="s">
        <v>1128</v>
      </c>
      <c r="B16" s="139">
        <v>6100</v>
      </c>
      <c r="C16" s="139">
        <f>4-4</f>
        <v>0</v>
      </c>
      <c r="D16" s="140" t="s">
        <v>1294</v>
      </c>
      <c r="E16" s="141"/>
    </row>
    <row r="17" spans="1:5">
      <c r="A17" s="139" t="s">
        <v>1119</v>
      </c>
      <c r="B17" s="139" t="s">
        <v>1005</v>
      </c>
      <c r="C17" s="139">
        <f>492-100-12-20-100+200-4+76-18-2-18-2-50-4-20-400-16+352-60-12-2-200-10-40+1000-320-200+200-20+50-4-600-2</f>
        <v>134</v>
      </c>
      <c r="D17" s="139" t="s">
        <v>6459</v>
      </c>
      <c r="E17" s="141">
        <f>4.75*90+44*4.5</f>
        <v>625.5</v>
      </c>
    </row>
    <row r="18" spans="1:5">
      <c r="A18" s="139" t="s">
        <v>1723</v>
      </c>
      <c r="B18" s="139" t="s">
        <v>1537</v>
      </c>
      <c r="C18" s="139">
        <f>200+9-200</f>
        <v>9</v>
      </c>
      <c r="D18" s="139" t="s">
        <v>185</v>
      </c>
      <c r="E18" s="141"/>
    </row>
    <row r="19" spans="1:5" ht="12" customHeight="1">
      <c r="A19" s="139" t="s">
        <v>1722</v>
      </c>
      <c r="B19" s="139" t="s">
        <v>1538</v>
      </c>
      <c r="C19" s="139">
        <v>2</v>
      </c>
      <c r="D19" s="139" t="s">
        <v>185</v>
      </c>
      <c r="E19" s="141"/>
    </row>
    <row r="20" spans="1:5">
      <c r="A20" s="139" t="s">
        <v>1539</v>
      </c>
      <c r="B20" s="139" t="s">
        <v>1540</v>
      </c>
      <c r="C20" s="139">
        <v>2</v>
      </c>
      <c r="D20" s="139" t="s">
        <v>185</v>
      </c>
      <c r="E20" s="141"/>
    </row>
    <row r="21" spans="1:5">
      <c r="A21" s="139" t="s">
        <v>1541</v>
      </c>
      <c r="B21" s="139" t="s">
        <v>1540</v>
      </c>
      <c r="C21" s="139">
        <v>1</v>
      </c>
      <c r="D21" s="139" t="s">
        <v>185</v>
      </c>
      <c r="E21" s="141"/>
    </row>
    <row r="22" spans="1:5">
      <c r="A22" s="139" t="s">
        <v>1543</v>
      </c>
      <c r="B22" s="139" t="s">
        <v>1542</v>
      </c>
      <c r="C22" s="139">
        <v>1</v>
      </c>
      <c r="D22" s="139" t="s">
        <v>185</v>
      </c>
      <c r="E22" s="141"/>
    </row>
    <row r="23" spans="1:5">
      <c r="A23" s="139" t="s">
        <v>1554</v>
      </c>
      <c r="B23" s="139" t="s">
        <v>1553</v>
      </c>
      <c r="C23" s="139">
        <v>18</v>
      </c>
      <c r="D23" s="139" t="s">
        <v>185</v>
      </c>
      <c r="E23" s="141"/>
    </row>
    <row r="24" spans="1:5">
      <c r="A24" s="139" t="s">
        <v>1545</v>
      </c>
      <c r="B24" s="139" t="s">
        <v>1544</v>
      </c>
      <c r="C24" s="139">
        <v>1</v>
      </c>
      <c r="D24" s="139" t="s">
        <v>185</v>
      </c>
      <c r="E24" s="141"/>
    </row>
    <row r="25" spans="1:5">
      <c r="A25" s="139" t="s">
        <v>1546</v>
      </c>
      <c r="B25" s="139">
        <v>82501</v>
      </c>
      <c r="C25" s="139">
        <v>2</v>
      </c>
      <c r="D25" s="139" t="s">
        <v>185</v>
      </c>
      <c r="E25" s="141"/>
    </row>
    <row r="26" spans="1:5">
      <c r="A26" s="139" t="s">
        <v>1129</v>
      </c>
      <c r="B26" s="139" t="s">
        <v>1130</v>
      </c>
      <c r="C26" s="139">
        <f>16+10-16-10</f>
        <v>0</v>
      </c>
      <c r="D26" s="140" t="s">
        <v>5677</v>
      </c>
      <c r="E26" s="141">
        <f>0*32</f>
        <v>0</v>
      </c>
    </row>
    <row r="27" spans="1:5">
      <c r="A27" s="139" t="s">
        <v>1131</v>
      </c>
      <c r="B27" s="139">
        <v>6006</v>
      </c>
      <c r="C27" s="139">
        <f>1+80-80</f>
        <v>1</v>
      </c>
      <c r="D27" s="140" t="s">
        <v>6319</v>
      </c>
      <c r="E27" s="141">
        <f>80*0</f>
        <v>0</v>
      </c>
    </row>
    <row r="28" spans="1:5">
      <c r="A28" s="139" t="s">
        <v>1132</v>
      </c>
      <c r="B28" s="139" t="s">
        <v>1006</v>
      </c>
      <c r="C28" s="139">
        <f>10+126-10-12-20-4+60-124-18-6-2+120+4-10-20-4-10-80+392-220-12-2-10+540-320-4-200-40-20-20-20+66-4-2</f>
        <v>124</v>
      </c>
      <c r="D28" s="141" t="s">
        <v>6457</v>
      </c>
      <c r="E28" s="141">
        <f>17.25*60+64*14</f>
        <v>1931</v>
      </c>
    </row>
    <row r="29" spans="1:5">
      <c r="A29" s="139" t="s">
        <v>1133</v>
      </c>
      <c r="B29" s="139">
        <v>6009</v>
      </c>
      <c r="C29" s="139">
        <v>16</v>
      </c>
      <c r="D29" s="140" t="s">
        <v>1405</v>
      </c>
      <c r="E29" s="141"/>
    </row>
    <row r="30" spans="1:5">
      <c r="A30" s="139" t="s">
        <v>1129</v>
      </c>
      <c r="B30" s="139">
        <v>6002</v>
      </c>
      <c r="C30" s="139">
        <f>22-10</f>
        <v>12</v>
      </c>
      <c r="D30" s="140" t="s">
        <v>6048</v>
      </c>
      <c r="E30" s="141">
        <v>0</v>
      </c>
    </row>
    <row r="31" spans="1:5">
      <c r="A31" s="139" t="s">
        <v>352</v>
      </c>
      <c r="B31" s="139">
        <v>7502</v>
      </c>
      <c r="C31" s="139">
        <f>2-1-1+10-5+40-45+10-5+50-10</f>
        <v>45</v>
      </c>
      <c r="D31" s="140" t="s">
        <v>6256</v>
      </c>
      <c r="E31" s="141">
        <f>121.16*5+110*40</f>
        <v>5005.8</v>
      </c>
    </row>
    <row r="32" spans="1:5">
      <c r="A32" s="139" t="s">
        <v>1135</v>
      </c>
      <c r="B32" s="139">
        <v>501</v>
      </c>
      <c r="C32" s="139">
        <f>80-12-20-4+48-18-20-2-2-16-12-2+300-160-4+340-20-2-2</f>
        <v>472</v>
      </c>
      <c r="D32" s="140" t="s">
        <v>6458</v>
      </c>
      <c r="E32" s="141">
        <f>1.39*132+1.4*340</f>
        <v>659.4799999999999</v>
      </c>
    </row>
    <row r="33" spans="1:5">
      <c r="A33" s="139" t="s">
        <v>1136</v>
      </c>
      <c r="B33" s="139">
        <v>3000</v>
      </c>
      <c r="C33" s="139">
        <f>12-5-4</f>
        <v>3</v>
      </c>
      <c r="D33" s="140" t="s">
        <v>5989</v>
      </c>
      <c r="E33" s="141"/>
    </row>
    <row r="34" spans="1:5">
      <c r="A34" s="139" t="s">
        <v>1137</v>
      </c>
      <c r="B34" s="139">
        <v>6000</v>
      </c>
      <c r="C34" s="139">
        <v>0</v>
      </c>
      <c r="D34" s="140" t="s">
        <v>1292</v>
      </c>
      <c r="E34" s="141"/>
    </row>
    <row r="35" spans="1:5">
      <c r="A35" s="139" t="s">
        <v>1138</v>
      </c>
      <c r="B35" s="139">
        <v>8511</v>
      </c>
      <c r="C35" s="139">
        <f>210-10</f>
        <v>200</v>
      </c>
      <c r="D35" s="140" t="s">
        <v>5667</v>
      </c>
      <c r="E35" s="141">
        <f>200*8.09</f>
        <v>1618</v>
      </c>
    </row>
    <row r="36" spans="1:5">
      <c r="A36" s="139" t="s">
        <v>1129</v>
      </c>
      <c r="B36" s="139" t="s">
        <v>1139</v>
      </c>
      <c r="C36" s="139">
        <v>8</v>
      </c>
      <c r="D36" s="140" t="s">
        <v>1293</v>
      </c>
      <c r="E36" s="141"/>
    </row>
    <row r="37" spans="1:5">
      <c r="A37" s="139" t="s">
        <v>1140</v>
      </c>
      <c r="B37" s="139">
        <v>2097</v>
      </c>
      <c r="C37" s="139">
        <v>3</v>
      </c>
      <c r="D37" s="140" t="s">
        <v>5094</v>
      </c>
      <c r="E37" s="141"/>
    </row>
    <row r="38" spans="1:5">
      <c r="A38" s="139" t="s">
        <v>1141</v>
      </c>
      <c r="B38" s="139">
        <v>2078</v>
      </c>
      <c r="C38" s="139">
        <v>11</v>
      </c>
      <c r="D38" s="140" t="s">
        <v>1605</v>
      </c>
      <c r="E38" s="141"/>
    </row>
    <row r="39" spans="1:5">
      <c r="A39" s="139" t="s">
        <v>1142</v>
      </c>
      <c r="B39" s="139" t="s">
        <v>1143</v>
      </c>
      <c r="C39" s="139">
        <v>16</v>
      </c>
      <c r="D39" s="140" t="s">
        <v>1294</v>
      </c>
      <c r="E39" s="141"/>
    </row>
    <row r="40" spans="1:5">
      <c r="A40" s="139" t="s">
        <v>1140</v>
      </c>
      <c r="B40" s="139">
        <v>2071</v>
      </c>
      <c r="C40" s="139"/>
      <c r="D40" s="140" t="s">
        <v>1294</v>
      </c>
      <c r="E40" s="141"/>
    </row>
    <row r="41" spans="1:5">
      <c r="A41" s="139" t="s">
        <v>1121</v>
      </c>
      <c r="B41" s="139" t="s">
        <v>1144</v>
      </c>
      <c r="C41" s="139">
        <v>1</v>
      </c>
      <c r="D41" s="140" t="s">
        <v>1294</v>
      </c>
      <c r="E41" s="141"/>
    </row>
    <row r="42" spans="1:5">
      <c r="A42" s="139" t="s">
        <v>1133</v>
      </c>
      <c r="B42" s="139" t="s">
        <v>1145</v>
      </c>
      <c r="C42" s="139">
        <v>10</v>
      </c>
      <c r="D42" s="140" t="s">
        <v>1294</v>
      </c>
      <c r="E42" s="141"/>
    </row>
    <row r="43" spans="1:5">
      <c r="A43" s="139" t="s">
        <v>1135</v>
      </c>
      <c r="B43" s="139">
        <v>774</v>
      </c>
      <c r="C43" s="139">
        <v>9</v>
      </c>
      <c r="D43" s="140" t="s">
        <v>1294</v>
      </c>
      <c r="E43" s="141"/>
    </row>
    <row r="44" spans="1:5">
      <c r="A44" s="139" t="s">
        <v>1140</v>
      </c>
      <c r="B44" s="139">
        <v>7711</v>
      </c>
      <c r="C44" s="139">
        <v>55</v>
      </c>
      <c r="D44" s="140" t="s">
        <v>1294</v>
      </c>
      <c r="E44" s="141"/>
    </row>
    <row r="45" spans="1:5">
      <c r="A45" s="139" t="s">
        <v>1337</v>
      </c>
      <c r="B45" s="139">
        <v>8576</v>
      </c>
      <c r="C45" s="139"/>
      <c r="D45" s="140"/>
      <c r="E45" s="141"/>
    </row>
    <row r="46" spans="1:5">
      <c r="A46" s="139"/>
      <c r="B46" s="139">
        <v>3201</v>
      </c>
      <c r="C46" s="139">
        <v>5</v>
      </c>
      <c r="D46" s="140" t="s">
        <v>1294</v>
      </c>
      <c r="E46" s="141"/>
    </row>
    <row r="47" spans="1:5">
      <c r="A47" s="139" t="s">
        <v>1146</v>
      </c>
      <c r="B47" s="139" t="s">
        <v>1147</v>
      </c>
      <c r="C47" s="139">
        <v>22</v>
      </c>
      <c r="D47" s="140" t="s">
        <v>1294</v>
      </c>
      <c r="E47" s="141"/>
    </row>
    <row r="48" spans="1:5">
      <c r="A48" s="139" t="s">
        <v>1148</v>
      </c>
      <c r="B48" s="139">
        <v>7744</v>
      </c>
      <c r="C48" s="139">
        <v>30</v>
      </c>
      <c r="D48" s="140" t="s">
        <v>1294</v>
      </c>
      <c r="E48" s="141"/>
    </row>
    <row r="49" spans="1:6">
      <c r="A49" s="139" t="s">
        <v>828</v>
      </c>
      <c r="B49" s="139" t="s">
        <v>1149</v>
      </c>
      <c r="C49" s="139">
        <f>302-100-100-100+1000-300</f>
        <v>702</v>
      </c>
      <c r="D49" s="140" t="s">
        <v>6141</v>
      </c>
      <c r="E49" s="141">
        <f>4.9*700</f>
        <v>3430.0000000000005</v>
      </c>
    </row>
    <row r="50" spans="1:6">
      <c r="A50" s="139" t="s">
        <v>1150</v>
      </c>
      <c r="B50" s="139" t="s">
        <v>1151</v>
      </c>
      <c r="C50" s="139">
        <v>50</v>
      </c>
      <c r="D50" s="140" t="s">
        <v>1294</v>
      </c>
      <c r="E50" s="141"/>
    </row>
    <row r="51" spans="1:6">
      <c r="A51" s="139" t="s">
        <v>1152</v>
      </c>
      <c r="B51" s="139" t="s">
        <v>1153</v>
      </c>
      <c r="C51" s="139">
        <f>3880-1000-500-200+1000-1500-50-200-500-100+2500-1500-1000-10+2000-1000-600-1000-30-100+3000-500+3500-4000-500-50+2500-500-200</f>
        <v>3340</v>
      </c>
      <c r="D51" s="140" t="s">
        <v>6402</v>
      </c>
      <c r="E51" s="141">
        <f>1.4*40+1.48*1000+2500*1.44</f>
        <v>5136</v>
      </c>
    </row>
    <row r="52" spans="1:6">
      <c r="A52" s="139" t="s">
        <v>1295</v>
      </c>
      <c r="B52" s="139">
        <v>9032</v>
      </c>
      <c r="C52" s="139">
        <f>11115-500-100-1000-550-845-100-200-100-1200-500-2000-500-500-200-500-100-100-1000-500-5-100-300-5-100-100-10+15000-500-500-1500-1000-2000-150-3000-500-1000-1000-1500-150-100</f>
        <v>2100</v>
      </c>
      <c r="D52" s="140" t="s">
        <v>1372</v>
      </c>
      <c r="E52" s="141">
        <f>C52*1.4929</f>
        <v>3135.0899999999997</v>
      </c>
    </row>
    <row r="53" spans="1:6">
      <c r="A53" s="139" t="s">
        <v>5238</v>
      </c>
      <c r="B53" s="139">
        <v>9031</v>
      </c>
      <c r="C53" s="139">
        <f>845+4520-100-500-500-200-25-50-10-10-300-5-2-1000-50-5-20-20-600-500-50-500</f>
        <v>918</v>
      </c>
      <c r="D53" s="140" t="s">
        <v>1372</v>
      </c>
      <c r="E53" s="141">
        <f>C53*1.4929</f>
        <v>1370.4821999999999</v>
      </c>
    </row>
    <row r="54" spans="1:6">
      <c r="A54" s="139" t="s">
        <v>1154</v>
      </c>
      <c r="B54" s="139" t="s">
        <v>1155</v>
      </c>
      <c r="C54" s="139">
        <f>33-20-1-10+30</f>
        <v>32</v>
      </c>
      <c r="D54" s="140" t="s">
        <v>5239</v>
      </c>
      <c r="E54" s="141">
        <f>27*30</f>
        <v>810</v>
      </c>
    </row>
    <row r="55" spans="1:6">
      <c r="A55" s="139" t="s">
        <v>1156</v>
      </c>
      <c r="B55" s="139">
        <v>9005</v>
      </c>
      <c r="C55" s="139">
        <v>575</v>
      </c>
      <c r="D55" s="140" t="s">
        <v>1294</v>
      </c>
      <c r="E55" s="141"/>
    </row>
    <row r="56" spans="1:6">
      <c r="A56" s="139" t="s">
        <v>1721</v>
      </c>
      <c r="B56" s="139">
        <v>9010</v>
      </c>
      <c r="C56" s="139">
        <v>0</v>
      </c>
      <c r="D56" s="140" t="s">
        <v>1294</v>
      </c>
      <c r="E56" s="141"/>
    </row>
    <row r="57" spans="1:6">
      <c r="A57" s="139" t="s">
        <v>1792</v>
      </c>
      <c r="B57" s="139" t="s">
        <v>1793</v>
      </c>
      <c r="C57" s="139">
        <f>1000-1000</f>
        <v>0</v>
      </c>
      <c r="D57" s="140" t="s">
        <v>1794</v>
      </c>
      <c r="E57" s="141">
        <f>C57*D57</f>
        <v>0</v>
      </c>
      <c r="F57" s="136" t="s">
        <v>1795</v>
      </c>
    </row>
    <row r="58" spans="1:6">
      <c r="A58" s="139" t="s">
        <v>1157</v>
      </c>
      <c r="B58" s="139" t="s">
        <v>1158</v>
      </c>
      <c r="C58" s="139">
        <v>25</v>
      </c>
      <c r="D58" s="140" t="s">
        <v>1294</v>
      </c>
      <c r="E58" s="141"/>
    </row>
    <row r="59" spans="1:6">
      <c r="A59" s="139" t="s">
        <v>1304</v>
      </c>
      <c r="B59" s="139" t="s">
        <v>1305</v>
      </c>
      <c r="C59" s="139">
        <f>400+6-100-200-2+500-250-2-1-300-6-40+500</f>
        <v>505</v>
      </c>
      <c r="D59" s="140" t="s">
        <v>6073</v>
      </c>
      <c r="E59" s="141">
        <f>3.6*3+500*3.96</f>
        <v>1990.8</v>
      </c>
    </row>
    <row r="60" spans="1:6">
      <c r="A60" s="139" t="s">
        <v>1159</v>
      </c>
      <c r="B60" s="139" t="s">
        <v>1160</v>
      </c>
      <c r="C60" s="139">
        <f>21-10</f>
        <v>11</v>
      </c>
      <c r="D60" s="140" t="s">
        <v>1306</v>
      </c>
      <c r="E60" s="141"/>
    </row>
    <row r="61" spans="1:6">
      <c r="A61" s="139" t="s">
        <v>1161</v>
      </c>
      <c r="B61" s="139" t="s">
        <v>1162</v>
      </c>
      <c r="C61" s="139">
        <v>2</v>
      </c>
      <c r="D61" s="140" t="s">
        <v>1306</v>
      </c>
      <c r="E61" s="141"/>
    </row>
    <row r="62" spans="1:6">
      <c r="A62" s="139" t="s">
        <v>1406</v>
      </c>
      <c r="B62" s="139" t="s">
        <v>1307</v>
      </c>
      <c r="C62" s="139">
        <f>2-1</f>
        <v>1</v>
      </c>
      <c r="D62" s="140" t="s">
        <v>1306</v>
      </c>
      <c r="E62" s="141"/>
    </row>
    <row r="63" spans="1:6">
      <c r="A63" s="139" t="s">
        <v>1308</v>
      </c>
      <c r="B63" s="139">
        <v>10197</v>
      </c>
      <c r="C63" s="139">
        <f>22-11-2-1-1</f>
        <v>7</v>
      </c>
      <c r="D63" s="140" t="s">
        <v>5556</v>
      </c>
      <c r="E63" s="141">
        <f>6*39.078</f>
        <v>234.46800000000002</v>
      </c>
    </row>
    <row r="64" spans="1:6">
      <c r="A64" s="139" t="s">
        <v>1163</v>
      </c>
      <c r="B64" s="139">
        <v>4565</v>
      </c>
      <c r="C64" s="139">
        <v>5</v>
      </c>
      <c r="D64" s="140" t="s">
        <v>1306</v>
      </c>
      <c r="E64" s="141"/>
    </row>
    <row r="65" spans="1:5">
      <c r="A65" s="139" t="s">
        <v>1309</v>
      </c>
      <c r="B65" s="139" t="s">
        <v>1310</v>
      </c>
      <c r="C65" s="139">
        <f>8-1-1</f>
        <v>6</v>
      </c>
      <c r="D65" s="140" t="s">
        <v>1306</v>
      </c>
      <c r="E65" s="141"/>
    </row>
    <row r="66" spans="1:5">
      <c r="A66" s="139" t="s">
        <v>1164</v>
      </c>
      <c r="B66" s="139" t="s">
        <v>1165</v>
      </c>
      <c r="C66" s="139">
        <v>1</v>
      </c>
      <c r="D66" s="140" t="s">
        <v>1306</v>
      </c>
      <c r="E66" s="141"/>
    </row>
    <row r="67" spans="1:5">
      <c r="A67" s="139" t="s">
        <v>1163</v>
      </c>
      <c r="B67" s="139">
        <v>4535</v>
      </c>
      <c r="C67" s="139">
        <v>0</v>
      </c>
      <c r="D67" s="140" t="s">
        <v>1306</v>
      </c>
      <c r="E67" s="141"/>
    </row>
    <row r="68" spans="1:5">
      <c r="A68" s="139" t="s">
        <v>1163</v>
      </c>
      <c r="B68" s="139" t="s">
        <v>1166</v>
      </c>
      <c r="C68" s="139">
        <v>1</v>
      </c>
      <c r="D68" s="140" t="s">
        <v>1306</v>
      </c>
      <c r="E68" s="141"/>
    </row>
    <row r="69" spans="1:5">
      <c r="A69" s="139" t="s">
        <v>1547</v>
      </c>
      <c r="B69" s="139" t="s">
        <v>1548</v>
      </c>
      <c r="C69" s="139">
        <v>2</v>
      </c>
      <c r="D69" s="140" t="s">
        <v>685</v>
      </c>
      <c r="E69" s="141"/>
    </row>
    <row r="70" spans="1:5">
      <c r="A70" s="139" t="s">
        <v>1547</v>
      </c>
      <c r="B70" s="139" t="s">
        <v>1549</v>
      </c>
      <c r="C70" s="139">
        <v>2</v>
      </c>
      <c r="D70" s="140" t="s">
        <v>685</v>
      </c>
      <c r="E70" s="141"/>
    </row>
    <row r="71" spans="1:5">
      <c r="A71" s="139" t="s">
        <v>1547</v>
      </c>
      <c r="B71" s="139" t="s">
        <v>1550</v>
      </c>
      <c r="C71" s="139">
        <v>1</v>
      </c>
      <c r="D71" s="140" t="s">
        <v>685</v>
      </c>
      <c r="E71" s="141"/>
    </row>
    <row r="72" spans="1:5">
      <c r="A72" s="139" t="s">
        <v>1438</v>
      </c>
      <c r="B72" s="139" t="s">
        <v>1686</v>
      </c>
      <c r="C72" s="139">
        <v>200</v>
      </c>
      <c r="D72" s="140" t="s">
        <v>685</v>
      </c>
      <c r="E72" s="141"/>
    </row>
    <row r="73" spans="1:5">
      <c r="A73" s="139" t="s">
        <v>70</v>
      </c>
      <c r="B73" s="139" t="s">
        <v>1687</v>
      </c>
      <c r="C73" s="139">
        <v>200</v>
      </c>
      <c r="D73" s="140" t="s">
        <v>685</v>
      </c>
      <c r="E73" s="141"/>
    </row>
    <row r="74" spans="1:5">
      <c r="A74" s="139" t="s">
        <v>1551</v>
      </c>
      <c r="B74" s="139" t="s">
        <v>1552</v>
      </c>
      <c r="C74" s="139">
        <v>1</v>
      </c>
      <c r="D74" s="140" t="s">
        <v>185</v>
      </c>
      <c r="E74" s="141"/>
    </row>
    <row r="75" spans="1:5">
      <c r="A75" s="139" t="s">
        <v>5996</v>
      </c>
      <c r="B75" s="139" t="s">
        <v>1311</v>
      </c>
      <c r="C75" s="139">
        <v>0</v>
      </c>
      <c r="D75" s="140" t="s">
        <v>1306</v>
      </c>
      <c r="E75" s="141"/>
    </row>
    <row r="76" spans="1:5">
      <c r="A76" s="139" t="s">
        <v>1309</v>
      </c>
      <c r="B76" s="139" t="s">
        <v>1312</v>
      </c>
      <c r="C76" s="139">
        <f>3-3</f>
        <v>0</v>
      </c>
      <c r="D76" s="140" t="s">
        <v>1306</v>
      </c>
      <c r="E76" s="141"/>
    </row>
    <row r="77" spans="1:5">
      <c r="A77" s="139" t="s">
        <v>1313</v>
      </c>
      <c r="B77" s="139" t="s">
        <v>1168</v>
      </c>
      <c r="C77" s="139">
        <f>1-1</f>
        <v>0</v>
      </c>
      <c r="D77" s="140" t="s">
        <v>1306</v>
      </c>
      <c r="E77" s="141"/>
    </row>
    <row r="78" spans="1:5">
      <c r="A78" s="139" t="s">
        <v>1167</v>
      </c>
      <c r="B78" s="139" t="s">
        <v>1169</v>
      </c>
      <c r="C78" s="139">
        <v>1</v>
      </c>
      <c r="D78" s="140" t="s">
        <v>1306</v>
      </c>
      <c r="E78" s="141"/>
    </row>
    <row r="79" spans="1:5">
      <c r="A79" s="139" t="s">
        <v>1309</v>
      </c>
      <c r="B79" s="139" t="s">
        <v>1314</v>
      </c>
      <c r="C79" s="139">
        <v>1</v>
      </c>
      <c r="D79" s="140" t="s">
        <v>1306</v>
      </c>
      <c r="E79" s="141"/>
    </row>
    <row r="80" spans="1:5">
      <c r="A80" s="139" t="s">
        <v>1167</v>
      </c>
      <c r="B80" s="139" t="s">
        <v>1170</v>
      </c>
      <c r="C80" s="240">
        <f>1-1</f>
        <v>0</v>
      </c>
      <c r="D80" s="140" t="s">
        <v>1306</v>
      </c>
      <c r="E80" s="141"/>
    </row>
    <row r="81" spans="1:5">
      <c r="A81" s="139" t="s">
        <v>1171</v>
      </c>
      <c r="B81" s="139">
        <v>603</v>
      </c>
      <c r="C81" s="139">
        <v>2</v>
      </c>
      <c r="D81" s="140" t="s">
        <v>1294</v>
      </c>
      <c r="E81" s="141"/>
    </row>
    <row r="82" spans="1:5">
      <c r="A82" s="139" t="s">
        <v>1172</v>
      </c>
      <c r="B82" s="139" t="s">
        <v>1315</v>
      </c>
      <c r="C82" s="139">
        <v>6</v>
      </c>
      <c r="D82" s="140" t="s">
        <v>1407</v>
      </c>
      <c r="E82" s="141"/>
    </row>
    <row r="83" spans="1:5">
      <c r="A83" s="139" t="s">
        <v>1316</v>
      </c>
      <c r="B83" s="139">
        <v>1427</v>
      </c>
      <c r="C83" s="139">
        <v>2</v>
      </c>
      <c r="D83" s="140" t="s">
        <v>1294</v>
      </c>
      <c r="E83" s="141"/>
    </row>
    <row r="84" spans="1:5">
      <c r="A84" s="139" t="s">
        <v>1317</v>
      </c>
      <c r="B84" s="139">
        <v>1426</v>
      </c>
      <c r="C84" s="139">
        <f>23-3-2-1-3-9+20-1</f>
        <v>24</v>
      </c>
      <c r="D84" s="140" t="s">
        <v>6190</v>
      </c>
      <c r="E84" s="141">
        <f>19.422*4+19.42*20</f>
        <v>466.08800000000002</v>
      </c>
    </row>
    <row r="85" spans="1:5">
      <c r="A85" s="139" t="s">
        <v>1319</v>
      </c>
      <c r="B85" s="139" t="s">
        <v>1173</v>
      </c>
      <c r="C85" s="139">
        <v>3</v>
      </c>
      <c r="D85" s="140" t="s">
        <v>1306</v>
      </c>
      <c r="E85" s="141"/>
    </row>
    <row r="86" spans="1:5">
      <c r="A86" s="139" t="s">
        <v>1408</v>
      </c>
      <c r="B86" s="139">
        <v>1100</v>
      </c>
      <c r="C86" s="139">
        <v>18</v>
      </c>
      <c r="D86" s="140" t="s">
        <v>1294</v>
      </c>
      <c r="E86" s="141"/>
    </row>
    <row r="87" spans="1:5">
      <c r="A87" s="139" t="s">
        <v>1320</v>
      </c>
      <c r="B87" s="139" t="s">
        <v>1174</v>
      </c>
      <c r="C87" s="139">
        <f>93-50</f>
        <v>43</v>
      </c>
      <c r="D87" s="140" t="s">
        <v>1306</v>
      </c>
      <c r="E87" s="141"/>
    </row>
    <row r="88" spans="1:5">
      <c r="A88" s="139" t="s">
        <v>683</v>
      </c>
      <c r="B88" s="139" t="s">
        <v>1175</v>
      </c>
      <c r="C88" s="139">
        <f>1820-15-200-500-31-1</f>
        <v>1073</v>
      </c>
      <c r="D88" s="140" t="s">
        <v>6363</v>
      </c>
      <c r="E88" s="141">
        <f>233*3.31+840*3.214</f>
        <v>3470.99</v>
      </c>
    </row>
    <row r="89" spans="1:5">
      <c r="A89" s="139" t="s">
        <v>1321</v>
      </c>
      <c r="B89" s="139" t="s">
        <v>1176</v>
      </c>
      <c r="C89" s="139">
        <v>18</v>
      </c>
      <c r="D89" s="140" t="s">
        <v>1306</v>
      </c>
      <c r="E89" s="141"/>
    </row>
    <row r="90" spans="1:5">
      <c r="A90" s="139" t="s">
        <v>1177</v>
      </c>
      <c r="B90" s="139">
        <v>1270</v>
      </c>
      <c r="C90" s="139">
        <f>100-60+500-40+500-100</f>
        <v>900</v>
      </c>
      <c r="D90" s="140" t="s">
        <v>6155</v>
      </c>
      <c r="E90" s="141">
        <f>4.5162*400+4.28*500</f>
        <v>3946.4800000000005</v>
      </c>
    </row>
    <row r="91" spans="1:5">
      <c r="A91" s="139" t="s">
        <v>1180</v>
      </c>
      <c r="B91" s="139">
        <v>1436</v>
      </c>
      <c r="C91" s="139">
        <f>20-3</f>
        <v>17</v>
      </c>
      <c r="D91" s="140" t="s">
        <v>1409</v>
      </c>
      <c r="E91" s="141">
        <f>D91*C91</f>
        <v>504.22</v>
      </c>
    </row>
    <row r="92" spans="1:5">
      <c r="A92" s="139" t="s">
        <v>1720</v>
      </c>
      <c r="B92" s="139">
        <v>8210</v>
      </c>
      <c r="C92" s="139">
        <f>640-50-40-150-300+480-300-100-50-130+1600-1000-480-120+1280-380-160-300-360-50-20+1280-160-500-400+1600-800</f>
        <v>1030</v>
      </c>
      <c r="D92" s="140" t="s">
        <v>5585</v>
      </c>
      <c r="E92" s="141">
        <f>D92*C92</f>
        <v>3893.3999999999996</v>
      </c>
    </row>
    <row r="93" spans="1:5">
      <c r="A93" s="65" t="s">
        <v>1575</v>
      </c>
      <c r="B93" s="139" t="s">
        <v>1234</v>
      </c>
      <c r="C93" s="139">
        <f>108-20-20-10+100-4-5-10-50-1</f>
        <v>88</v>
      </c>
      <c r="D93" s="140" t="s">
        <v>5983</v>
      </c>
      <c r="E93" s="141">
        <f>42.939*38+34.866*50</f>
        <v>3374.982</v>
      </c>
    </row>
    <row r="94" spans="1:5">
      <c r="A94" s="139" t="s">
        <v>1182</v>
      </c>
      <c r="B94" s="139" t="s">
        <v>1183</v>
      </c>
      <c r="C94" s="139">
        <v>2</v>
      </c>
      <c r="D94" s="140" t="s">
        <v>1294</v>
      </c>
      <c r="E94" s="141"/>
    </row>
    <row r="95" spans="1:5">
      <c r="A95" s="139" t="s">
        <v>1184</v>
      </c>
      <c r="B95" s="139"/>
      <c r="C95" s="139">
        <f>41</f>
        <v>41</v>
      </c>
      <c r="D95" s="140" t="s">
        <v>1294</v>
      </c>
      <c r="E95" s="141"/>
    </row>
    <row r="96" spans="1:5">
      <c r="A96" s="139" t="s">
        <v>1185</v>
      </c>
      <c r="B96" s="139" t="s">
        <v>1186</v>
      </c>
      <c r="C96" s="139">
        <v>142</v>
      </c>
      <c r="D96" s="140" t="s">
        <v>1294</v>
      </c>
      <c r="E96" s="141"/>
    </row>
    <row r="97" spans="1:5">
      <c r="A97" s="139" t="s">
        <v>1187</v>
      </c>
      <c r="B97" s="139" t="s">
        <v>1188</v>
      </c>
      <c r="C97" s="139">
        <v>20</v>
      </c>
      <c r="D97" s="140" t="s">
        <v>1294</v>
      </c>
      <c r="E97" s="141"/>
    </row>
    <row r="98" spans="1:5">
      <c r="A98" s="139" t="s">
        <v>1189</v>
      </c>
      <c r="B98" s="139" t="s">
        <v>1190</v>
      </c>
      <c r="C98" s="139">
        <f>18+15</f>
        <v>33</v>
      </c>
      <c r="D98" s="140" t="s">
        <v>5310</v>
      </c>
      <c r="E98" s="141">
        <f>1.75*15</f>
        <v>26.25</v>
      </c>
    </row>
    <row r="99" spans="1:5">
      <c r="A99" s="139" t="s">
        <v>1191</v>
      </c>
      <c r="B99" s="139">
        <v>8512</v>
      </c>
      <c r="C99" s="139">
        <v>7</v>
      </c>
      <c r="D99" s="140" t="s">
        <v>1294</v>
      </c>
      <c r="E99" s="141"/>
    </row>
    <row r="100" spans="1:5">
      <c r="A100" s="139" t="s">
        <v>1192</v>
      </c>
      <c r="B100" s="139">
        <v>8247</v>
      </c>
      <c r="C100" s="139">
        <f>2+99-40-3+11-10-20</f>
        <v>39</v>
      </c>
      <c r="D100" s="140" t="s">
        <v>6435</v>
      </c>
      <c r="E100" s="141">
        <f>12.35*38</f>
        <v>469.3</v>
      </c>
    </row>
    <row r="101" spans="1:5">
      <c r="A101" s="139" t="s">
        <v>1193</v>
      </c>
      <c r="B101" s="139">
        <v>8246</v>
      </c>
      <c r="C101" s="139">
        <f>8+60+600-400-10-200-20</f>
        <v>38</v>
      </c>
      <c r="D101" s="140" t="s">
        <v>6317</v>
      </c>
      <c r="E101" s="141">
        <f>29*11.7</f>
        <v>339.29999999999995</v>
      </c>
    </row>
    <row r="102" spans="1:5">
      <c r="A102" s="139" t="s">
        <v>1194</v>
      </c>
      <c r="B102" s="139">
        <v>8515</v>
      </c>
      <c r="C102" s="139">
        <f>200+25-19-205-1</f>
        <v>0</v>
      </c>
      <c r="D102" s="140"/>
      <c r="E102" s="141"/>
    </row>
    <row r="103" spans="1:5">
      <c r="A103" s="139" t="s">
        <v>1195</v>
      </c>
      <c r="B103" s="139" t="s">
        <v>1190</v>
      </c>
      <c r="C103" s="139">
        <v>50</v>
      </c>
      <c r="D103" s="140" t="s">
        <v>1294</v>
      </c>
      <c r="E103" s="141"/>
    </row>
    <row r="104" spans="1:5">
      <c r="A104" s="139" t="s">
        <v>1185</v>
      </c>
      <c r="B104" s="139">
        <v>9005</v>
      </c>
      <c r="C104" s="139">
        <v>44</v>
      </c>
      <c r="D104" s="140" t="s">
        <v>1294</v>
      </c>
      <c r="E104" s="141"/>
    </row>
    <row r="105" spans="1:5">
      <c r="A105" s="139" t="s">
        <v>1187</v>
      </c>
      <c r="B105" s="139">
        <v>8840</v>
      </c>
      <c r="C105" s="139">
        <v>18</v>
      </c>
      <c r="D105" s="140" t="s">
        <v>1294</v>
      </c>
      <c r="E105" s="141"/>
    </row>
    <row r="106" spans="1:5">
      <c r="A106" s="139" t="s">
        <v>1716</v>
      </c>
      <c r="B106" s="139" t="s">
        <v>1153</v>
      </c>
      <c r="C106" s="139">
        <v>40</v>
      </c>
      <c r="D106" s="140" t="s">
        <v>1294</v>
      </c>
      <c r="E106" s="141"/>
    </row>
    <row r="107" spans="1:5">
      <c r="A107" s="139" t="s">
        <v>1191</v>
      </c>
      <c r="B107" s="139">
        <v>8514</v>
      </c>
      <c r="C107" s="139">
        <f>4-1</f>
        <v>3</v>
      </c>
      <c r="D107" s="140" t="s">
        <v>1294</v>
      </c>
      <c r="E107" s="141"/>
    </row>
    <row r="108" spans="1:5">
      <c r="A108" s="139" t="s">
        <v>1196</v>
      </c>
      <c r="B108" s="139">
        <v>12110</v>
      </c>
      <c r="C108" s="139">
        <v>6</v>
      </c>
      <c r="D108" s="140" t="s">
        <v>1294</v>
      </c>
      <c r="E108" s="141"/>
    </row>
    <row r="109" spans="1:5">
      <c r="A109" s="139" t="s">
        <v>1178</v>
      </c>
      <c r="B109" s="139">
        <v>15902</v>
      </c>
      <c r="C109" s="139">
        <v>1</v>
      </c>
      <c r="D109" s="140" t="s">
        <v>1294</v>
      </c>
      <c r="E109" s="141"/>
    </row>
    <row r="110" spans="1:5">
      <c r="A110" s="139" t="s">
        <v>1197</v>
      </c>
      <c r="B110" s="139">
        <v>12308</v>
      </c>
      <c r="C110" s="139">
        <f>40-5-20+20</f>
        <v>35</v>
      </c>
      <c r="D110" s="140" t="s">
        <v>5515</v>
      </c>
      <c r="E110" s="141">
        <f>18*15+18.8*20</f>
        <v>646</v>
      </c>
    </row>
    <row r="111" spans="1:5">
      <c r="A111" s="65" t="s">
        <v>1726</v>
      </c>
      <c r="B111" s="139">
        <v>10435</v>
      </c>
      <c r="C111" s="139">
        <f>60-20-20+20-10-1-20</f>
        <v>9</v>
      </c>
      <c r="D111" s="140" t="s">
        <v>5868</v>
      </c>
      <c r="E111" s="141">
        <f>14.8*0</f>
        <v>0</v>
      </c>
    </row>
    <row r="112" spans="1:5">
      <c r="A112" s="139" t="s">
        <v>1178</v>
      </c>
      <c r="B112" s="139">
        <v>10436</v>
      </c>
      <c r="C112" s="139">
        <v>52</v>
      </c>
      <c r="D112" s="140" t="s">
        <v>1294</v>
      </c>
      <c r="E112" s="141"/>
    </row>
    <row r="113" spans="1:5">
      <c r="A113" s="139" t="s">
        <v>1198</v>
      </c>
      <c r="B113" s="139">
        <v>10434</v>
      </c>
      <c r="C113" s="139">
        <f>60+10-40-5-20+100-20-30-50+240-100-65-30-50+100+100-200+300-1</f>
        <v>299</v>
      </c>
      <c r="D113" s="140" t="s">
        <v>6314</v>
      </c>
      <c r="E113" s="141">
        <f>C113*D113</f>
        <v>4245.8</v>
      </c>
    </row>
    <row r="114" spans="1:5">
      <c r="A114" s="139" t="s">
        <v>1199</v>
      </c>
      <c r="B114" s="139">
        <v>11329</v>
      </c>
      <c r="C114" s="139">
        <v>8</v>
      </c>
      <c r="D114" s="140" t="s">
        <v>1306</v>
      </c>
      <c r="E114" s="141"/>
    </row>
    <row r="115" spans="1:5">
      <c r="A115" s="139" t="s">
        <v>1178</v>
      </c>
      <c r="B115" s="139">
        <v>1711</v>
      </c>
      <c r="C115" s="139">
        <f>8-1</f>
        <v>7</v>
      </c>
      <c r="D115" s="140" t="s">
        <v>1294</v>
      </c>
      <c r="E115" s="141"/>
    </row>
    <row r="116" spans="1:5">
      <c r="A116" s="139" t="s">
        <v>1200</v>
      </c>
      <c r="B116" s="139" t="s">
        <v>1201</v>
      </c>
      <c r="C116" s="139">
        <f>27+20</f>
        <v>47</v>
      </c>
      <c r="D116" s="140" t="s">
        <v>6098</v>
      </c>
      <c r="E116" s="141">
        <f>14.1*20</f>
        <v>282</v>
      </c>
    </row>
    <row r="117" spans="1:5">
      <c r="A117" s="139" t="s">
        <v>1179</v>
      </c>
      <c r="B117" s="139">
        <v>11394</v>
      </c>
      <c r="C117" s="139">
        <v>2</v>
      </c>
      <c r="D117" s="140" t="s">
        <v>1294</v>
      </c>
      <c r="E117" s="141"/>
    </row>
    <row r="118" spans="1:5">
      <c r="A118" s="139" t="s">
        <v>1202</v>
      </c>
      <c r="B118" s="139">
        <v>40661</v>
      </c>
      <c r="C118" s="139">
        <v>3</v>
      </c>
      <c r="D118" s="140" t="s">
        <v>1294</v>
      </c>
      <c r="E118" s="141"/>
    </row>
    <row r="119" spans="1:5">
      <c r="A119" s="139" t="s">
        <v>1203</v>
      </c>
      <c r="B119" s="139" t="s">
        <v>1204</v>
      </c>
      <c r="C119" s="139">
        <v>10</v>
      </c>
      <c r="D119" s="140" t="s">
        <v>1488</v>
      </c>
      <c r="E119" s="141">
        <v>52</v>
      </c>
    </row>
    <row r="120" spans="1:5">
      <c r="A120" s="139" t="s">
        <v>1200</v>
      </c>
      <c r="B120" s="139">
        <v>11228</v>
      </c>
      <c r="C120" s="139">
        <v>15</v>
      </c>
      <c r="D120" s="140" t="s">
        <v>1294</v>
      </c>
      <c r="E120" s="141"/>
    </row>
    <row r="121" spans="1:5">
      <c r="A121" s="139" t="s">
        <v>1205</v>
      </c>
      <c r="B121" s="139">
        <v>12283</v>
      </c>
      <c r="C121" s="139">
        <v>6</v>
      </c>
      <c r="D121" s="140" t="s">
        <v>1294</v>
      </c>
      <c r="E121" s="141"/>
    </row>
    <row r="122" spans="1:5">
      <c r="A122" s="139" t="s">
        <v>1206</v>
      </c>
      <c r="B122" s="139">
        <v>12235</v>
      </c>
      <c r="C122" s="139">
        <v>8</v>
      </c>
      <c r="D122" s="140" t="s">
        <v>1294</v>
      </c>
      <c r="E122" s="141"/>
    </row>
    <row r="123" spans="1:5">
      <c r="A123" s="139" t="s">
        <v>1207</v>
      </c>
      <c r="B123" s="139">
        <v>16618</v>
      </c>
      <c r="C123" s="139">
        <v>4</v>
      </c>
      <c r="D123" s="140" t="s">
        <v>1294</v>
      </c>
      <c r="E123" s="141"/>
    </row>
    <row r="124" spans="1:5">
      <c r="A124" s="139" t="s">
        <v>1208</v>
      </c>
      <c r="B124" s="139">
        <v>10196</v>
      </c>
      <c r="C124" s="139">
        <v>2</v>
      </c>
      <c r="D124" s="140" t="s">
        <v>1294</v>
      </c>
      <c r="E124" s="141"/>
    </row>
    <row r="125" spans="1:5">
      <c r="A125" s="139" t="s">
        <v>1199</v>
      </c>
      <c r="B125" s="139">
        <v>11330</v>
      </c>
      <c r="C125" s="139">
        <v>1</v>
      </c>
      <c r="D125" s="140" t="s">
        <v>1294</v>
      </c>
      <c r="E125" s="141"/>
    </row>
    <row r="126" spans="1:5">
      <c r="A126" s="139" t="s">
        <v>1209</v>
      </c>
      <c r="B126" s="139">
        <v>10161</v>
      </c>
      <c r="C126" s="139">
        <v>8</v>
      </c>
      <c r="D126" s="140" t="s">
        <v>1306</v>
      </c>
      <c r="E126" s="141"/>
    </row>
    <row r="127" spans="1:5">
      <c r="A127" s="139" t="s">
        <v>1210</v>
      </c>
      <c r="B127" s="139">
        <v>11356</v>
      </c>
      <c r="C127" s="139">
        <f>5-3</f>
        <v>2</v>
      </c>
      <c r="D127" s="140" t="s">
        <v>1294</v>
      </c>
      <c r="E127" s="141"/>
    </row>
    <row r="128" spans="1:5">
      <c r="A128" s="139" t="s">
        <v>1410</v>
      </c>
      <c r="B128" s="139">
        <v>4515</v>
      </c>
      <c r="C128" s="139">
        <f>10+7-10</f>
        <v>7</v>
      </c>
      <c r="D128" s="140" t="s">
        <v>5993</v>
      </c>
      <c r="E128" s="141">
        <f>0*13.2</f>
        <v>0</v>
      </c>
    </row>
    <row r="129" spans="1:6">
      <c r="A129" s="139" t="s">
        <v>1167</v>
      </c>
      <c r="B129" s="139" t="s">
        <v>1411</v>
      </c>
      <c r="C129" s="139">
        <v>2</v>
      </c>
      <c r="D129" s="140" t="s">
        <v>1294</v>
      </c>
      <c r="E129" s="141"/>
    </row>
    <row r="130" spans="1:6">
      <c r="A130" s="139" t="s">
        <v>1163</v>
      </c>
      <c r="B130" s="139" t="s">
        <v>1411</v>
      </c>
      <c r="C130" s="139">
        <v>2</v>
      </c>
      <c r="D130" s="140" t="s">
        <v>1294</v>
      </c>
      <c r="E130" s="141"/>
    </row>
    <row r="131" spans="1:6">
      <c r="A131" s="139" t="s">
        <v>1164</v>
      </c>
      <c r="B131" s="139" t="s">
        <v>1412</v>
      </c>
      <c r="C131" s="139">
        <v>1</v>
      </c>
      <c r="D131" s="140" t="s">
        <v>1294</v>
      </c>
      <c r="E131" s="141"/>
    </row>
    <row r="132" spans="1:6">
      <c r="A132" s="139" t="s">
        <v>1163</v>
      </c>
      <c r="B132" s="139">
        <v>4535</v>
      </c>
      <c r="C132" s="139"/>
      <c r="D132" s="140"/>
      <c r="E132" s="141"/>
    </row>
    <row r="133" spans="1:6">
      <c r="A133" s="139" t="s">
        <v>1246</v>
      </c>
      <c r="B133" s="139">
        <v>52000183617</v>
      </c>
      <c r="C133" s="139">
        <v>2</v>
      </c>
      <c r="D133" s="140" t="s">
        <v>1806</v>
      </c>
      <c r="E133" s="141">
        <f>C133*D133</f>
        <v>1725</v>
      </c>
    </row>
    <row r="134" spans="1:6">
      <c r="A134" s="139" t="s">
        <v>1247</v>
      </c>
      <c r="B134" s="139" t="s">
        <v>1413</v>
      </c>
      <c r="C134" s="139">
        <f>7-5+20-20</f>
        <v>2</v>
      </c>
      <c r="D134" s="140" t="s">
        <v>1802</v>
      </c>
      <c r="E134" s="141">
        <f>0*35.6</f>
        <v>0</v>
      </c>
    </row>
    <row r="135" spans="1:6">
      <c r="A135" s="139" t="s">
        <v>1248</v>
      </c>
      <c r="B135" s="139" t="s">
        <v>1106</v>
      </c>
      <c r="C135" s="139">
        <v>0</v>
      </c>
      <c r="D135" s="140"/>
      <c r="E135" s="141"/>
    </row>
    <row r="136" spans="1:6">
      <c r="A136" s="139" t="s">
        <v>1249</v>
      </c>
      <c r="B136" s="139">
        <v>8577</v>
      </c>
      <c r="C136" s="139">
        <v>0</v>
      </c>
      <c r="D136" s="140"/>
      <c r="E136" s="141"/>
    </row>
    <row r="137" spans="1:6">
      <c r="A137" s="139" t="s">
        <v>1250</v>
      </c>
      <c r="B137" s="139" t="s">
        <v>1414</v>
      </c>
      <c r="C137" s="139">
        <v>0</v>
      </c>
      <c r="D137" s="140"/>
      <c r="E137" s="141"/>
    </row>
    <row r="138" spans="1:6">
      <c r="A138" s="139" t="s">
        <v>1251</v>
      </c>
      <c r="B138" s="139" t="s">
        <v>1088</v>
      </c>
      <c r="C138" s="139">
        <v>4</v>
      </c>
      <c r="D138" s="140" t="s">
        <v>5486</v>
      </c>
      <c r="E138" s="141">
        <f>C138*D138</f>
        <v>358.64</v>
      </c>
    </row>
    <row r="139" spans="1:6">
      <c r="A139" s="139" t="s">
        <v>1251</v>
      </c>
      <c r="B139" s="139" t="s">
        <v>1338</v>
      </c>
      <c r="C139" s="139">
        <v>6</v>
      </c>
      <c r="D139" s="140" t="s">
        <v>5486</v>
      </c>
      <c r="E139" s="141">
        <f>C139*D139</f>
        <v>537.96</v>
      </c>
    </row>
    <row r="140" spans="1:6">
      <c r="A140" s="139" t="s">
        <v>1415</v>
      </c>
      <c r="B140" s="139">
        <v>8576</v>
      </c>
      <c r="C140" s="139">
        <v>0</v>
      </c>
      <c r="D140" s="140"/>
      <c r="E140" s="141"/>
    </row>
    <row r="141" spans="1:6">
      <c r="A141" s="139" t="s">
        <v>1762</v>
      </c>
      <c r="B141" s="139" t="s">
        <v>1416</v>
      </c>
      <c r="C141" s="139">
        <f>200+16-16-40-20-50+200-100-4-180+230-10+100-50-30-10-11-100+200-20-100-60-50+200-1-1</f>
        <v>293</v>
      </c>
      <c r="D141" s="140" t="s">
        <v>6410</v>
      </c>
      <c r="E141" s="141">
        <f>3*12.6+90*12.3+12.4*200</f>
        <v>3624.8</v>
      </c>
    </row>
    <row r="142" spans="1:6">
      <c r="A142" s="139" t="s">
        <v>1721</v>
      </c>
      <c r="B142" s="139">
        <v>9010</v>
      </c>
      <c r="C142" s="139">
        <f>80+80-150</f>
        <v>10</v>
      </c>
      <c r="D142" s="140">
        <v>2.88</v>
      </c>
      <c r="E142" s="141">
        <f>2.88*80</f>
        <v>230.39999999999998</v>
      </c>
      <c r="F142" s="136">
        <v>255</v>
      </c>
    </row>
    <row r="143" spans="1:6">
      <c r="A143" s="139" t="s">
        <v>1732</v>
      </c>
      <c r="B143" s="139">
        <v>82585</v>
      </c>
      <c r="C143" s="139">
        <v>1</v>
      </c>
      <c r="D143" s="140" t="s">
        <v>185</v>
      </c>
      <c r="E143" s="141"/>
      <c r="F143" s="136">
        <v>70</v>
      </c>
    </row>
    <row r="144" spans="1:6">
      <c r="A144" s="139" t="s">
        <v>1531</v>
      </c>
      <c r="B144" s="139">
        <v>82700</v>
      </c>
      <c r="C144" s="139">
        <v>1</v>
      </c>
      <c r="D144" s="140" t="s">
        <v>185</v>
      </c>
      <c r="E144" s="141"/>
      <c r="F144" s="136">
        <v>352</v>
      </c>
    </row>
    <row r="145" spans="1:16261">
      <c r="A145" s="139" t="s">
        <v>1733</v>
      </c>
      <c r="B145" s="134">
        <v>82705</v>
      </c>
      <c r="C145" s="139">
        <v>2</v>
      </c>
      <c r="D145" s="140" t="s">
        <v>185</v>
      </c>
      <c r="E145" s="141"/>
      <c r="F145" s="136">
        <v>97</v>
      </c>
    </row>
    <row r="146" spans="1:16261">
      <c r="A146" s="139" t="s">
        <v>1533</v>
      </c>
      <c r="B146" s="139">
        <v>82520</v>
      </c>
      <c r="C146" s="139">
        <v>1</v>
      </c>
      <c r="D146" s="140" t="s">
        <v>185</v>
      </c>
      <c r="E146" s="141"/>
      <c r="F146" s="136">
        <v>266</v>
      </c>
    </row>
    <row r="147" spans="1:16261">
      <c r="A147" s="139" t="s">
        <v>1734</v>
      </c>
      <c r="B147" s="139">
        <v>82518</v>
      </c>
      <c r="C147" s="139">
        <v>0</v>
      </c>
      <c r="D147" s="140"/>
      <c r="E147" s="141"/>
    </row>
    <row r="148" spans="1:16261">
      <c r="A148" s="139" t="s">
        <v>1534</v>
      </c>
      <c r="B148" s="139">
        <v>5604</v>
      </c>
      <c r="C148" s="139">
        <v>3</v>
      </c>
      <c r="D148" s="140" t="s">
        <v>185</v>
      </c>
      <c r="E148" s="141"/>
    </row>
    <row r="149" spans="1:16261">
      <c r="A149" s="139" t="s">
        <v>1737</v>
      </c>
      <c r="B149" s="139">
        <v>5502</v>
      </c>
      <c r="C149" s="139">
        <v>1</v>
      </c>
      <c r="D149" s="140" t="s">
        <v>185</v>
      </c>
      <c r="E149" s="141"/>
    </row>
    <row r="150" spans="1:16261">
      <c r="A150" s="139" t="s">
        <v>1535</v>
      </c>
      <c r="B150" s="139">
        <v>5512</v>
      </c>
      <c r="C150" s="139">
        <v>1</v>
      </c>
      <c r="D150" s="140" t="s">
        <v>185</v>
      </c>
      <c r="E150" s="141"/>
      <c r="F150" s="136">
        <v>42.71</v>
      </c>
    </row>
    <row r="151" spans="1:16261">
      <c r="A151" s="139" t="s">
        <v>1738</v>
      </c>
      <c r="B151" s="139" t="s">
        <v>1536</v>
      </c>
      <c r="C151" s="139">
        <v>4</v>
      </c>
      <c r="D151" s="140" t="s">
        <v>185</v>
      </c>
      <c r="E151" s="141"/>
    </row>
    <row r="152" spans="1:16261">
      <c r="A152" s="139" t="s">
        <v>6294</v>
      </c>
      <c r="B152" s="139">
        <v>6885</v>
      </c>
      <c r="C152" s="139">
        <f>0+25</f>
        <v>25</v>
      </c>
      <c r="D152" s="140" t="s">
        <v>6295</v>
      </c>
      <c r="E152" s="141">
        <f>D152*C152</f>
        <v>62.5</v>
      </c>
    </row>
    <row r="153" spans="1:16261">
      <c r="A153" s="139" t="s">
        <v>1252</v>
      </c>
      <c r="B153" s="139">
        <v>3100</v>
      </c>
      <c r="C153" s="139">
        <v>0</v>
      </c>
      <c r="D153" s="140"/>
      <c r="E153" s="141"/>
    </row>
    <row r="154" spans="1:16261">
      <c r="A154" s="139" t="s">
        <v>1739</v>
      </c>
      <c r="B154" s="139">
        <v>6800</v>
      </c>
      <c r="C154" s="139">
        <f>0+28-26-1+36-30-4-1</f>
        <v>2</v>
      </c>
      <c r="D154" s="140" t="s">
        <v>6454</v>
      </c>
      <c r="E154" s="141">
        <f>420*2</f>
        <v>840</v>
      </c>
    </row>
    <row r="155" spans="1:16261">
      <c r="A155" s="139" t="s">
        <v>1417</v>
      </c>
      <c r="B155" s="139">
        <v>1110</v>
      </c>
      <c r="C155" s="139">
        <f>180-100+200-1-100+500-100-50-300+500-50-20-1+3000-2000-500</f>
        <v>1158</v>
      </c>
      <c r="D155" s="140" t="s">
        <v>6385</v>
      </c>
      <c r="E155" s="141">
        <f>8*0.77+150*0.72+0.71*1000</f>
        <v>824.16</v>
      </c>
    </row>
    <row r="156" spans="1:16261">
      <c r="A156" s="139" t="s">
        <v>1209</v>
      </c>
      <c r="B156" s="139" t="s">
        <v>1530</v>
      </c>
      <c r="C156" s="139">
        <f>8-8</f>
        <v>0</v>
      </c>
      <c r="D156" s="140" t="s">
        <v>185</v>
      </c>
      <c r="E156" s="141"/>
    </row>
    <row r="157" spans="1:16261">
      <c r="A157" s="139" t="s">
        <v>1418</v>
      </c>
      <c r="B157" s="139" t="s">
        <v>1419</v>
      </c>
      <c r="C157" s="139">
        <v>0</v>
      </c>
      <c r="D157" s="140"/>
      <c r="E157" s="141"/>
    </row>
    <row r="158" spans="1:16261">
      <c r="A158" s="139" t="s">
        <v>1740</v>
      </c>
      <c r="B158" s="139" t="s">
        <v>1420</v>
      </c>
      <c r="C158" s="139">
        <f>305-40-50-1-10-100-2+300-1-20+1-3-10-1-1-1-50-100-1-1-10-3</f>
        <v>201</v>
      </c>
      <c r="D158" s="140" t="s">
        <v>6365</v>
      </c>
      <c r="E158" s="141">
        <f>33.111*2+27.144*199</f>
        <v>5467.8779999999997</v>
      </c>
    </row>
    <row r="159" spans="1:16261">
      <c r="A159" s="139" t="s">
        <v>1724</v>
      </c>
      <c r="B159" s="139" t="s">
        <v>1276</v>
      </c>
      <c r="C159" s="139">
        <f>41+360-200</f>
        <v>201</v>
      </c>
      <c r="D159" s="140" t="s">
        <v>5342</v>
      </c>
      <c r="E159" s="141">
        <f>3.97*41+4*160</f>
        <v>802.77</v>
      </c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153"/>
      <c r="CB159" s="153"/>
      <c r="CC159" s="153"/>
      <c r="CD159" s="153"/>
      <c r="CE159" s="153"/>
      <c r="CF159" s="153"/>
      <c r="CG159" s="153"/>
      <c r="CH159" s="153"/>
      <c r="CI159" s="153"/>
      <c r="CJ159" s="153"/>
      <c r="CK159" s="153"/>
      <c r="CL159" s="153"/>
      <c r="CM159" s="153"/>
      <c r="CN159" s="153"/>
      <c r="CO159" s="153"/>
      <c r="CP159" s="153"/>
      <c r="CQ159" s="153"/>
      <c r="CR159" s="153"/>
      <c r="CS159" s="153"/>
      <c r="CT159" s="153"/>
      <c r="CU159" s="153"/>
      <c r="CV159" s="153"/>
      <c r="CW159" s="153"/>
      <c r="CX159" s="153"/>
      <c r="CY159" s="153"/>
      <c r="CZ159" s="153"/>
      <c r="DA159" s="153"/>
      <c r="DB159" s="153"/>
      <c r="DC159" s="153"/>
      <c r="DD159" s="153"/>
      <c r="DE159" s="153"/>
      <c r="DF159" s="153"/>
      <c r="DG159" s="153"/>
      <c r="DH159" s="153"/>
      <c r="DI159" s="153"/>
      <c r="DJ159" s="153"/>
      <c r="DK159" s="153"/>
      <c r="DL159" s="153"/>
      <c r="DM159" s="153"/>
      <c r="DN159" s="153"/>
      <c r="DO159" s="153"/>
      <c r="DP159" s="153"/>
      <c r="DQ159" s="153"/>
      <c r="DR159" s="153"/>
      <c r="DS159" s="153"/>
      <c r="DT159" s="153"/>
      <c r="DU159" s="153"/>
      <c r="DV159" s="153"/>
      <c r="DW159" s="153"/>
      <c r="DX159" s="153"/>
      <c r="DY159" s="153"/>
      <c r="DZ159" s="153"/>
      <c r="EA159" s="153"/>
      <c r="EB159" s="153"/>
      <c r="EC159" s="153"/>
      <c r="ED159" s="153"/>
      <c r="EE159" s="153"/>
      <c r="EF159" s="153"/>
      <c r="EG159" s="153"/>
      <c r="EH159" s="153"/>
      <c r="EI159" s="153"/>
      <c r="EJ159" s="153"/>
      <c r="EK159" s="153"/>
      <c r="EL159" s="153"/>
      <c r="EM159" s="153"/>
      <c r="EN159" s="153"/>
      <c r="EO159" s="153"/>
      <c r="EP159" s="153"/>
      <c r="EQ159" s="153"/>
      <c r="ER159" s="153"/>
      <c r="ES159" s="153"/>
      <c r="ET159" s="153"/>
      <c r="EU159" s="153"/>
      <c r="EV159" s="153"/>
      <c r="EW159" s="153"/>
      <c r="EX159" s="153"/>
      <c r="EY159" s="153"/>
      <c r="EZ159" s="153"/>
      <c r="FA159" s="153"/>
      <c r="FB159" s="153"/>
      <c r="FC159" s="153"/>
      <c r="FD159" s="153"/>
      <c r="FE159" s="153"/>
      <c r="FF159" s="153"/>
      <c r="FG159" s="153"/>
      <c r="FH159" s="153"/>
      <c r="FI159" s="153"/>
      <c r="FJ159" s="153"/>
      <c r="FK159" s="153"/>
      <c r="FL159" s="153"/>
      <c r="FM159" s="153"/>
      <c r="FN159" s="153"/>
      <c r="FO159" s="153"/>
      <c r="FP159" s="153"/>
      <c r="FQ159" s="153"/>
      <c r="FR159" s="153"/>
      <c r="FS159" s="153"/>
      <c r="FT159" s="153"/>
      <c r="FU159" s="153"/>
      <c r="FV159" s="153"/>
      <c r="FW159" s="153"/>
      <c r="FX159" s="153"/>
      <c r="FY159" s="153"/>
      <c r="FZ159" s="153"/>
      <c r="GA159" s="153"/>
      <c r="GB159" s="153"/>
      <c r="GC159" s="153"/>
      <c r="GD159" s="153"/>
      <c r="GE159" s="153"/>
      <c r="GF159" s="153"/>
      <c r="GG159" s="153"/>
      <c r="GH159" s="153"/>
      <c r="GI159" s="153"/>
      <c r="GJ159" s="153"/>
      <c r="GK159" s="153"/>
      <c r="GL159" s="153"/>
      <c r="GM159" s="153"/>
      <c r="GN159" s="153"/>
      <c r="GO159" s="153"/>
      <c r="GP159" s="153"/>
      <c r="GQ159" s="153"/>
      <c r="GR159" s="153"/>
      <c r="GS159" s="153"/>
      <c r="GT159" s="153"/>
      <c r="GU159" s="153"/>
      <c r="GV159" s="153"/>
      <c r="GW159" s="153"/>
      <c r="GX159" s="153"/>
      <c r="GY159" s="153"/>
      <c r="GZ159" s="153"/>
      <c r="HA159" s="153"/>
      <c r="HB159" s="153"/>
      <c r="HC159" s="153"/>
      <c r="HD159" s="153"/>
      <c r="HE159" s="153"/>
      <c r="HF159" s="153"/>
      <c r="HG159" s="153"/>
      <c r="HH159" s="153"/>
      <c r="HI159" s="153"/>
      <c r="HJ159" s="153"/>
      <c r="HK159" s="153"/>
      <c r="HL159" s="153"/>
      <c r="HM159" s="153"/>
      <c r="HN159" s="153"/>
      <c r="HO159" s="153"/>
      <c r="HP159" s="153"/>
      <c r="HQ159" s="153"/>
      <c r="HR159" s="153"/>
      <c r="HS159" s="153"/>
      <c r="HT159" s="153"/>
      <c r="HU159" s="153"/>
      <c r="HV159" s="153"/>
      <c r="HW159" s="153"/>
      <c r="HX159" s="153"/>
      <c r="HY159" s="153"/>
      <c r="HZ159" s="153"/>
      <c r="IA159" s="153"/>
      <c r="IB159" s="153"/>
      <c r="IC159" s="153"/>
      <c r="ID159" s="153"/>
      <c r="IE159" s="153"/>
      <c r="IF159" s="153"/>
      <c r="IG159" s="153"/>
      <c r="IH159" s="153"/>
      <c r="II159" s="153"/>
      <c r="IJ159" s="153"/>
      <c r="IK159" s="153"/>
      <c r="IL159" s="153"/>
      <c r="IM159" s="153"/>
      <c r="IN159" s="153"/>
      <c r="IO159" s="153"/>
      <c r="IP159" s="153"/>
      <c r="IQ159" s="153"/>
      <c r="IR159" s="153"/>
      <c r="IS159" s="153"/>
      <c r="IT159" s="153"/>
      <c r="IU159" s="153"/>
      <c r="IV159" s="153"/>
      <c r="IW159" s="153"/>
      <c r="IX159" s="153"/>
      <c r="IY159" s="153"/>
      <c r="IZ159" s="153"/>
      <c r="JA159" s="153"/>
      <c r="JB159" s="153"/>
      <c r="JC159" s="153"/>
      <c r="JD159" s="153"/>
      <c r="JE159" s="153"/>
      <c r="JF159" s="153"/>
      <c r="JG159" s="153"/>
      <c r="JH159" s="153"/>
      <c r="JI159" s="153"/>
      <c r="JJ159" s="153"/>
      <c r="JK159" s="153"/>
      <c r="JL159" s="153"/>
      <c r="JM159" s="153"/>
      <c r="JN159" s="153"/>
      <c r="JO159" s="153"/>
      <c r="JP159" s="153"/>
      <c r="JQ159" s="153"/>
      <c r="JR159" s="153"/>
      <c r="JS159" s="153"/>
      <c r="JT159" s="153"/>
      <c r="JU159" s="153"/>
      <c r="JV159" s="153"/>
      <c r="JW159" s="153"/>
      <c r="JX159" s="153"/>
      <c r="JY159" s="153"/>
      <c r="JZ159" s="153"/>
      <c r="KA159" s="153"/>
      <c r="KB159" s="153"/>
      <c r="KC159" s="153"/>
      <c r="KD159" s="153"/>
      <c r="KE159" s="153"/>
      <c r="KF159" s="153"/>
      <c r="KG159" s="153"/>
      <c r="KH159" s="153"/>
      <c r="KI159" s="153"/>
      <c r="KJ159" s="153"/>
      <c r="KK159" s="153"/>
      <c r="KL159" s="153"/>
      <c r="KM159" s="153"/>
      <c r="KN159" s="153"/>
      <c r="KO159" s="153"/>
      <c r="KP159" s="153"/>
      <c r="KQ159" s="153"/>
      <c r="KR159" s="153"/>
      <c r="KS159" s="153"/>
      <c r="KT159" s="153"/>
      <c r="KU159" s="153"/>
      <c r="KV159" s="153"/>
      <c r="KW159" s="153"/>
      <c r="KX159" s="153"/>
      <c r="KY159" s="153"/>
      <c r="KZ159" s="153"/>
      <c r="LA159" s="153"/>
      <c r="LB159" s="153"/>
      <c r="LC159" s="153"/>
      <c r="LD159" s="153"/>
      <c r="LE159" s="153"/>
      <c r="LF159" s="153"/>
      <c r="LG159" s="153"/>
      <c r="LH159" s="153"/>
      <c r="LI159" s="153"/>
      <c r="LJ159" s="153"/>
      <c r="LK159" s="153"/>
      <c r="LL159" s="153"/>
      <c r="LM159" s="153"/>
      <c r="LN159" s="153"/>
      <c r="LO159" s="153"/>
      <c r="LP159" s="153"/>
      <c r="LQ159" s="153"/>
      <c r="LR159" s="153"/>
      <c r="LS159" s="153"/>
      <c r="LT159" s="153"/>
      <c r="LU159" s="153"/>
      <c r="LV159" s="153"/>
      <c r="LW159" s="153"/>
      <c r="LX159" s="153"/>
      <c r="LY159" s="153"/>
      <c r="LZ159" s="153"/>
      <c r="MA159" s="153"/>
      <c r="MB159" s="153"/>
      <c r="MC159" s="153"/>
      <c r="MD159" s="153"/>
      <c r="ME159" s="153"/>
      <c r="MF159" s="153"/>
      <c r="MG159" s="153"/>
      <c r="MH159" s="153"/>
      <c r="MI159" s="153"/>
      <c r="MJ159" s="153"/>
      <c r="MK159" s="153"/>
      <c r="ML159" s="153"/>
      <c r="MM159" s="153"/>
      <c r="MN159" s="153"/>
      <c r="MO159" s="153"/>
      <c r="MP159" s="153"/>
      <c r="MQ159" s="153"/>
      <c r="MR159" s="153"/>
      <c r="MS159" s="153"/>
      <c r="MT159" s="153"/>
      <c r="MU159" s="153"/>
      <c r="MV159" s="153"/>
      <c r="MW159" s="153"/>
      <c r="MX159" s="153"/>
      <c r="MY159" s="153"/>
      <c r="MZ159" s="153"/>
      <c r="NA159" s="153"/>
      <c r="NB159" s="153"/>
      <c r="NC159" s="153"/>
      <c r="ND159" s="153"/>
      <c r="NE159" s="153"/>
      <c r="NF159" s="153"/>
      <c r="NG159" s="153"/>
      <c r="NH159" s="153"/>
      <c r="NI159" s="153"/>
      <c r="NJ159" s="153"/>
      <c r="NK159" s="153"/>
      <c r="NL159" s="153"/>
      <c r="NM159" s="153"/>
      <c r="NN159" s="153"/>
      <c r="NO159" s="153"/>
      <c r="NP159" s="153"/>
      <c r="NQ159" s="153"/>
      <c r="NR159" s="153"/>
      <c r="NS159" s="153"/>
      <c r="NT159" s="153"/>
      <c r="NU159" s="153"/>
      <c r="NV159" s="153"/>
      <c r="NW159" s="153"/>
      <c r="NX159" s="153"/>
      <c r="NY159" s="153"/>
      <c r="NZ159" s="153"/>
      <c r="OA159" s="153"/>
      <c r="OB159" s="153"/>
      <c r="OC159" s="153"/>
      <c r="OD159" s="153"/>
      <c r="OE159" s="153"/>
      <c r="OF159" s="153"/>
      <c r="OG159" s="153"/>
      <c r="OH159" s="153"/>
      <c r="OI159" s="153"/>
      <c r="OJ159" s="153"/>
      <c r="OK159" s="153"/>
      <c r="OL159" s="153"/>
      <c r="OM159" s="153"/>
      <c r="ON159" s="153"/>
      <c r="OO159" s="153"/>
      <c r="OP159" s="153"/>
      <c r="OQ159" s="153"/>
      <c r="OR159" s="153"/>
      <c r="OS159" s="153"/>
      <c r="OT159" s="153"/>
      <c r="OU159" s="153"/>
      <c r="OV159" s="153"/>
      <c r="OW159" s="153"/>
      <c r="OX159" s="153"/>
      <c r="OY159" s="153"/>
      <c r="OZ159" s="153"/>
      <c r="PA159" s="153"/>
      <c r="PB159" s="153"/>
      <c r="PC159" s="153"/>
      <c r="PD159" s="153"/>
      <c r="PE159" s="153"/>
      <c r="PF159" s="153"/>
      <c r="PG159" s="153"/>
      <c r="PH159" s="153"/>
      <c r="PI159" s="153"/>
      <c r="PJ159" s="153"/>
      <c r="PK159" s="153"/>
      <c r="PL159" s="153"/>
      <c r="PM159" s="153"/>
      <c r="PN159" s="153"/>
      <c r="PO159" s="153"/>
      <c r="PP159" s="153"/>
      <c r="PQ159" s="153"/>
      <c r="PR159" s="153"/>
      <c r="PS159" s="153"/>
      <c r="PT159" s="153"/>
      <c r="PU159" s="153"/>
      <c r="PV159" s="153"/>
      <c r="PW159" s="153"/>
      <c r="PX159" s="153"/>
      <c r="PY159" s="153"/>
      <c r="PZ159" s="153"/>
      <c r="QA159" s="153"/>
      <c r="QB159" s="153"/>
      <c r="QC159" s="153"/>
      <c r="QD159" s="153"/>
      <c r="QE159" s="153"/>
      <c r="QF159" s="153"/>
      <c r="QG159" s="153"/>
      <c r="QH159" s="153"/>
      <c r="QI159" s="153"/>
      <c r="QJ159" s="153"/>
      <c r="QK159" s="153"/>
      <c r="QL159" s="153"/>
      <c r="QM159" s="153"/>
      <c r="QN159" s="153"/>
      <c r="QO159" s="153"/>
      <c r="QP159" s="153"/>
      <c r="QQ159" s="153"/>
      <c r="QR159" s="153"/>
      <c r="QS159" s="153"/>
      <c r="QT159" s="153"/>
      <c r="QU159" s="153"/>
      <c r="QV159" s="153"/>
      <c r="QW159" s="153"/>
      <c r="QX159" s="153"/>
      <c r="QY159" s="153"/>
      <c r="QZ159" s="153"/>
      <c r="RA159" s="153"/>
      <c r="RB159" s="153"/>
      <c r="RC159" s="153"/>
      <c r="RD159" s="153"/>
      <c r="RE159" s="153"/>
      <c r="RF159" s="153"/>
      <c r="RG159" s="153"/>
      <c r="RH159" s="153"/>
      <c r="RI159" s="153"/>
      <c r="RJ159" s="153"/>
      <c r="RK159" s="153"/>
      <c r="RL159" s="153"/>
      <c r="RM159" s="153"/>
      <c r="RN159" s="153"/>
      <c r="RO159" s="153"/>
      <c r="RP159" s="153"/>
      <c r="RQ159" s="153"/>
      <c r="RR159" s="153"/>
      <c r="RS159" s="153"/>
      <c r="RT159" s="153"/>
      <c r="RU159" s="153"/>
      <c r="RV159" s="153"/>
      <c r="RW159" s="153"/>
      <c r="RX159" s="153"/>
      <c r="RY159" s="153"/>
      <c r="RZ159" s="153"/>
      <c r="SA159" s="153"/>
      <c r="SB159" s="153"/>
      <c r="SC159" s="153"/>
      <c r="SD159" s="153"/>
      <c r="SE159" s="153"/>
      <c r="SF159" s="153"/>
      <c r="SG159" s="153"/>
      <c r="SH159" s="153"/>
      <c r="SI159" s="153"/>
      <c r="SJ159" s="153"/>
      <c r="SK159" s="153"/>
      <c r="SL159" s="153"/>
      <c r="SM159" s="153"/>
      <c r="SN159" s="153"/>
      <c r="SO159" s="153"/>
      <c r="SP159" s="153"/>
      <c r="SQ159" s="153"/>
      <c r="SR159" s="153"/>
      <c r="SS159" s="153"/>
      <c r="ST159" s="153"/>
      <c r="SU159" s="153"/>
      <c r="SV159" s="153"/>
      <c r="SW159" s="153"/>
      <c r="SX159" s="153"/>
      <c r="SY159" s="153"/>
      <c r="SZ159" s="153"/>
      <c r="TA159" s="153"/>
      <c r="TB159" s="153"/>
      <c r="TC159" s="153"/>
      <c r="TD159" s="153"/>
      <c r="TE159" s="153"/>
      <c r="TF159" s="153"/>
      <c r="TG159" s="153"/>
      <c r="TH159" s="153"/>
      <c r="TI159" s="153"/>
      <c r="TJ159" s="153"/>
      <c r="TK159" s="153"/>
      <c r="TL159" s="153"/>
      <c r="TM159" s="153"/>
      <c r="TN159" s="153"/>
      <c r="TO159" s="153"/>
      <c r="TP159" s="153"/>
      <c r="TQ159" s="153"/>
      <c r="TR159" s="153"/>
      <c r="TS159" s="153"/>
      <c r="TT159" s="153"/>
      <c r="TU159" s="153"/>
      <c r="TV159" s="153"/>
      <c r="TW159" s="153"/>
      <c r="TX159" s="153"/>
      <c r="TY159" s="153"/>
      <c r="TZ159" s="153"/>
      <c r="UA159" s="153"/>
      <c r="UB159" s="153"/>
      <c r="UC159" s="153"/>
      <c r="UD159" s="153"/>
      <c r="UE159" s="153"/>
      <c r="UF159" s="153"/>
      <c r="UG159" s="153"/>
      <c r="UH159" s="153"/>
      <c r="UI159" s="153"/>
      <c r="UJ159" s="153"/>
      <c r="UK159" s="153"/>
      <c r="UL159" s="153"/>
      <c r="UM159" s="153"/>
      <c r="UN159" s="153"/>
      <c r="UO159" s="153"/>
      <c r="UP159" s="153"/>
      <c r="UQ159" s="153"/>
      <c r="UR159" s="153"/>
      <c r="US159" s="153"/>
      <c r="UT159" s="153"/>
      <c r="UU159" s="153"/>
      <c r="UV159" s="153"/>
      <c r="UW159" s="153"/>
      <c r="UX159" s="153"/>
      <c r="UY159" s="153"/>
      <c r="UZ159" s="153"/>
      <c r="VA159" s="153"/>
      <c r="VB159" s="153"/>
      <c r="VC159" s="153"/>
      <c r="VD159" s="153"/>
      <c r="VE159" s="153"/>
      <c r="VF159" s="153"/>
      <c r="VG159" s="153"/>
      <c r="VH159" s="153"/>
      <c r="VI159" s="153"/>
      <c r="VJ159" s="153"/>
      <c r="VK159" s="153"/>
      <c r="VL159" s="153"/>
      <c r="VM159" s="153"/>
      <c r="VN159" s="153"/>
      <c r="VO159" s="153"/>
      <c r="VP159" s="153"/>
      <c r="VQ159" s="153"/>
      <c r="VR159" s="153"/>
      <c r="VS159" s="153"/>
      <c r="VT159" s="153"/>
      <c r="VU159" s="153"/>
      <c r="VV159" s="153"/>
      <c r="VW159" s="153"/>
      <c r="VX159" s="153"/>
      <c r="VY159" s="153"/>
      <c r="VZ159" s="153"/>
      <c r="WA159" s="153"/>
      <c r="WB159" s="153"/>
      <c r="WC159" s="153"/>
      <c r="WD159" s="153"/>
      <c r="WE159" s="153"/>
      <c r="WF159" s="153"/>
      <c r="WG159" s="153"/>
      <c r="WH159" s="153"/>
      <c r="WI159" s="153"/>
      <c r="WJ159" s="153"/>
      <c r="WK159" s="153"/>
      <c r="WL159" s="153"/>
      <c r="WM159" s="153"/>
      <c r="WN159" s="153"/>
      <c r="WO159" s="153"/>
      <c r="WP159" s="153"/>
      <c r="WQ159" s="153"/>
      <c r="WR159" s="153"/>
      <c r="WS159" s="153"/>
      <c r="WT159" s="153"/>
      <c r="WU159" s="153"/>
      <c r="WV159" s="153"/>
      <c r="WW159" s="153"/>
      <c r="WX159" s="153"/>
      <c r="WY159" s="153"/>
      <c r="WZ159" s="153"/>
      <c r="XA159" s="153"/>
      <c r="XB159" s="153"/>
      <c r="XC159" s="153"/>
      <c r="XD159" s="153"/>
      <c r="XE159" s="153"/>
      <c r="XF159" s="153"/>
      <c r="XG159" s="153"/>
      <c r="XH159" s="153"/>
      <c r="XI159" s="153"/>
      <c r="XJ159" s="153"/>
      <c r="XK159" s="153"/>
      <c r="XL159" s="153"/>
      <c r="XM159" s="153"/>
      <c r="XN159" s="153"/>
      <c r="XO159" s="153"/>
      <c r="XP159" s="153"/>
      <c r="XQ159" s="153"/>
      <c r="XR159" s="153"/>
      <c r="XS159" s="153"/>
      <c r="XT159" s="153"/>
      <c r="XU159" s="153"/>
      <c r="XV159" s="153"/>
      <c r="XW159" s="153"/>
      <c r="XX159" s="153"/>
      <c r="XY159" s="153"/>
      <c r="XZ159" s="153"/>
      <c r="YA159" s="153"/>
      <c r="YB159" s="153"/>
      <c r="YC159" s="153"/>
      <c r="YD159" s="153"/>
      <c r="YE159" s="153"/>
      <c r="YF159" s="153"/>
      <c r="YG159" s="153"/>
      <c r="YH159" s="153"/>
      <c r="YI159" s="153"/>
      <c r="YJ159" s="153"/>
      <c r="YK159" s="153"/>
      <c r="YL159" s="153"/>
      <c r="YM159" s="153"/>
      <c r="YN159" s="153"/>
      <c r="YO159" s="153"/>
      <c r="YP159" s="153"/>
      <c r="YQ159" s="153"/>
      <c r="YR159" s="153"/>
      <c r="YS159" s="153"/>
      <c r="YT159" s="153"/>
      <c r="YU159" s="153"/>
      <c r="YV159" s="153"/>
      <c r="YW159" s="153"/>
      <c r="YX159" s="153"/>
      <c r="YY159" s="153"/>
      <c r="YZ159" s="153"/>
      <c r="ZA159" s="153"/>
      <c r="ZB159" s="153"/>
      <c r="ZC159" s="153"/>
      <c r="ZD159" s="153"/>
      <c r="ZE159" s="153"/>
      <c r="ZF159" s="153"/>
      <c r="ZG159" s="153"/>
      <c r="ZH159" s="153"/>
      <c r="ZI159" s="153"/>
      <c r="ZJ159" s="153"/>
      <c r="ZK159" s="153"/>
      <c r="ZL159" s="153"/>
      <c r="ZM159" s="153"/>
      <c r="ZN159" s="153"/>
      <c r="ZO159" s="153"/>
      <c r="ZP159" s="153"/>
      <c r="ZQ159" s="153"/>
      <c r="ZR159" s="153"/>
      <c r="ZS159" s="153"/>
      <c r="ZT159" s="153"/>
      <c r="ZU159" s="153"/>
      <c r="ZV159" s="153"/>
      <c r="ZW159" s="153"/>
      <c r="ZX159" s="153"/>
      <c r="ZY159" s="153"/>
      <c r="ZZ159" s="153"/>
      <c r="AAA159" s="153"/>
      <c r="AAB159" s="153"/>
      <c r="AAC159" s="153"/>
      <c r="AAD159" s="153"/>
      <c r="AAE159" s="153"/>
      <c r="AAF159" s="153"/>
      <c r="AAG159" s="153"/>
      <c r="AAH159" s="153"/>
      <c r="AAI159" s="153"/>
      <c r="AAJ159" s="153"/>
      <c r="AAK159" s="153"/>
      <c r="AAL159" s="153"/>
      <c r="AAM159" s="153"/>
      <c r="AAN159" s="153"/>
      <c r="AAO159" s="153"/>
      <c r="AAP159" s="153"/>
      <c r="AAQ159" s="153"/>
      <c r="AAR159" s="153"/>
      <c r="AAS159" s="153"/>
      <c r="AAT159" s="153"/>
      <c r="AAU159" s="153"/>
      <c r="AAV159" s="153"/>
      <c r="AAW159" s="153"/>
      <c r="AAX159" s="153"/>
      <c r="AAY159" s="153"/>
      <c r="AAZ159" s="153"/>
      <c r="ABA159" s="153"/>
      <c r="ABB159" s="153"/>
      <c r="ABC159" s="153"/>
      <c r="ABD159" s="153"/>
      <c r="ABE159" s="153"/>
      <c r="ABF159" s="153"/>
      <c r="ABG159" s="153"/>
      <c r="ABH159" s="153"/>
      <c r="ABI159" s="153"/>
      <c r="ABJ159" s="153"/>
      <c r="ABK159" s="153"/>
      <c r="ABL159" s="153"/>
      <c r="ABM159" s="153"/>
      <c r="ABN159" s="153"/>
      <c r="ABO159" s="153"/>
      <c r="ABP159" s="153"/>
      <c r="ABQ159" s="153"/>
      <c r="ABR159" s="153"/>
      <c r="ABS159" s="153"/>
      <c r="ABT159" s="153"/>
      <c r="ABU159" s="153"/>
      <c r="ABV159" s="153"/>
      <c r="ABW159" s="153"/>
      <c r="ABX159" s="153"/>
      <c r="ABY159" s="153"/>
      <c r="ABZ159" s="153"/>
      <c r="ACA159" s="153"/>
      <c r="ACB159" s="153"/>
      <c r="ACC159" s="153"/>
      <c r="ACD159" s="153"/>
      <c r="ACE159" s="153"/>
      <c r="ACF159" s="153"/>
      <c r="ACG159" s="153"/>
      <c r="ACH159" s="153"/>
      <c r="ACI159" s="153"/>
      <c r="ACJ159" s="153"/>
      <c r="ACK159" s="153"/>
      <c r="ACL159" s="153"/>
      <c r="ACM159" s="153"/>
      <c r="ACN159" s="153"/>
      <c r="ACO159" s="153"/>
      <c r="ACP159" s="153"/>
      <c r="ACQ159" s="153"/>
      <c r="ACR159" s="153"/>
      <c r="ACS159" s="153"/>
      <c r="ACT159" s="153"/>
      <c r="ACU159" s="153"/>
      <c r="ACV159" s="153"/>
      <c r="ACW159" s="153"/>
      <c r="ACX159" s="153"/>
      <c r="ACY159" s="153"/>
      <c r="ACZ159" s="153"/>
      <c r="ADA159" s="153"/>
      <c r="ADB159" s="153"/>
      <c r="ADC159" s="153"/>
      <c r="ADD159" s="153"/>
      <c r="ADE159" s="153"/>
      <c r="ADF159" s="153"/>
      <c r="ADG159" s="153"/>
      <c r="ADH159" s="153"/>
      <c r="ADI159" s="153"/>
      <c r="ADJ159" s="153"/>
      <c r="ADK159" s="153"/>
      <c r="ADL159" s="153"/>
      <c r="ADM159" s="153"/>
      <c r="ADN159" s="153"/>
      <c r="ADO159" s="153"/>
      <c r="ADP159" s="153"/>
      <c r="ADQ159" s="153"/>
      <c r="ADR159" s="153"/>
      <c r="ADS159" s="153"/>
      <c r="ADT159" s="153"/>
      <c r="ADU159" s="153"/>
      <c r="ADV159" s="153"/>
      <c r="ADW159" s="153"/>
      <c r="ADX159" s="153"/>
      <c r="ADY159" s="153"/>
      <c r="ADZ159" s="153"/>
      <c r="AEA159" s="153"/>
      <c r="AEB159" s="153"/>
      <c r="AEC159" s="153"/>
      <c r="AED159" s="153"/>
      <c r="AEE159" s="153"/>
      <c r="AEF159" s="153"/>
      <c r="AEG159" s="153"/>
      <c r="AEH159" s="153"/>
      <c r="AEI159" s="153"/>
      <c r="AEJ159" s="153"/>
      <c r="AEK159" s="153"/>
      <c r="AEL159" s="153"/>
      <c r="AEM159" s="153"/>
      <c r="AEN159" s="153"/>
      <c r="AEO159" s="153"/>
      <c r="AEP159" s="153"/>
      <c r="AEQ159" s="153"/>
      <c r="AER159" s="153"/>
      <c r="AES159" s="153"/>
      <c r="AET159" s="153"/>
      <c r="AEU159" s="153"/>
      <c r="AEV159" s="153"/>
      <c r="AEW159" s="153"/>
      <c r="AEX159" s="153"/>
      <c r="AEY159" s="153"/>
      <c r="AEZ159" s="153"/>
      <c r="AFA159" s="153"/>
      <c r="AFB159" s="153"/>
      <c r="AFC159" s="153"/>
      <c r="AFD159" s="153"/>
      <c r="AFE159" s="153"/>
      <c r="AFF159" s="153"/>
      <c r="AFG159" s="153"/>
      <c r="AFH159" s="153"/>
      <c r="AFI159" s="153"/>
      <c r="AFJ159" s="153"/>
      <c r="AFK159" s="153"/>
      <c r="AFL159" s="153"/>
      <c r="AFM159" s="153"/>
      <c r="AFN159" s="153"/>
      <c r="AFO159" s="153"/>
      <c r="AFP159" s="153"/>
      <c r="AFQ159" s="153"/>
      <c r="AFR159" s="153"/>
      <c r="AFS159" s="153"/>
      <c r="AFT159" s="153"/>
      <c r="AFU159" s="153"/>
      <c r="AFV159" s="153"/>
      <c r="AFW159" s="153"/>
      <c r="AFX159" s="153"/>
      <c r="AFY159" s="153"/>
      <c r="AFZ159" s="153"/>
      <c r="AGA159" s="153"/>
      <c r="AGB159" s="153"/>
      <c r="AGC159" s="153"/>
      <c r="AGD159" s="153"/>
      <c r="AGE159" s="153"/>
      <c r="AGF159" s="153"/>
      <c r="AGG159" s="153"/>
      <c r="AGH159" s="153"/>
      <c r="AGI159" s="153"/>
      <c r="AGJ159" s="153"/>
      <c r="AGK159" s="153"/>
      <c r="AGL159" s="153"/>
      <c r="AGM159" s="153"/>
      <c r="AGN159" s="153"/>
      <c r="AGO159" s="153"/>
      <c r="AGP159" s="153"/>
      <c r="AGQ159" s="153"/>
      <c r="AGR159" s="153"/>
      <c r="AGS159" s="153"/>
      <c r="AGT159" s="153"/>
      <c r="AGU159" s="153"/>
      <c r="AGV159" s="153"/>
      <c r="AGW159" s="153"/>
      <c r="AGX159" s="153"/>
      <c r="AGY159" s="153"/>
      <c r="AGZ159" s="153"/>
      <c r="AHA159" s="153"/>
      <c r="AHB159" s="153"/>
      <c r="AHC159" s="153"/>
      <c r="AHD159" s="153"/>
      <c r="AHE159" s="153"/>
      <c r="AHF159" s="153"/>
      <c r="AHG159" s="153"/>
      <c r="AHH159" s="153"/>
      <c r="AHI159" s="153"/>
      <c r="AHJ159" s="153"/>
      <c r="AHK159" s="153"/>
      <c r="AHL159" s="153"/>
      <c r="AHM159" s="153"/>
      <c r="AHN159" s="153"/>
      <c r="AHO159" s="153"/>
      <c r="AHP159" s="153"/>
      <c r="AHQ159" s="153"/>
      <c r="AHR159" s="153"/>
      <c r="AHS159" s="153"/>
      <c r="AHT159" s="153"/>
      <c r="AHU159" s="153"/>
      <c r="AHV159" s="153"/>
      <c r="AHW159" s="153"/>
      <c r="AHX159" s="153"/>
      <c r="AHY159" s="153"/>
      <c r="AHZ159" s="153"/>
      <c r="AIA159" s="153"/>
      <c r="AIB159" s="153"/>
      <c r="AIC159" s="153"/>
      <c r="AID159" s="153"/>
      <c r="AIE159" s="153"/>
      <c r="AIF159" s="153"/>
      <c r="AIG159" s="153"/>
      <c r="AIH159" s="153"/>
      <c r="AII159" s="153"/>
      <c r="AIJ159" s="153"/>
      <c r="AIK159" s="153"/>
      <c r="AIL159" s="153"/>
      <c r="AIM159" s="153"/>
      <c r="AIN159" s="153"/>
      <c r="AIO159" s="153"/>
      <c r="AIP159" s="153"/>
      <c r="AIQ159" s="153"/>
      <c r="AIR159" s="153"/>
      <c r="AIS159" s="153"/>
      <c r="AIT159" s="153"/>
      <c r="AIU159" s="153"/>
      <c r="AIV159" s="153"/>
      <c r="AIW159" s="153"/>
      <c r="AIX159" s="153"/>
      <c r="AIY159" s="153"/>
      <c r="AIZ159" s="153"/>
      <c r="AJA159" s="153"/>
      <c r="AJB159" s="153"/>
      <c r="AJC159" s="153"/>
      <c r="AJD159" s="153"/>
      <c r="AJE159" s="153"/>
      <c r="AJF159" s="153"/>
      <c r="AJG159" s="153"/>
      <c r="AJH159" s="153"/>
      <c r="AJI159" s="153"/>
      <c r="AJJ159" s="153"/>
      <c r="AJK159" s="153"/>
      <c r="AJL159" s="153"/>
      <c r="AJM159" s="153"/>
      <c r="AJN159" s="153"/>
      <c r="AJO159" s="153"/>
      <c r="AJP159" s="153"/>
      <c r="AJQ159" s="153"/>
      <c r="AJR159" s="153"/>
      <c r="AJS159" s="153"/>
      <c r="AJT159" s="153"/>
      <c r="AJU159" s="153"/>
      <c r="AJV159" s="153"/>
      <c r="AJW159" s="153"/>
      <c r="AJX159" s="153"/>
      <c r="AJY159" s="153"/>
      <c r="AJZ159" s="153"/>
      <c r="AKA159" s="153"/>
      <c r="AKB159" s="153"/>
      <c r="AKC159" s="153"/>
      <c r="AKD159" s="153"/>
      <c r="AKE159" s="153"/>
      <c r="AKF159" s="153"/>
      <c r="AKG159" s="153"/>
      <c r="AKH159" s="153"/>
      <c r="AKI159" s="153"/>
      <c r="AKJ159" s="153"/>
      <c r="AKK159" s="153"/>
      <c r="AKL159" s="153"/>
      <c r="AKM159" s="153"/>
      <c r="AKN159" s="153"/>
      <c r="AKO159" s="153"/>
      <c r="AKP159" s="153"/>
      <c r="AKQ159" s="153"/>
      <c r="AKR159" s="153"/>
      <c r="AKS159" s="153"/>
      <c r="AKT159" s="153"/>
      <c r="AKU159" s="153"/>
      <c r="AKV159" s="153"/>
      <c r="AKW159" s="153"/>
      <c r="AKX159" s="153"/>
      <c r="AKY159" s="153"/>
      <c r="AKZ159" s="153"/>
      <c r="ALA159" s="153"/>
      <c r="ALB159" s="153"/>
      <c r="ALC159" s="153"/>
      <c r="ALD159" s="153"/>
      <c r="ALE159" s="153"/>
      <c r="ALF159" s="153"/>
      <c r="ALG159" s="153"/>
      <c r="ALH159" s="153"/>
      <c r="ALI159" s="153"/>
      <c r="ALJ159" s="153"/>
      <c r="ALK159" s="153"/>
      <c r="ALL159" s="153"/>
      <c r="ALM159" s="153"/>
      <c r="ALN159" s="153"/>
      <c r="ALO159" s="153"/>
      <c r="ALP159" s="153"/>
      <c r="ALQ159" s="153"/>
      <c r="ALR159" s="153"/>
      <c r="ALS159" s="153"/>
      <c r="ALT159" s="153"/>
      <c r="ALU159" s="153"/>
      <c r="ALV159" s="153"/>
      <c r="ALW159" s="153"/>
      <c r="ALX159" s="153"/>
      <c r="ALY159" s="153"/>
      <c r="ALZ159" s="153"/>
      <c r="AMA159" s="153"/>
      <c r="AMB159" s="153"/>
      <c r="AMC159" s="153"/>
      <c r="AMD159" s="153"/>
      <c r="AME159" s="153"/>
      <c r="AMF159" s="153"/>
      <c r="AMG159" s="153"/>
      <c r="AMH159" s="153"/>
      <c r="AMI159" s="153"/>
      <c r="AMJ159" s="153"/>
      <c r="AMK159" s="153"/>
      <c r="AML159" s="153"/>
      <c r="AMM159" s="153"/>
      <c r="AMN159" s="153"/>
      <c r="AMO159" s="153"/>
      <c r="AMP159" s="153"/>
      <c r="AMQ159" s="153"/>
      <c r="AMR159" s="153"/>
      <c r="AMS159" s="153"/>
      <c r="AMT159" s="153"/>
      <c r="AMU159" s="153"/>
      <c r="AMV159" s="153"/>
      <c r="AMW159" s="153"/>
      <c r="AMX159" s="153"/>
      <c r="AMY159" s="153"/>
      <c r="AMZ159" s="153"/>
      <c r="ANA159" s="153"/>
      <c r="ANB159" s="153"/>
      <c r="ANC159" s="153"/>
      <c r="AND159" s="153"/>
      <c r="ANE159" s="153"/>
      <c r="ANF159" s="153"/>
      <c r="ANG159" s="153"/>
      <c r="ANH159" s="153"/>
      <c r="ANI159" s="153"/>
      <c r="ANJ159" s="153"/>
      <c r="ANK159" s="153"/>
      <c r="ANL159" s="153"/>
      <c r="ANM159" s="153"/>
      <c r="ANN159" s="153"/>
      <c r="ANO159" s="153"/>
      <c r="ANP159" s="153"/>
      <c r="ANQ159" s="153"/>
      <c r="ANR159" s="153"/>
      <c r="ANS159" s="153"/>
      <c r="ANT159" s="153"/>
      <c r="ANU159" s="153"/>
      <c r="ANV159" s="153"/>
      <c r="ANW159" s="153"/>
      <c r="ANX159" s="153"/>
      <c r="ANY159" s="153"/>
      <c r="ANZ159" s="153"/>
      <c r="AOA159" s="153"/>
      <c r="AOB159" s="153"/>
      <c r="AOC159" s="153"/>
      <c r="AOD159" s="153"/>
      <c r="AOE159" s="153"/>
      <c r="AOF159" s="153"/>
      <c r="AOG159" s="153"/>
      <c r="AOH159" s="153"/>
      <c r="AOI159" s="153"/>
      <c r="AOJ159" s="153"/>
      <c r="AOK159" s="153"/>
      <c r="AOL159" s="153"/>
      <c r="AOM159" s="153"/>
      <c r="AON159" s="153"/>
      <c r="AOO159" s="153"/>
      <c r="AOP159" s="153"/>
      <c r="AOQ159" s="153"/>
      <c r="AOR159" s="153"/>
      <c r="AOS159" s="153"/>
      <c r="AOT159" s="153"/>
      <c r="AOU159" s="153"/>
      <c r="AOV159" s="153"/>
      <c r="AOW159" s="153"/>
      <c r="AOX159" s="153"/>
      <c r="AOY159" s="153"/>
      <c r="AOZ159" s="153"/>
      <c r="APA159" s="153"/>
      <c r="APB159" s="153"/>
      <c r="APC159" s="153"/>
      <c r="APD159" s="153"/>
      <c r="APE159" s="153"/>
      <c r="APF159" s="153"/>
      <c r="APG159" s="153"/>
      <c r="APH159" s="153"/>
      <c r="API159" s="153"/>
      <c r="APJ159" s="153"/>
      <c r="APK159" s="153"/>
      <c r="APL159" s="153"/>
      <c r="APM159" s="153"/>
      <c r="APN159" s="153"/>
      <c r="APO159" s="153"/>
      <c r="APP159" s="153"/>
      <c r="APQ159" s="153"/>
      <c r="APR159" s="153"/>
      <c r="APS159" s="153"/>
      <c r="APT159" s="153"/>
      <c r="APU159" s="153"/>
      <c r="APV159" s="153"/>
      <c r="APW159" s="153"/>
      <c r="APX159" s="153"/>
      <c r="APY159" s="153"/>
      <c r="APZ159" s="153"/>
      <c r="AQA159" s="153"/>
      <c r="AQB159" s="153"/>
      <c r="AQC159" s="153"/>
      <c r="AQD159" s="153"/>
      <c r="AQE159" s="153"/>
      <c r="AQF159" s="153"/>
      <c r="AQG159" s="153"/>
      <c r="AQH159" s="153"/>
      <c r="AQI159" s="153"/>
      <c r="AQJ159" s="153"/>
      <c r="AQK159" s="153"/>
      <c r="AQL159" s="153"/>
      <c r="AQM159" s="153"/>
      <c r="AQN159" s="153"/>
      <c r="AQO159" s="153"/>
      <c r="AQP159" s="153"/>
      <c r="AQQ159" s="153"/>
      <c r="AQR159" s="153"/>
      <c r="AQS159" s="153"/>
      <c r="AQT159" s="153"/>
      <c r="AQU159" s="153"/>
      <c r="AQV159" s="153"/>
      <c r="AQW159" s="153"/>
      <c r="AQX159" s="153"/>
      <c r="AQY159" s="153"/>
      <c r="AQZ159" s="153"/>
      <c r="ARA159" s="153"/>
      <c r="ARB159" s="153"/>
      <c r="ARC159" s="153"/>
      <c r="ARD159" s="153"/>
      <c r="ARE159" s="153"/>
      <c r="ARF159" s="153"/>
      <c r="ARG159" s="153"/>
      <c r="ARH159" s="153"/>
      <c r="ARI159" s="153"/>
      <c r="ARJ159" s="153"/>
      <c r="ARK159" s="153"/>
      <c r="ARL159" s="153"/>
      <c r="ARM159" s="153"/>
      <c r="ARN159" s="153"/>
      <c r="ARO159" s="153"/>
      <c r="ARP159" s="153"/>
      <c r="ARQ159" s="153"/>
      <c r="ARR159" s="153"/>
      <c r="ARS159" s="153"/>
      <c r="ART159" s="153"/>
      <c r="ARU159" s="153"/>
      <c r="ARV159" s="153"/>
      <c r="ARW159" s="153"/>
      <c r="ARX159" s="153"/>
      <c r="ARY159" s="153"/>
      <c r="ARZ159" s="153"/>
      <c r="ASA159" s="153"/>
      <c r="ASB159" s="153"/>
      <c r="ASC159" s="153"/>
      <c r="ASD159" s="153"/>
      <c r="ASE159" s="153"/>
      <c r="ASF159" s="153"/>
      <c r="ASG159" s="153"/>
      <c r="ASH159" s="153"/>
      <c r="ASI159" s="153"/>
      <c r="ASJ159" s="153"/>
      <c r="ASK159" s="153"/>
      <c r="ASL159" s="153"/>
      <c r="ASM159" s="153"/>
      <c r="ASN159" s="153"/>
      <c r="ASO159" s="153"/>
      <c r="ASP159" s="153"/>
      <c r="ASQ159" s="153"/>
      <c r="ASR159" s="153"/>
      <c r="ASS159" s="153"/>
      <c r="AST159" s="153"/>
      <c r="ASU159" s="153"/>
      <c r="ASV159" s="153"/>
      <c r="ASW159" s="153"/>
      <c r="ASX159" s="153"/>
      <c r="ASY159" s="153"/>
      <c r="ASZ159" s="153"/>
      <c r="ATA159" s="153"/>
      <c r="ATB159" s="153"/>
      <c r="ATC159" s="153"/>
      <c r="ATD159" s="153"/>
      <c r="ATE159" s="153"/>
      <c r="ATF159" s="153"/>
      <c r="ATG159" s="153"/>
      <c r="ATH159" s="153"/>
      <c r="ATI159" s="153"/>
      <c r="ATJ159" s="153"/>
      <c r="ATK159" s="153"/>
      <c r="ATL159" s="153"/>
      <c r="ATM159" s="153"/>
      <c r="ATN159" s="153"/>
      <c r="ATO159" s="153"/>
      <c r="ATP159" s="153"/>
      <c r="ATQ159" s="153"/>
      <c r="ATR159" s="153"/>
      <c r="ATS159" s="153"/>
      <c r="ATT159" s="153"/>
      <c r="ATU159" s="153"/>
      <c r="ATV159" s="153"/>
      <c r="ATW159" s="153"/>
      <c r="ATX159" s="153"/>
      <c r="ATY159" s="153"/>
      <c r="ATZ159" s="153"/>
      <c r="AUA159" s="153"/>
      <c r="AUB159" s="153"/>
      <c r="AUC159" s="153"/>
      <c r="AUD159" s="153"/>
      <c r="AUE159" s="153"/>
      <c r="AUF159" s="153"/>
      <c r="AUG159" s="153"/>
      <c r="AUH159" s="153"/>
      <c r="AUI159" s="153"/>
      <c r="AUJ159" s="153"/>
      <c r="AUK159" s="153"/>
      <c r="AUL159" s="153"/>
      <c r="AUM159" s="153"/>
      <c r="AUN159" s="153"/>
      <c r="AUO159" s="153"/>
      <c r="AUP159" s="153"/>
      <c r="AUQ159" s="153"/>
      <c r="AUR159" s="153"/>
      <c r="AUS159" s="153"/>
      <c r="AUT159" s="153"/>
      <c r="AUU159" s="153"/>
      <c r="AUV159" s="153"/>
      <c r="AUW159" s="153"/>
      <c r="AUX159" s="153"/>
      <c r="AUY159" s="153"/>
      <c r="AUZ159" s="153"/>
      <c r="AVA159" s="153"/>
      <c r="AVB159" s="153"/>
      <c r="AVC159" s="153"/>
      <c r="AVD159" s="153"/>
      <c r="AVE159" s="153"/>
      <c r="AVF159" s="153"/>
      <c r="AVG159" s="153"/>
      <c r="AVH159" s="153"/>
      <c r="AVI159" s="153"/>
      <c r="AVJ159" s="153"/>
      <c r="AVK159" s="153"/>
      <c r="AVL159" s="153"/>
      <c r="AVM159" s="153"/>
      <c r="AVN159" s="153"/>
      <c r="AVO159" s="153"/>
      <c r="AVP159" s="153"/>
      <c r="AVQ159" s="153"/>
      <c r="AVR159" s="153"/>
      <c r="AVS159" s="153"/>
      <c r="AVT159" s="153"/>
      <c r="AVU159" s="153"/>
      <c r="AVV159" s="153"/>
      <c r="AVW159" s="153"/>
      <c r="AVX159" s="153"/>
      <c r="AVY159" s="153"/>
      <c r="AVZ159" s="153"/>
      <c r="AWA159" s="153"/>
      <c r="AWB159" s="153"/>
      <c r="AWC159" s="153"/>
      <c r="AWD159" s="153"/>
      <c r="AWE159" s="153"/>
      <c r="AWF159" s="153"/>
      <c r="AWG159" s="153"/>
      <c r="AWH159" s="153"/>
      <c r="AWI159" s="153"/>
      <c r="AWJ159" s="153"/>
      <c r="AWK159" s="153"/>
      <c r="AWL159" s="153"/>
      <c r="AWM159" s="153"/>
      <c r="AWN159" s="153"/>
      <c r="AWO159" s="153"/>
      <c r="AWP159" s="153"/>
      <c r="AWQ159" s="153"/>
      <c r="AWR159" s="153"/>
      <c r="AWS159" s="153"/>
      <c r="AWT159" s="153"/>
      <c r="AWU159" s="153"/>
      <c r="AWV159" s="153"/>
      <c r="AWW159" s="153"/>
      <c r="AWX159" s="153"/>
      <c r="AWY159" s="153"/>
      <c r="AWZ159" s="153"/>
      <c r="AXA159" s="153"/>
      <c r="AXB159" s="153"/>
      <c r="AXC159" s="153"/>
      <c r="AXD159" s="153"/>
      <c r="AXE159" s="153"/>
      <c r="AXF159" s="153"/>
      <c r="AXG159" s="153"/>
      <c r="AXH159" s="153"/>
      <c r="AXI159" s="153"/>
      <c r="AXJ159" s="153"/>
      <c r="AXK159" s="153"/>
      <c r="AXL159" s="153"/>
      <c r="AXM159" s="153"/>
      <c r="AXN159" s="153"/>
      <c r="AXO159" s="153"/>
      <c r="AXP159" s="153"/>
      <c r="AXQ159" s="153"/>
      <c r="AXR159" s="153"/>
      <c r="AXS159" s="153"/>
      <c r="AXT159" s="153"/>
      <c r="AXU159" s="153"/>
      <c r="AXV159" s="153"/>
      <c r="AXW159" s="153"/>
      <c r="AXX159" s="153"/>
      <c r="AXY159" s="153"/>
      <c r="AXZ159" s="153"/>
      <c r="AYA159" s="153"/>
      <c r="AYB159" s="153"/>
      <c r="AYC159" s="153"/>
      <c r="AYD159" s="153"/>
      <c r="AYE159" s="153"/>
      <c r="AYF159" s="153"/>
      <c r="AYG159" s="153"/>
      <c r="AYH159" s="153"/>
      <c r="AYI159" s="153"/>
      <c r="AYJ159" s="153"/>
      <c r="AYK159" s="153"/>
      <c r="AYL159" s="153"/>
      <c r="AYM159" s="153"/>
      <c r="AYN159" s="153"/>
      <c r="AYO159" s="153"/>
      <c r="AYP159" s="153"/>
      <c r="AYQ159" s="153"/>
      <c r="AYR159" s="153"/>
      <c r="AYS159" s="153"/>
      <c r="AYT159" s="153"/>
      <c r="AYU159" s="153"/>
      <c r="AYV159" s="153"/>
      <c r="AYW159" s="153"/>
      <c r="AYX159" s="153"/>
      <c r="AYY159" s="153"/>
      <c r="AYZ159" s="153"/>
      <c r="AZA159" s="153"/>
      <c r="AZB159" s="153"/>
      <c r="AZC159" s="153"/>
      <c r="AZD159" s="153"/>
      <c r="AZE159" s="153"/>
      <c r="AZF159" s="153"/>
      <c r="AZG159" s="153"/>
      <c r="AZH159" s="153"/>
      <c r="AZI159" s="153"/>
      <c r="AZJ159" s="153"/>
      <c r="AZK159" s="153"/>
      <c r="AZL159" s="153"/>
      <c r="AZM159" s="153"/>
      <c r="AZN159" s="153"/>
      <c r="AZO159" s="153"/>
      <c r="AZP159" s="153"/>
      <c r="AZQ159" s="153"/>
      <c r="AZR159" s="153"/>
      <c r="AZS159" s="153"/>
      <c r="AZT159" s="153"/>
      <c r="AZU159" s="153"/>
      <c r="AZV159" s="153"/>
      <c r="AZW159" s="153"/>
      <c r="AZX159" s="153"/>
      <c r="AZY159" s="153"/>
      <c r="AZZ159" s="153"/>
      <c r="BAA159" s="153"/>
      <c r="BAB159" s="153"/>
      <c r="BAC159" s="153"/>
      <c r="BAD159" s="153"/>
      <c r="BAE159" s="153"/>
      <c r="BAF159" s="153"/>
      <c r="BAG159" s="153"/>
      <c r="BAH159" s="153"/>
      <c r="BAI159" s="153"/>
      <c r="BAJ159" s="153"/>
      <c r="BAK159" s="153"/>
      <c r="BAL159" s="153"/>
      <c r="BAM159" s="153"/>
      <c r="BAN159" s="153"/>
      <c r="BAO159" s="153"/>
      <c r="BAP159" s="153"/>
      <c r="BAQ159" s="153"/>
      <c r="BAR159" s="153"/>
      <c r="BAS159" s="153"/>
      <c r="BAT159" s="153"/>
      <c r="BAU159" s="153"/>
      <c r="BAV159" s="153"/>
      <c r="BAW159" s="153"/>
      <c r="BAX159" s="153"/>
      <c r="BAY159" s="153"/>
      <c r="BAZ159" s="153"/>
      <c r="BBA159" s="153"/>
      <c r="BBB159" s="153"/>
      <c r="BBC159" s="153"/>
      <c r="BBD159" s="153"/>
      <c r="BBE159" s="153"/>
      <c r="BBF159" s="153"/>
      <c r="BBG159" s="153"/>
      <c r="BBH159" s="153"/>
      <c r="BBI159" s="153"/>
      <c r="BBJ159" s="153"/>
      <c r="BBK159" s="153"/>
      <c r="BBL159" s="153"/>
      <c r="BBM159" s="153"/>
      <c r="BBN159" s="153"/>
      <c r="BBO159" s="153"/>
      <c r="BBP159" s="153"/>
      <c r="BBQ159" s="153"/>
      <c r="BBR159" s="153"/>
      <c r="BBS159" s="153"/>
      <c r="BBT159" s="153"/>
      <c r="BBU159" s="153"/>
      <c r="BBV159" s="153"/>
      <c r="BBW159" s="153"/>
      <c r="BBX159" s="153"/>
      <c r="BBY159" s="153"/>
      <c r="BBZ159" s="153"/>
      <c r="BCA159" s="153"/>
      <c r="BCB159" s="153"/>
      <c r="BCC159" s="153"/>
      <c r="BCD159" s="153"/>
      <c r="BCE159" s="153"/>
      <c r="BCF159" s="153"/>
      <c r="BCG159" s="153"/>
      <c r="BCH159" s="153"/>
      <c r="BCI159" s="153"/>
      <c r="BCJ159" s="153"/>
      <c r="BCK159" s="153"/>
      <c r="BCL159" s="153"/>
      <c r="BCM159" s="153"/>
      <c r="BCN159" s="153"/>
      <c r="BCO159" s="153"/>
      <c r="BCP159" s="153"/>
      <c r="BCQ159" s="153"/>
      <c r="BCR159" s="153"/>
      <c r="BCS159" s="153"/>
      <c r="BCT159" s="153"/>
      <c r="BCU159" s="153"/>
      <c r="BCV159" s="153"/>
      <c r="BCW159" s="153"/>
      <c r="BCX159" s="153"/>
      <c r="BCY159" s="153"/>
      <c r="BCZ159" s="153"/>
      <c r="BDA159" s="153"/>
      <c r="BDB159" s="153"/>
      <c r="BDC159" s="153"/>
      <c r="BDD159" s="153"/>
      <c r="BDE159" s="153"/>
      <c r="BDF159" s="153"/>
      <c r="BDG159" s="153"/>
      <c r="BDH159" s="153"/>
      <c r="BDI159" s="153"/>
      <c r="BDJ159" s="153"/>
      <c r="BDK159" s="153"/>
      <c r="BDL159" s="153"/>
      <c r="BDM159" s="153"/>
      <c r="BDN159" s="153"/>
      <c r="BDO159" s="153"/>
      <c r="BDP159" s="153"/>
      <c r="BDQ159" s="153"/>
      <c r="BDR159" s="153"/>
      <c r="BDS159" s="153"/>
      <c r="BDT159" s="153"/>
      <c r="BDU159" s="153"/>
      <c r="BDV159" s="153"/>
      <c r="BDW159" s="153"/>
      <c r="BDX159" s="153"/>
      <c r="BDY159" s="153"/>
      <c r="BDZ159" s="153"/>
      <c r="BEA159" s="153"/>
      <c r="BEB159" s="153"/>
      <c r="BEC159" s="153"/>
      <c r="BED159" s="153"/>
      <c r="BEE159" s="153"/>
      <c r="BEF159" s="153"/>
      <c r="BEG159" s="153"/>
      <c r="BEH159" s="153"/>
      <c r="BEI159" s="153"/>
      <c r="BEJ159" s="153"/>
      <c r="BEK159" s="153"/>
      <c r="BEL159" s="153"/>
      <c r="BEM159" s="153"/>
      <c r="BEN159" s="153"/>
      <c r="BEO159" s="153"/>
      <c r="BEP159" s="153"/>
      <c r="BEQ159" s="153"/>
      <c r="BER159" s="153"/>
      <c r="BES159" s="153"/>
      <c r="BET159" s="153"/>
      <c r="BEU159" s="153"/>
      <c r="BEV159" s="153"/>
      <c r="BEW159" s="153"/>
      <c r="BEX159" s="153"/>
      <c r="BEY159" s="153"/>
      <c r="BEZ159" s="153"/>
      <c r="BFA159" s="153"/>
      <c r="BFB159" s="153"/>
      <c r="BFC159" s="153"/>
      <c r="BFD159" s="153"/>
      <c r="BFE159" s="153"/>
      <c r="BFF159" s="153"/>
      <c r="BFG159" s="153"/>
      <c r="BFH159" s="153"/>
      <c r="BFI159" s="153"/>
      <c r="BFJ159" s="153"/>
      <c r="BFK159" s="153"/>
      <c r="BFL159" s="153"/>
      <c r="BFM159" s="153"/>
      <c r="BFN159" s="153"/>
      <c r="BFO159" s="153"/>
      <c r="BFP159" s="153"/>
      <c r="BFQ159" s="153"/>
      <c r="BFR159" s="153"/>
      <c r="BFS159" s="153"/>
      <c r="BFT159" s="153"/>
      <c r="BFU159" s="153"/>
      <c r="BFV159" s="153"/>
      <c r="BFW159" s="153"/>
      <c r="BFX159" s="153"/>
      <c r="BFY159" s="153"/>
      <c r="BFZ159" s="153"/>
      <c r="BGA159" s="153"/>
      <c r="BGB159" s="153"/>
      <c r="BGC159" s="153"/>
      <c r="BGD159" s="153"/>
      <c r="BGE159" s="153"/>
      <c r="BGF159" s="153"/>
      <c r="BGG159" s="153"/>
      <c r="BGH159" s="153"/>
      <c r="BGI159" s="153"/>
      <c r="BGJ159" s="153"/>
      <c r="BGK159" s="153"/>
      <c r="BGL159" s="153"/>
      <c r="BGM159" s="153"/>
      <c r="BGN159" s="153"/>
      <c r="BGO159" s="153"/>
      <c r="BGP159" s="153"/>
      <c r="BGQ159" s="153"/>
      <c r="BGR159" s="153"/>
      <c r="BGS159" s="153"/>
      <c r="BGT159" s="153"/>
      <c r="BGU159" s="153"/>
      <c r="BGV159" s="153"/>
      <c r="BGW159" s="153"/>
      <c r="BGX159" s="153"/>
      <c r="BGY159" s="153"/>
      <c r="BGZ159" s="153"/>
      <c r="BHA159" s="153"/>
      <c r="BHB159" s="153"/>
      <c r="BHC159" s="153"/>
      <c r="BHD159" s="153"/>
      <c r="BHE159" s="153"/>
      <c r="BHF159" s="153"/>
      <c r="BHG159" s="153"/>
      <c r="BHH159" s="153"/>
      <c r="BHI159" s="153"/>
      <c r="BHJ159" s="153"/>
      <c r="BHK159" s="153"/>
      <c r="BHL159" s="153"/>
      <c r="BHM159" s="153"/>
      <c r="BHN159" s="153"/>
      <c r="BHO159" s="153"/>
      <c r="BHP159" s="153"/>
      <c r="BHQ159" s="153"/>
      <c r="BHR159" s="153"/>
      <c r="BHS159" s="153"/>
      <c r="BHT159" s="153"/>
      <c r="BHU159" s="153"/>
      <c r="BHV159" s="153"/>
      <c r="BHW159" s="153"/>
      <c r="BHX159" s="153"/>
      <c r="BHY159" s="153"/>
      <c r="BHZ159" s="153"/>
      <c r="BIA159" s="153"/>
      <c r="BIB159" s="153"/>
      <c r="BIC159" s="153"/>
      <c r="BID159" s="153"/>
      <c r="BIE159" s="153"/>
      <c r="BIF159" s="153"/>
      <c r="BIG159" s="153"/>
      <c r="BIH159" s="153"/>
      <c r="BII159" s="153"/>
      <c r="BIJ159" s="153"/>
      <c r="BIK159" s="153"/>
      <c r="BIL159" s="153"/>
      <c r="BIM159" s="153"/>
      <c r="BIN159" s="153"/>
      <c r="BIO159" s="153"/>
      <c r="BIP159" s="153"/>
      <c r="BIQ159" s="153"/>
      <c r="BIR159" s="153"/>
      <c r="BIS159" s="153"/>
      <c r="BIT159" s="153"/>
      <c r="BIU159" s="153"/>
      <c r="BIV159" s="153"/>
      <c r="BIW159" s="153"/>
      <c r="BIX159" s="153"/>
      <c r="BIY159" s="153"/>
      <c r="BIZ159" s="153"/>
      <c r="BJA159" s="153"/>
      <c r="BJB159" s="153"/>
      <c r="BJC159" s="153"/>
      <c r="BJD159" s="153"/>
      <c r="BJE159" s="153"/>
      <c r="BJF159" s="153"/>
      <c r="BJG159" s="153"/>
      <c r="BJH159" s="153"/>
      <c r="BJI159" s="153"/>
      <c r="BJJ159" s="153"/>
      <c r="BJK159" s="153"/>
      <c r="BJL159" s="153"/>
      <c r="BJM159" s="153"/>
      <c r="BJN159" s="153"/>
      <c r="BJO159" s="153"/>
      <c r="BJP159" s="153"/>
      <c r="BJQ159" s="153"/>
      <c r="BJR159" s="153"/>
      <c r="BJS159" s="153"/>
      <c r="BJT159" s="153"/>
      <c r="BJU159" s="153"/>
      <c r="BJV159" s="153"/>
      <c r="BJW159" s="153"/>
      <c r="BJX159" s="153"/>
      <c r="BJY159" s="153"/>
      <c r="BJZ159" s="153"/>
      <c r="BKA159" s="153"/>
      <c r="BKB159" s="153"/>
      <c r="BKC159" s="153"/>
      <c r="BKD159" s="153"/>
      <c r="BKE159" s="153"/>
      <c r="BKF159" s="153"/>
      <c r="BKG159" s="153"/>
      <c r="BKH159" s="153"/>
      <c r="BKI159" s="153"/>
      <c r="BKJ159" s="153"/>
      <c r="BKK159" s="153"/>
      <c r="BKL159" s="153"/>
      <c r="BKM159" s="153"/>
      <c r="BKN159" s="153"/>
      <c r="BKO159" s="153"/>
      <c r="BKP159" s="153"/>
      <c r="BKQ159" s="153"/>
      <c r="BKR159" s="153"/>
      <c r="BKS159" s="153"/>
      <c r="BKT159" s="153"/>
      <c r="BKU159" s="153"/>
      <c r="BKV159" s="153"/>
      <c r="BKW159" s="153"/>
      <c r="BKX159" s="153"/>
      <c r="BKY159" s="153"/>
      <c r="BKZ159" s="153"/>
      <c r="BLA159" s="153"/>
      <c r="BLB159" s="153"/>
      <c r="BLC159" s="153"/>
      <c r="BLD159" s="153"/>
      <c r="BLE159" s="153"/>
      <c r="BLF159" s="153"/>
      <c r="BLG159" s="153"/>
      <c r="BLH159" s="153"/>
      <c r="BLI159" s="153"/>
      <c r="BLJ159" s="153"/>
      <c r="BLK159" s="153"/>
      <c r="BLL159" s="153"/>
      <c r="BLM159" s="153"/>
      <c r="BLN159" s="153"/>
      <c r="BLO159" s="153"/>
      <c r="BLP159" s="153"/>
      <c r="BLQ159" s="153"/>
      <c r="BLR159" s="153"/>
      <c r="BLS159" s="153"/>
      <c r="BLT159" s="153"/>
      <c r="BLU159" s="153"/>
      <c r="BLV159" s="153"/>
      <c r="BLW159" s="153"/>
      <c r="BLX159" s="153"/>
      <c r="BLY159" s="153"/>
      <c r="BLZ159" s="153"/>
      <c r="BMA159" s="153"/>
      <c r="BMB159" s="153"/>
      <c r="BMC159" s="153"/>
      <c r="BMD159" s="153"/>
      <c r="BME159" s="153"/>
      <c r="BMF159" s="153"/>
      <c r="BMG159" s="153"/>
      <c r="BMH159" s="153"/>
      <c r="BMI159" s="153"/>
      <c r="BMJ159" s="153"/>
      <c r="BMK159" s="153"/>
      <c r="BML159" s="153"/>
      <c r="BMM159" s="153"/>
      <c r="BMN159" s="153"/>
      <c r="BMO159" s="153"/>
      <c r="BMP159" s="153"/>
      <c r="BMQ159" s="153"/>
      <c r="BMR159" s="153"/>
      <c r="BMS159" s="153"/>
      <c r="BMT159" s="153"/>
      <c r="BMU159" s="153"/>
      <c r="BMV159" s="153"/>
      <c r="BMW159" s="153"/>
      <c r="BMX159" s="153"/>
      <c r="BMY159" s="153"/>
      <c r="BMZ159" s="153"/>
      <c r="BNA159" s="153"/>
      <c r="BNB159" s="153"/>
      <c r="BNC159" s="153"/>
      <c r="BND159" s="153"/>
      <c r="BNE159" s="153"/>
      <c r="BNF159" s="153"/>
      <c r="BNG159" s="153"/>
      <c r="BNH159" s="153"/>
      <c r="BNI159" s="153"/>
      <c r="BNJ159" s="153"/>
      <c r="BNK159" s="153"/>
      <c r="BNL159" s="153"/>
      <c r="BNM159" s="153"/>
      <c r="BNN159" s="153"/>
      <c r="BNO159" s="153"/>
      <c r="BNP159" s="153"/>
      <c r="BNQ159" s="153"/>
      <c r="BNR159" s="153"/>
      <c r="BNS159" s="153"/>
      <c r="BNT159" s="153"/>
      <c r="BNU159" s="153"/>
      <c r="BNV159" s="153"/>
      <c r="BNW159" s="153"/>
      <c r="BNX159" s="153"/>
      <c r="BNY159" s="153"/>
      <c r="BNZ159" s="153"/>
      <c r="BOA159" s="153"/>
      <c r="BOB159" s="153"/>
      <c r="BOC159" s="153"/>
      <c r="BOD159" s="153"/>
      <c r="BOE159" s="153"/>
      <c r="BOF159" s="153"/>
      <c r="BOG159" s="153"/>
      <c r="BOH159" s="153"/>
      <c r="BOI159" s="153"/>
      <c r="BOJ159" s="153"/>
      <c r="BOK159" s="153"/>
      <c r="BOL159" s="153"/>
      <c r="BOM159" s="153"/>
      <c r="BON159" s="153"/>
      <c r="BOO159" s="153"/>
      <c r="BOP159" s="153"/>
      <c r="BOQ159" s="153"/>
      <c r="BOR159" s="153"/>
      <c r="BOS159" s="153"/>
      <c r="BOT159" s="153"/>
      <c r="BOU159" s="153"/>
      <c r="BOV159" s="153"/>
      <c r="BOW159" s="153"/>
      <c r="BOX159" s="153"/>
      <c r="BOY159" s="153"/>
      <c r="BOZ159" s="153"/>
      <c r="BPA159" s="153"/>
      <c r="BPB159" s="153"/>
      <c r="BPC159" s="153"/>
      <c r="BPD159" s="153"/>
      <c r="BPE159" s="153"/>
      <c r="BPF159" s="153"/>
      <c r="BPG159" s="153"/>
      <c r="BPH159" s="153"/>
      <c r="BPI159" s="153"/>
      <c r="BPJ159" s="153"/>
      <c r="BPK159" s="153"/>
      <c r="BPL159" s="153"/>
      <c r="BPM159" s="153"/>
      <c r="BPN159" s="153"/>
      <c r="BPO159" s="153"/>
      <c r="BPP159" s="153"/>
      <c r="BPQ159" s="153"/>
      <c r="BPR159" s="153"/>
      <c r="BPS159" s="153"/>
      <c r="BPT159" s="153"/>
      <c r="BPU159" s="153"/>
      <c r="BPV159" s="153"/>
      <c r="BPW159" s="153"/>
      <c r="BPX159" s="153"/>
      <c r="BPY159" s="153"/>
      <c r="BPZ159" s="153"/>
      <c r="BQA159" s="153"/>
      <c r="BQB159" s="153"/>
      <c r="BQC159" s="153"/>
      <c r="BQD159" s="153"/>
      <c r="BQE159" s="153"/>
      <c r="BQF159" s="153"/>
      <c r="BQG159" s="153"/>
      <c r="BQH159" s="153"/>
      <c r="BQI159" s="153"/>
      <c r="BQJ159" s="153"/>
      <c r="BQK159" s="153"/>
      <c r="BQL159" s="153"/>
      <c r="BQM159" s="153"/>
      <c r="BQN159" s="153"/>
      <c r="BQO159" s="153"/>
      <c r="BQP159" s="153"/>
      <c r="BQQ159" s="153"/>
      <c r="BQR159" s="153"/>
      <c r="BQS159" s="153"/>
      <c r="BQT159" s="153"/>
      <c r="BQU159" s="153"/>
      <c r="BQV159" s="153"/>
      <c r="BQW159" s="153"/>
      <c r="BQX159" s="153"/>
      <c r="BQY159" s="153"/>
      <c r="BQZ159" s="153"/>
      <c r="BRA159" s="153"/>
      <c r="BRB159" s="153"/>
      <c r="BRC159" s="153"/>
      <c r="BRD159" s="153"/>
      <c r="BRE159" s="153"/>
      <c r="BRF159" s="153"/>
      <c r="BRG159" s="153"/>
      <c r="BRH159" s="153"/>
      <c r="BRI159" s="153"/>
      <c r="BRJ159" s="153"/>
      <c r="BRK159" s="153"/>
      <c r="BRL159" s="153"/>
      <c r="BRM159" s="153"/>
      <c r="BRN159" s="153"/>
      <c r="BRO159" s="153"/>
      <c r="BRP159" s="153"/>
      <c r="BRQ159" s="153"/>
      <c r="BRR159" s="153"/>
      <c r="BRS159" s="153"/>
      <c r="BRT159" s="153"/>
      <c r="BRU159" s="153"/>
      <c r="BRV159" s="153"/>
      <c r="BRW159" s="153"/>
      <c r="BRX159" s="153"/>
      <c r="BRY159" s="153"/>
      <c r="BRZ159" s="153"/>
      <c r="BSA159" s="153"/>
      <c r="BSB159" s="153"/>
      <c r="BSC159" s="153"/>
      <c r="BSD159" s="153"/>
      <c r="BSE159" s="153"/>
      <c r="BSF159" s="153"/>
      <c r="BSG159" s="153"/>
      <c r="BSH159" s="153"/>
      <c r="BSI159" s="153"/>
      <c r="BSJ159" s="153"/>
      <c r="BSK159" s="153"/>
      <c r="BSL159" s="153"/>
      <c r="BSM159" s="153"/>
      <c r="BSN159" s="153"/>
      <c r="BSO159" s="153"/>
      <c r="BSP159" s="153"/>
      <c r="BSQ159" s="153"/>
      <c r="BSR159" s="153"/>
      <c r="BSS159" s="153"/>
      <c r="BST159" s="153"/>
      <c r="BSU159" s="153"/>
      <c r="BSV159" s="153"/>
      <c r="BSW159" s="153"/>
      <c r="BSX159" s="153"/>
      <c r="BSY159" s="153"/>
      <c r="BSZ159" s="153"/>
      <c r="BTA159" s="153"/>
      <c r="BTB159" s="153"/>
      <c r="BTC159" s="153"/>
      <c r="BTD159" s="153"/>
      <c r="BTE159" s="153"/>
      <c r="BTF159" s="153"/>
      <c r="BTG159" s="153"/>
      <c r="BTH159" s="153"/>
      <c r="BTI159" s="153"/>
      <c r="BTJ159" s="153"/>
      <c r="BTK159" s="153"/>
      <c r="BTL159" s="153"/>
      <c r="BTM159" s="153"/>
      <c r="BTN159" s="153"/>
      <c r="BTO159" s="153"/>
      <c r="BTP159" s="153"/>
      <c r="BTQ159" s="153"/>
      <c r="BTR159" s="153"/>
      <c r="BTS159" s="153"/>
      <c r="BTT159" s="153"/>
      <c r="BTU159" s="153"/>
      <c r="BTV159" s="153"/>
      <c r="BTW159" s="153"/>
      <c r="BTX159" s="153"/>
      <c r="BTY159" s="153"/>
      <c r="BTZ159" s="153"/>
      <c r="BUA159" s="153"/>
      <c r="BUB159" s="153"/>
      <c r="BUC159" s="153"/>
      <c r="BUD159" s="153"/>
      <c r="BUE159" s="153"/>
      <c r="BUF159" s="153"/>
      <c r="BUG159" s="153"/>
      <c r="BUH159" s="153"/>
      <c r="BUI159" s="153"/>
      <c r="BUJ159" s="153"/>
      <c r="BUK159" s="153"/>
      <c r="BUL159" s="153"/>
      <c r="BUM159" s="153"/>
      <c r="BUN159" s="153"/>
      <c r="BUO159" s="153"/>
      <c r="BUP159" s="153"/>
      <c r="BUQ159" s="153"/>
      <c r="BUR159" s="153"/>
      <c r="BUS159" s="153"/>
      <c r="BUT159" s="153"/>
      <c r="BUU159" s="153"/>
      <c r="BUV159" s="153"/>
      <c r="BUW159" s="153"/>
      <c r="BUX159" s="153"/>
      <c r="BUY159" s="153"/>
      <c r="BUZ159" s="153"/>
      <c r="BVA159" s="153"/>
      <c r="BVB159" s="153"/>
      <c r="BVC159" s="153"/>
      <c r="BVD159" s="153"/>
      <c r="BVE159" s="153"/>
      <c r="BVF159" s="153"/>
      <c r="BVG159" s="153"/>
      <c r="BVH159" s="153"/>
      <c r="BVI159" s="153"/>
      <c r="BVJ159" s="153"/>
      <c r="BVK159" s="153"/>
      <c r="BVL159" s="153"/>
      <c r="BVM159" s="153"/>
      <c r="BVN159" s="153"/>
      <c r="BVO159" s="153"/>
      <c r="BVP159" s="153"/>
      <c r="BVQ159" s="153"/>
      <c r="BVR159" s="153"/>
      <c r="BVS159" s="153"/>
      <c r="BVT159" s="153"/>
      <c r="BVU159" s="153"/>
      <c r="BVV159" s="153"/>
      <c r="BVW159" s="153"/>
      <c r="BVX159" s="153"/>
      <c r="BVY159" s="153"/>
      <c r="BVZ159" s="153"/>
      <c r="BWA159" s="153"/>
      <c r="BWB159" s="153"/>
      <c r="BWC159" s="153"/>
      <c r="BWD159" s="153"/>
      <c r="BWE159" s="153"/>
      <c r="BWF159" s="153"/>
      <c r="BWG159" s="153"/>
      <c r="BWH159" s="153"/>
      <c r="BWI159" s="153"/>
      <c r="BWJ159" s="153"/>
      <c r="BWK159" s="153"/>
      <c r="BWL159" s="153"/>
      <c r="BWM159" s="153"/>
      <c r="BWN159" s="153"/>
      <c r="BWO159" s="153"/>
      <c r="BWP159" s="153"/>
      <c r="BWQ159" s="153"/>
      <c r="BWR159" s="153"/>
      <c r="BWS159" s="153"/>
      <c r="BWT159" s="153"/>
      <c r="BWU159" s="153"/>
      <c r="BWV159" s="153"/>
      <c r="BWW159" s="153"/>
      <c r="BWX159" s="153"/>
      <c r="BWY159" s="153"/>
      <c r="BWZ159" s="153"/>
      <c r="BXA159" s="153"/>
      <c r="BXB159" s="153"/>
      <c r="BXC159" s="153"/>
      <c r="BXD159" s="153"/>
      <c r="BXE159" s="153"/>
      <c r="BXF159" s="153"/>
      <c r="BXG159" s="153"/>
      <c r="BXH159" s="153"/>
      <c r="BXI159" s="153"/>
      <c r="BXJ159" s="153"/>
      <c r="BXK159" s="153"/>
      <c r="BXL159" s="153"/>
      <c r="BXM159" s="153"/>
      <c r="BXN159" s="153"/>
      <c r="BXO159" s="153"/>
      <c r="BXP159" s="153"/>
      <c r="BXQ159" s="153"/>
      <c r="BXR159" s="153"/>
      <c r="BXS159" s="153"/>
      <c r="BXT159" s="153"/>
      <c r="BXU159" s="153"/>
      <c r="BXV159" s="153"/>
      <c r="BXW159" s="153"/>
      <c r="BXX159" s="153"/>
      <c r="BXY159" s="153"/>
      <c r="BXZ159" s="153"/>
      <c r="BYA159" s="153"/>
      <c r="BYB159" s="153"/>
      <c r="BYC159" s="153"/>
      <c r="BYD159" s="153"/>
      <c r="BYE159" s="153"/>
      <c r="BYF159" s="153"/>
      <c r="BYG159" s="153"/>
      <c r="BYH159" s="153"/>
      <c r="BYI159" s="153"/>
      <c r="BYJ159" s="153"/>
      <c r="BYK159" s="153"/>
      <c r="BYL159" s="153"/>
      <c r="BYM159" s="153"/>
      <c r="BYN159" s="153"/>
      <c r="BYO159" s="153"/>
      <c r="BYP159" s="153"/>
      <c r="BYQ159" s="153"/>
      <c r="BYR159" s="153"/>
      <c r="BYS159" s="153"/>
      <c r="BYT159" s="153"/>
      <c r="BYU159" s="153"/>
      <c r="BYV159" s="153"/>
      <c r="BYW159" s="153"/>
      <c r="BYX159" s="153"/>
      <c r="BYY159" s="153"/>
      <c r="BYZ159" s="153"/>
      <c r="BZA159" s="153"/>
      <c r="BZB159" s="153"/>
      <c r="BZC159" s="153"/>
      <c r="BZD159" s="153"/>
      <c r="BZE159" s="153"/>
      <c r="BZF159" s="153"/>
      <c r="BZG159" s="153"/>
      <c r="BZH159" s="153"/>
      <c r="BZI159" s="153"/>
      <c r="BZJ159" s="153"/>
      <c r="BZK159" s="153"/>
      <c r="BZL159" s="153"/>
      <c r="BZM159" s="153"/>
      <c r="BZN159" s="153"/>
      <c r="BZO159" s="153"/>
      <c r="BZP159" s="153"/>
      <c r="BZQ159" s="153"/>
      <c r="BZR159" s="153"/>
      <c r="BZS159" s="153"/>
      <c r="BZT159" s="153"/>
      <c r="BZU159" s="153"/>
      <c r="BZV159" s="153"/>
      <c r="BZW159" s="153"/>
      <c r="BZX159" s="153"/>
      <c r="BZY159" s="153"/>
      <c r="BZZ159" s="153"/>
      <c r="CAA159" s="153"/>
      <c r="CAB159" s="153"/>
      <c r="CAC159" s="153"/>
      <c r="CAD159" s="153"/>
      <c r="CAE159" s="153"/>
      <c r="CAF159" s="153"/>
      <c r="CAG159" s="153"/>
      <c r="CAH159" s="153"/>
      <c r="CAI159" s="153"/>
      <c r="CAJ159" s="153"/>
      <c r="CAK159" s="153"/>
      <c r="CAL159" s="153"/>
      <c r="CAM159" s="153"/>
      <c r="CAN159" s="153"/>
      <c r="CAO159" s="153"/>
      <c r="CAP159" s="153"/>
      <c r="CAQ159" s="153"/>
      <c r="CAR159" s="153"/>
      <c r="CAS159" s="153"/>
      <c r="CAT159" s="153"/>
      <c r="CAU159" s="153"/>
      <c r="CAV159" s="153"/>
      <c r="CAW159" s="153"/>
      <c r="CAX159" s="153"/>
      <c r="CAY159" s="153"/>
      <c r="CAZ159" s="153"/>
      <c r="CBA159" s="153"/>
      <c r="CBB159" s="153"/>
      <c r="CBC159" s="153"/>
      <c r="CBD159" s="153"/>
      <c r="CBE159" s="153"/>
      <c r="CBF159" s="153"/>
      <c r="CBG159" s="153"/>
      <c r="CBH159" s="153"/>
      <c r="CBI159" s="153"/>
      <c r="CBJ159" s="153"/>
      <c r="CBK159" s="153"/>
      <c r="CBL159" s="153"/>
      <c r="CBM159" s="153"/>
      <c r="CBN159" s="153"/>
      <c r="CBO159" s="153"/>
      <c r="CBP159" s="153"/>
      <c r="CBQ159" s="153"/>
      <c r="CBR159" s="153"/>
      <c r="CBS159" s="153"/>
      <c r="CBT159" s="153"/>
      <c r="CBU159" s="153"/>
      <c r="CBV159" s="153"/>
      <c r="CBW159" s="153"/>
      <c r="CBX159" s="153"/>
      <c r="CBY159" s="153"/>
      <c r="CBZ159" s="153"/>
      <c r="CCA159" s="153"/>
      <c r="CCB159" s="153"/>
      <c r="CCC159" s="153"/>
      <c r="CCD159" s="153"/>
      <c r="CCE159" s="153"/>
      <c r="CCF159" s="153"/>
      <c r="CCG159" s="153"/>
      <c r="CCH159" s="153"/>
      <c r="CCI159" s="153"/>
      <c r="CCJ159" s="153"/>
      <c r="CCK159" s="153"/>
      <c r="CCL159" s="153"/>
      <c r="CCM159" s="153"/>
      <c r="CCN159" s="153"/>
      <c r="CCO159" s="153"/>
      <c r="CCP159" s="153"/>
      <c r="CCQ159" s="153"/>
      <c r="CCR159" s="153"/>
      <c r="CCS159" s="153"/>
      <c r="CCT159" s="153"/>
      <c r="CCU159" s="153"/>
      <c r="CCV159" s="153"/>
      <c r="CCW159" s="153"/>
      <c r="CCX159" s="153"/>
      <c r="CCY159" s="153"/>
      <c r="CCZ159" s="153"/>
      <c r="CDA159" s="153"/>
      <c r="CDB159" s="153"/>
      <c r="CDC159" s="153"/>
      <c r="CDD159" s="153"/>
      <c r="CDE159" s="153"/>
      <c r="CDF159" s="153"/>
      <c r="CDG159" s="153"/>
      <c r="CDH159" s="153"/>
      <c r="CDI159" s="153"/>
      <c r="CDJ159" s="153"/>
      <c r="CDK159" s="153"/>
      <c r="CDL159" s="153"/>
      <c r="CDM159" s="153"/>
      <c r="CDN159" s="153"/>
      <c r="CDO159" s="153"/>
      <c r="CDP159" s="153"/>
      <c r="CDQ159" s="153"/>
      <c r="CDR159" s="153"/>
      <c r="CDS159" s="153"/>
      <c r="CDT159" s="153"/>
      <c r="CDU159" s="153"/>
      <c r="CDV159" s="153"/>
      <c r="CDW159" s="153"/>
      <c r="CDX159" s="153"/>
      <c r="CDY159" s="153"/>
      <c r="CDZ159" s="153"/>
      <c r="CEA159" s="153"/>
      <c r="CEB159" s="153"/>
      <c r="CEC159" s="153"/>
      <c r="CED159" s="153"/>
      <c r="CEE159" s="153"/>
      <c r="CEF159" s="153"/>
      <c r="CEG159" s="153"/>
      <c r="CEH159" s="153"/>
      <c r="CEI159" s="153"/>
      <c r="CEJ159" s="153"/>
      <c r="CEK159" s="153"/>
      <c r="CEL159" s="153"/>
      <c r="CEM159" s="153"/>
      <c r="CEN159" s="153"/>
      <c r="CEO159" s="153"/>
      <c r="CEP159" s="153"/>
      <c r="CEQ159" s="153"/>
      <c r="CER159" s="153"/>
      <c r="CES159" s="153"/>
      <c r="CET159" s="153"/>
      <c r="CEU159" s="153"/>
      <c r="CEV159" s="153"/>
      <c r="CEW159" s="153"/>
      <c r="CEX159" s="153"/>
      <c r="CEY159" s="153"/>
      <c r="CEZ159" s="153"/>
      <c r="CFA159" s="153"/>
      <c r="CFB159" s="153"/>
      <c r="CFC159" s="153"/>
      <c r="CFD159" s="153"/>
      <c r="CFE159" s="153"/>
      <c r="CFF159" s="153"/>
      <c r="CFG159" s="153"/>
      <c r="CFH159" s="153"/>
      <c r="CFI159" s="153"/>
      <c r="CFJ159" s="153"/>
      <c r="CFK159" s="153"/>
      <c r="CFL159" s="153"/>
      <c r="CFM159" s="153"/>
      <c r="CFN159" s="153"/>
      <c r="CFO159" s="153"/>
      <c r="CFP159" s="153"/>
      <c r="CFQ159" s="153"/>
      <c r="CFR159" s="153"/>
      <c r="CFS159" s="153"/>
      <c r="CFT159" s="153"/>
      <c r="CFU159" s="153"/>
      <c r="CFV159" s="153"/>
      <c r="CFW159" s="153"/>
      <c r="CFX159" s="153"/>
      <c r="CFY159" s="153"/>
      <c r="CFZ159" s="153"/>
      <c r="CGA159" s="153"/>
      <c r="CGB159" s="153"/>
      <c r="CGC159" s="153"/>
      <c r="CGD159" s="153"/>
      <c r="CGE159" s="153"/>
      <c r="CGF159" s="153"/>
      <c r="CGG159" s="153"/>
      <c r="CGH159" s="153"/>
      <c r="CGI159" s="153"/>
      <c r="CGJ159" s="153"/>
      <c r="CGK159" s="153"/>
      <c r="CGL159" s="153"/>
      <c r="CGM159" s="153"/>
      <c r="CGN159" s="153"/>
      <c r="CGO159" s="153"/>
      <c r="CGP159" s="153"/>
      <c r="CGQ159" s="153"/>
      <c r="CGR159" s="153"/>
      <c r="CGS159" s="153"/>
      <c r="CGT159" s="153"/>
      <c r="CGU159" s="153"/>
      <c r="CGV159" s="153"/>
      <c r="CGW159" s="153"/>
      <c r="CGX159" s="153"/>
      <c r="CGY159" s="153"/>
      <c r="CGZ159" s="153"/>
      <c r="CHA159" s="153"/>
      <c r="CHB159" s="153"/>
      <c r="CHC159" s="153"/>
      <c r="CHD159" s="153"/>
      <c r="CHE159" s="153"/>
      <c r="CHF159" s="153"/>
      <c r="CHG159" s="153"/>
      <c r="CHH159" s="153"/>
      <c r="CHI159" s="153"/>
      <c r="CHJ159" s="153"/>
      <c r="CHK159" s="153"/>
      <c r="CHL159" s="153"/>
      <c r="CHM159" s="153"/>
      <c r="CHN159" s="153"/>
      <c r="CHO159" s="153"/>
      <c r="CHP159" s="153"/>
      <c r="CHQ159" s="153"/>
      <c r="CHR159" s="153"/>
      <c r="CHS159" s="153"/>
      <c r="CHT159" s="153"/>
      <c r="CHU159" s="153"/>
      <c r="CHV159" s="153"/>
      <c r="CHW159" s="153"/>
      <c r="CHX159" s="153"/>
      <c r="CHY159" s="153"/>
      <c r="CHZ159" s="153"/>
      <c r="CIA159" s="153"/>
      <c r="CIB159" s="153"/>
      <c r="CIC159" s="153"/>
      <c r="CID159" s="153"/>
      <c r="CIE159" s="153"/>
      <c r="CIF159" s="153"/>
      <c r="CIG159" s="153"/>
      <c r="CIH159" s="153"/>
      <c r="CII159" s="153"/>
      <c r="CIJ159" s="153"/>
      <c r="CIK159" s="153"/>
      <c r="CIL159" s="153"/>
      <c r="CIM159" s="153"/>
      <c r="CIN159" s="153"/>
      <c r="CIO159" s="153"/>
      <c r="CIP159" s="153"/>
      <c r="CIQ159" s="153"/>
      <c r="CIR159" s="153"/>
      <c r="CIS159" s="153"/>
      <c r="CIT159" s="153"/>
      <c r="CIU159" s="153"/>
      <c r="CIV159" s="153"/>
      <c r="CIW159" s="153"/>
      <c r="CIX159" s="153"/>
      <c r="CIY159" s="153"/>
      <c r="CIZ159" s="153"/>
      <c r="CJA159" s="153"/>
      <c r="CJB159" s="153"/>
      <c r="CJC159" s="153"/>
      <c r="CJD159" s="153"/>
      <c r="CJE159" s="153"/>
      <c r="CJF159" s="153"/>
      <c r="CJG159" s="153"/>
      <c r="CJH159" s="153"/>
      <c r="CJI159" s="153"/>
      <c r="CJJ159" s="153"/>
      <c r="CJK159" s="153"/>
      <c r="CJL159" s="153"/>
      <c r="CJM159" s="153"/>
      <c r="CJN159" s="153"/>
      <c r="CJO159" s="153"/>
      <c r="CJP159" s="153"/>
      <c r="CJQ159" s="153"/>
      <c r="CJR159" s="153"/>
      <c r="CJS159" s="153"/>
      <c r="CJT159" s="153"/>
      <c r="CJU159" s="153"/>
      <c r="CJV159" s="153"/>
      <c r="CJW159" s="153"/>
      <c r="CJX159" s="153"/>
      <c r="CJY159" s="153"/>
      <c r="CJZ159" s="153"/>
      <c r="CKA159" s="153"/>
      <c r="CKB159" s="153"/>
      <c r="CKC159" s="153"/>
      <c r="CKD159" s="153"/>
      <c r="CKE159" s="153"/>
      <c r="CKF159" s="153"/>
      <c r="CKG159" s="153"/>
      <c r="CKH159" s="153"/>
      <c r="CKI159" s="153"/>
      <c r="CKJ159" s="153"/>
      <c r="CKK159" s="153"/>
      <c r="CKL159" s="153"/>
      <c r="CKM159" s="153"/>
      <c r="CKN159" s="153"/>
      <c r="CKO159" s="153"/>
      <c r="CKP159" s="153"/>
      <c r="CKQ159" s="153"/>
      <c r="CKR159" s="153"/>
      <c r="CKS159" s="153"/>
      <c r="CKT159" s="153"/>
      <c r="CKU159" s="153"/>
      <c r="CKV159" s="153"/>
      <c r="CKW159" s="153"/>
      <c r="CKX159" s="153"/>
      <c r="CKY159" s="153"/>
      <c r="CKZ159" s="153"/>
      <c r="CLA159" s="153"/>
      <c r="CLB159" s="153"/>
      <c r="CLC159" s="153"/>
      <c r="CLD159" s="153"/>
      <c r="CLE159" s="153"/>
      <c r="CLF159" s="153"/>
      <c r="CLG159" s="153"/>
      <c r="CLH159" s="153"/>
      <c r="CLI159" s="153"/>
      <c r="CLJ159" s="153"/>
      <c r="CLK159" s="153"/>
      <c r="CLL159" s="153"/>
      <c r="CLM159" s="153"/>
      <c r="CLN159" s="153"/>
      <c r="CLO159" s="153"/>
      <c r="CLP159" s="153"/>
      <c r="CLQ159" s="153"/>
      <c r="CLR159" s="153"/>
      <c r="CLS159" s="153"/>
      <c r="CLT159" s="153"/>
      <c r="CLU159" s="153"/>
      <c r="CLV159" s="153"/>
      <c r="CLW159" s="153"/>
      <c r="CLX159" s="153"/>
      <c r="CLY159" s="153"/>
      <c r="CLZ159" s="153"/>
      <c r="CMA159" s="153"/>
      <c r="CMB159" s="153"/>
      <c r="CMC159" s="153"/>
      <c r="CMD159" s="153"/>
      <c r="CME159" s="153"/>
      <c r="CMF159" s="153"/>
      <c r="CMG159" s="153"/>
      <c r="CMH159" s="153"/>
      <c r="CMI159" s="153"/>
      <c r="CMJ159" s="153"/>
      <c r="CMK159" s="153"/>
      <c r="CML159" s="153"/>
      <c r="CMM159" s="153"/>
      <c r="CMN159" s="153"/>
      <c r="CMO159" s="153"/>
      <c r="CMP159" s="153"/>
      <c r="CMQ159" s="153"/>
      <c r="CMR159" s="153"/>
      <c r="CMS159" s="153"/>
      <c r="CMT159" s="153"/>
      <c r="CMU159" s="153"/>
      <c r="CMV159" s="153"/>
      <c r="CMW159" s="153"/>
      <c r="CMX159" s="153"/>
      <c r="CMY159" s="153"/>
      <c r="CMZ159" s="153"/>
      <c r="CNA159" s="153"/>
      <c r="CNB159" s="153"/>
      <c r="CNC159" s="153"/>
      <c r="CND159" s="153"/>
      <c r="CNE159" s="153"/>
      <c r="CNF159" s="153"/>
      <c r="CNG159" s="153"/>
      <c r="CNH159" s="153"/>
      <c r="CNI159" s="153"/>
      <c r="CNJ159" s="153"/>
      <c r="CNK159" s="153"/>
      <c r="CNL159" s="153"/>
      <c r="CNM159" s="153"/>
      <c r="CNN159" s="153"/>
      <c r="CNO159" s="153"/>
      <c r="CNP159" s="153"/>
      <c r="CNQ159" s="153"/>
      <c r="CNR159" s="153"/>
      <c r="CNS159" s="153"/>
      <c r="CNT159" s="153"/>
      <c r="CNU159" s="153"/>
      <c r="CNV159" s="153"/>
      <c r="CNW159" s="153"/>
      <c r="CNX159" s="153"/>
      <c r="CNY159" s="153"/>
      <c r="CNZ159" s="153"/>
      <c r="COA159" s="153"/>
      <c r="COB159" s="153"/>
      <c r="COC159" s="153"/>
      <c r="COD159" s="153"/>
      <c r="COE159" s="153"/>
      <c r="COF159" s="153"/>
      <c r="COG159" s="153"/>
      <c r="COH159" s="153"/>
      <c r="COI159" s="153"/>
      <c r="COJ159" s="153"/>
      <c r="COK159" s="153"/>
      <c r="COL159" s="153"/>
      <c r="COM159" s="153"/>
      <c r="CON159" s="153"/>
      <c r="COO159" s="153"/>
      <c r="COP159" s="153"/>
      <c r="COQ159" s="153"/>
      <c r="COR159" s="153"/>
      <c r="COS159" s="153"/>
      <c r="COT159" s="153"/>
      <c r="COU159" s="153"/>
      <c r="COV159" s="153"/>
      <c r="COW159" s="153"/>
      <c r="COX159" s="153"/>
      <c r="COY159" s="153"/>
      <c r="COZ159" s="153"/>
      <c r="CPA159" s="153"/>
      <c r="CPB159" s="153"/>
      <c r="CPC159" s="153"/>
      <c r="CPD159" s="153"/>
      <c r="CPE159" s="153"/>
      <c r="CPF159" s="153"/>
      <c r="CPG159" s="153"/>
      <c r="CPH159" s="153"/>
      <c r="CPI159" s="153"/>
      <c r="CPJ159" s="153"/>
      <c r="CPK159" s="153"/>
      <c r="CPL159" s="153"/>
      <c r="CPM159" s="153"/>
      <c r="CPN159" s="153"/>
      <c r="CPO159" s="153"/>
      <c r="CPP159" s="153"/>
      <c r="CPQ159" s="153"/>
      <c r="CPR159" s="153"/>
      <c r="CPS159" s="153"/>
      <c r="CPT159" s="153"/>
      <c r="CPU159" s="153"/>
      <c r="CPV159" s="153"/>
      <c r="CPW159" s="153"/>
      <c r="CPX159" s="153"/>
      <c r="CPY159" s="153"/>
      <c r="CPZ159" s="153"/>
      <c r="CQA159" s="153"/>
      <c r="CQB159" s="153"/>
      <c r="CQC159" s="153"/>
      <c r="CQD159" s="153"/>
      <c r="CQE159" s="153"/>
      <c r="CQF159" s="153"/>
      <c r="CQG159" s="153"/>
      <c r="CQH159" s="153"/>
      <c r="CQI159" s="153"/>
      <c r="CQJ159" s="153"/>
      <c r="CQK159" s="153"/>
      <c r="CQL159" s="153"/>
      <c r="CQM159" s="153"/>
      <c r="CQN159" s="153"/>
      <c r="CQO159" s="153"/>
      <c r="CQP159" s="153"/>
      <c r="CQQ159" s="153"/>
      <c r="CQR159" s="153"/>
      <c r="CQS159" s="153"/>
      <c r="CQT159" s="153"/>
      <c r="CQU159" s="153"/>
      <c r="CQV159" s="153"/>
      <c r="CQW159" s="153"/>
      <c r="CQX159" s="153"/>
      <c r="CQY159" s="153"/>
      <c r="CQZ159" s="153"/>
      <c r="CRA159" s="153"/>
      <c r="CRB159" s="153"/>
      <c r="CRC159" s="153"/>
      <c r="CRD159" s="153"/>
      <c r="CRE159" s="153"/>
      <c r="CRF159" s="153"/>
      <c r="CRG159" s="153"/>
      <c r="CRH159" s="153"/>
      <c r="CRI159" s="153"/>
      <c r="CRJ159" s="153"/>
      <c r="CRK159" s="153"/>
      <c r="CRL159" s="153"/>
      <c r="CRM159" s="153"/>
      <c r="CRN159" s="153"/>
      <c r="CRO159" s="153"/>
      <c r="CRP159" s="153"/>
      <c r="CRQ159" s="153"/>
      <c r="CRR159" s="153"/>
      <c r="CRS159" s="153"/>
      <c r="CRT159" s="153"/>
      <c r="CRU159" s="153"/>
      <c r="CRV159" s="153"/>
      <c r="CRW159" s="153"/>
      <c r="CRX159" s="153"/>
      <c r="CRY159" s="153"/>
      <c r="CRZ159" s="153"/>
      <c r="CSA159" s="153"/>
      <c r="CSB159" s="153"/>
      <c r="CSC159" s="153"/>
      <c r="CSD159" s="153"/>
      <c r="CSE159" s="153"/>
      <c r="CSF159" s="153"/>
      <c r="CSG159" s="153"/>
      <c r="CSH159" s="153"/>
      <c r="CSI159" s="153"/>
      <c r="CSJ159" s="153"/>
      <c r="CSK159" s="153"/>
      <c r="CSL159" s="153"/>
      <c r="CSM159" s="153"/>
      <c r="CSN159" s="153"/>
      <c r="CSO159" s="153"/>
      <c r="CSP159" s="153"/>
      <c r="CSQ159" s="153"/>
      <c r="CSR159" s="153"/>
      <c r="CSS159" s="153"/>
      <c r="CST159" s="153"/>
      <c r="CSU159" s="153"/>
      <c r="CSV159" s="153"/>
      <c r="CSW159" s="153"/>
      <c r="CSX159" s="153"/>
      <c r="CSY159" s="153"/>
      <c r="CSZ159" s="153"/>
      <c r="CTA159" s="153"/>
      <c r="CTB159" s="153"/>
      <c r="CTC159" s="153"/>
      <c r="CTD159" s="153"/>
      <c r="CTE159" s="153"/>
      <c r="CTF159" s="153"/>
      <c r="CTG159" s="153"/>
      <c r="CTH159" s="153"/>
      <c r="CTI159" s="153"/>
      <c r="CTJ159" s="153"/>
      <c r="CTK159" s="153"/>
      <c r="CTL159" s="153"/>
      <c r="CTM159" s="153"/>
      <c r="CTN159" s="153"/>
      <c r="CTO159" s="153"/>
      <c r="CTP159" s="153"/>
      <c r="CTQ159" s="153"/>
      <c r="CTR159" s="153"/>
      <c r="CTS159" s="153"/>
      <c r="CTT159" s="153"/>
      <c r="CTU159" s="153"/>
      <c r="CTV159" s="153"/>
      <c r="CTW159" s="153"/>
      <c r="CTX159" s="153"/>
      <c r="CTY159" s="153"/>
      <c r="CTZ159" s="153"/>
      <c r="CUA159" s="153"/>
      <c r="CUB159" s="153"/>
      <c r="CUC159" s="153"/>
      <c r="CUD159" s="153"/>
      <c r="CUE159" s="153"/>
      <c r="CUF159" s="153"/>
      <c r="CUG159" s="153"/>
      <c r="CUH159" s="153"/>
      <c r="CUI159" s="153"/>
      <c r="CUJ159" s="153"/>
      <c r="CUK159" s="153"/>
      <c r="CUL159" s="153"/>
      <c r="CUM159" s="153"/>
      <c r="CUN159" s="153"/>
      <c r="CUO159" s="153"/>
      <c r="CUP159" s="153"/>
      <c r="CUQ159" s="153"/>
      <c r="CUR159" s="153"/>
      <c r="CUS159" s="153"/>
      <c r="CUT159" s="153"/>
      <c r="CUU159" s="153"/>
      <c r="CUV159" s="153"/>
      <c r="CUW159" s="153"/>
      <c r="CUX159" s="153"/>
      <c r="CUY159" s="153"/>
      <c r="CUZ159" s="153"/>
      <c r="CVA159" s="153"/>
      <c r="CVB159" s="153"/>
      <c r="CVC159" s="153"/>
      <c r="CVD159" s="153"/>
      <c r="CVE159" s="153"/>
      <c r="CVF159" s="153"/>
      <c r="CVG159" s="153"/>
      <c r="CVH159" s="153"/>
      <c r="CVI159" s="153"/>
      <c r="CVJ159" s="153"/>
      <c r="CVK159" s="153"/>
      <c r="CVL159" s="153"/>
      <c r="CVM159" s="153"/>
      <c r="CVN159" s="153"/>
      <c r="CVO159" s="153"/>
      <c r="CVP159" s="153"/>
      <c r="CVQ159" s="153"/>
      <c r="CVR159" s="153"/>
      <c r="CVS159" s="153"/>
      <c r="CVT159" s="153"/>
      <c r="CVU159" s="153"/>
      <c r="CVV159" s="153"/>
      <c r="CVW159" s="153"/>
      <c r="CVX159" s="153"/>
      <c r="CVY159" s="153"/>
      <c r="CVZ159" s="153"/>
      <c r="CWA159" s="153"/>
      <c r="CWB159" s="153"/>
      <c r="CWC159" s="153"/>
      <c r="CWD159" s="153"/>
      <c r="CWE159" s="153"/>
      <c r="CWF159" s="153"/>
      <c r="CWG159" s="153"/>
      <c r="CWH159" s="153"/>
      <c r="CWI159" s="153"/>
      <c r="CWJ159" s="153"/>
      <c r="CWK159" s="153"/>
      <c r="CWL159" s="153"/>
      <c r="CWM159" s="153"/>
      <c r="CWN159" s="153"/>
      <c r="CWO159" s="153"/>
      <c r="CWP159" s="153"/>
      <c r="CWQ159" s="153"/>
      <c r="CWR159" s="153"/>
      <c r="CWS159" s="153"/>
      <c r="CWT159" s="153"/>
      <c r="CWU159" s="153"/>
      <c r="CWV159" s="153"/>
      <c r="CWW159" s="153"/>
      <c r="CWX159" s="153"/>
      <c r="CWY159" s="153"/>
      <c r="CWZ159" s="153"/>
      <c r="CXA159" s="153"/>
      <c r="CXB159" s="153"/>
      <c r="CXC159" s="153"/>
      <c r="CXD159" s="153"/>
      <c r="CXE159" s="153"/>
      <c r="CXF159" s="153"/>
      <c r="CXG159" s="153"/>
      <c r="CXH159" s="153"/>
      <c r="CXI159" s="153"/>
      <c r="CXJ159" s="153"/>
      <c r="CXK159" s="153"/>
      <c r="CXL159" s="153"/>
      <c r="CXM159" s="153"/>
      <c r="CXN159" s="153"/>
      <c r="CXO159" s="153"/>
      <c r="CXP159" s="153"/>
      <c r="CXQ159" s="153"/>
      <c r="CXR159" s="153"/>
      <c r="CXS159" s="153"/>
      <c r="CXT159" s="153"/>
      <c r="CXU159" s="153"/>
      <c r="CXV159" s="153"/>
      <c r="CXW159" s="153"/>
      <c r="CXX159" s="153"/>
      <c r="CXY159" s="153"/>
      <c r="CXZ159" s="153"/>
      <c r="CYA159" s="153"/>
      <c r="CYB159" s="153"/>
      <c r="CYC159" s="153"/>
      <c r="CYD159" s="153"/>
      <c r="CYE159" s="153"/>
      <c r="CYF159" s="153"/>
      <c r="CYG159" s="153"/>
      <c r="CYH159" s="153"/>
      <c r="CYI159" s="153"/>
      <c r="CYJ159" s="153"/>
      <c r="CYK159" s="153"/>
      <c r="CYL159" s="153"/>
      <c r="CYM159" s="153"/>
      <c r="CYN159" s="153"/>
      <c r="CYO159" s="153"/>
      <c r="CYP159" s="153"/>
      <c r="CYQ159" s="153"/>
      <c r="CYR159" s="153"/>
      <c r="CYS159" s="153"/>
      <c r="CYT159" s="153"/>
      <c r="CYU159" s="153"/>
      <c r="CYV159" s="153"/>
      <c r="CYW159" s="153"/>
      <c r="CYX159" s="153"/>
      <c r="CYY159" s="153"/>
      <c r="CYZ159" s="153"/>
      <c r="CZA159" s="153"/>
      <c r="CZB159" s="153"/>
      <c r="CZC159" s="153"/>
      <c r="CZD159" s="153"/>
      <c r="CZE159" s="153"/>
      <c r="CZF159" s="153"/>
      <c r="CZG159" s="153"/>
      <c r="CZH159" s="153"/>
      <c r="CZI159" s="153"/>
      <c r="CZJ159" s="153"/>
      <c r="CZK159" s="153"/>
      <c r="CZL159" s="153"/>
      <c r="CZM159" s="153"/>
      <c r="CZN159" s="153"/>
      <c r="CZO159" s="153"/>
      <c r="CZP159" s="153"/>
      <c r="CZQ159" s="153"/>
      <c r="CZR159" s="153"/>
      <c r="CZS159" s="153"/>
      <c r="CZT159" s="153"/>
      <c r="CZU159" s="153"/>
      <c r="CZV159" s="153"/>
      <c r="CZW159" s="153"/>
      <c r="CZX159" s="153"/>
      <c r="CZY159" s="153"/>
      <c r="CZZ159" s="153"/>
      <c r="DAA159" s="153"/>
      <c r="DAB159" s="153"/>
      <c r="DAC159" s="153"/>
      <c r="DAD159" s="153"/>
      <c r="DAE159" s="153"/>
      <c r="DAF159" s="153"/>
      <c r="DAG159" s="153"/>
      <c r="DAH159" s="153"/>
      <c r="DAI159" s="153"/>
      <c r="DAJ159" s="153"/>
      <c r="DAK159" s="153"/>
      <c r="DAL159" s="153"/>
      <c r="DAM159" s="153"/>
      <c r="DAN159" s="153"/>
      <c r="DAO159" s="153"/>
      <c r="DAP159" s="153"/>
      <c r="DAQ159" s="153"/>
      <c r="DAR159" s="153"/>
      <c r="DAS159" s="153"/>
      <c r="DAT159" s="153"/>
      <c r="DAU159" s="153"/>
      <c r="DAV159" s="153"/>
      <c r="DAW159" s="153"/>
      <c r="DAX159" s="153"/>
      <c r="DAY159" s="153"/>
      <c r="DAZ159" s="153"/>
      <c r="DBA159" s="153"/>
      <c r="DBB159" s="153"/>
      <c r="DBC159" s="153"/>
      <c r="DBD159" s="153"/>
      <c r="DBE159" s="153"/>
      <c r="DBF159" s="153"/>
      <c r="DBG159" s="153"/>
      <c r="DBH159" s="153"/>
      <c r="DBI159" s="153"/>
      <c r="DBJ159" s="153"/>
      <c r="DBK159" s="153"/>
      <c r="DBL159" s="153"/>
      <c r="DBM159" s="153"/>
      <c r="DBN159" s="153"/>
      <c r="DBO159" s="153"/>
      <c r="DBP159" s="153"/>
      <c r="DBQ159" s="153"/>
      <c r="DBR159" s="153"/>
      <c r="DBS159" s="153"/>
      <c r="DBT159" s="153"/>
      <c r="DBU159" s="153"/>
      <c r="DBV159" s="153"/>
      <c r="DBW159" s="153"/>
      <c r="DBX159" s="153"/>
      <c r="DBY159" s="153"/>
      <c r="DBZ159" s="153"/>
      <c r="DCA159" s="153"/>
      <c r="DCB159" s="153"/>
      <c r="DCC159" s="153"/>
      <c r="DCD159" s="153"/>
      <c r="DCE159" s="153"/>
      <c r="DCF159" s="153"/>
      <c r="DCG159" s="153"/>
      <c r="DCH159" s="153"/>
      <c r="DCI159" s="153"/>
      <c r="DCJ159" s="153"/>
      <c r="DCK159" s="153"/>
      <c r="DCL159" s="153"/>
      <c r="DCM159" s="153"/>
      <c r="DCN159" s="153"/>
      <c r="DCO159" s="153"/>
      <c r="DCP159" s="153"/>
      <c r="DCQ159" s="153"/>
      <c r="DCR159" s="153"/>
      <c r="DCS159" s="153"/>
      <c r="DCT159" s="153"/>
      <c r="DCU159" s="153"/>
      <c r="DCV159" s="153"/>
      <c r="DCW159" s="153"/>
      <c r="DCX159" s="153"/>
      <c r="DCY159" s="153"/>
      <c r="DCZ159" s="153"/>
      <c r="DDA159" s="153"/>
      <c r="DDB159" s="153"/>
      <c r="DDC159" s="153"/>
      <c r="DDD159" s="153"/>
      <c r="DDE159" s="153"/>
      <c r="DDF159" s="153"/>
      <c r="DDG159" s="153"/>
      <c r="DDH159" s="153"/>
      <c r="DDI159" s="153"/>
      <c r="DDJ159" s="153"/>
      <c r="DDK159" s="153"/>
      <c r="DDL159" s="153"/>
      <c r="DDM159" s="153"/>
      <c r="DDN159" s="153"/>
      <c r="DDO159" s="153"/>
      <c r="DDP159" s="153"/>
      <c r="DDQ159" s="153"/>
      <c r="DDR159" s="153"/>
      <c r="DDS159" s="153"/>
      <c r="DDT159" s="153"/>
      <c r="DDU159" s="153"/>
      <c r="DDV159" s="153"/>
      <c r="DDW159" s="153"/>
      <c r="DDX159" s="153"/>
      <c r="DDY159" s="153"/>
      <c r="DDZ159" s="153"/>
      <c r="DEA159" s="153"/>
      <c r="DEB159" s="153"/>
      <c r="DEC159" s="153"/>
      <c r="DED159" s="153"/>
      <c r="DEE159" s="153"/>
      <c r="DEF159" s="153"/>
      <c r="DEG159" s="153"/>
      <c r="DEH159" s="153"/>
      <c r="DEI159" s="153"/>
      <c r="DEJ159" s="153"/>
      <c r="DEK159" s="153"/>
      <c r="DEL159" s="153"/>
      <c r="DEM159" s="153"/>
      <c r="DEN159" s="153"/>
      <c r="DEO159" s="153"/>
      <c r="DEP159" s="153"/>
      <c r="DEQ159" s="153"/>
      <c r="DER159" s="153"/>
      <c r="DES159" s="153"/>
      <c r="DET159" s="153"/>
      <c r="DEU159" s="153"/>
      <c r="DEV159" s="153"/>
      <c r="DEW159" s="153"/>
      <c r="DEX159" s="153"/>
      <c r="DEY159" s="153"/>
      <c r="DEZ159" s="153"/>
      <c r="DFA159" s="153"/>
      <c r="DFB159" s="153"/>
      <c r="DFC159" s="153"/>
      <c r="DFD159" s="153"/>
      <c r="DFE159" s="153"/>
      <c r="DFF159" s="153"/>
      <c r="DFG159" s="153"/>
      <c r="DFH159" s="153"/>
      <c r="DFI159" s="153"/>
      <c r="DFJ159" s="153"/>
      <c r="DFK159" s="153"/>
      <c r="DFL159" s="153"/>
      <c r="DFM159" s="153"/>
      <c r="DFN159" s="153"/>
      <c r="DFO159" s="153"/>
      <c r="DFP159" s="153"/>
      <c r="DFQ159" s="153"/>
      <c r="DFR159" s="153"/>
      <c r="DFS159" s="153"/>
      <c r="DFT159" s="153"/>
      <c r="DFU159" s="153"/>
      <c r="DFV159" s="153"/>
      <c r="DFW159" s="153"/>
      <c r="DFX159" s="153"/>
      <c r="DFY159" s="153"/>
      <c r="DFZ159" s="153"/>
      <c r="DGA159" s="153"/>
      <c r="DGB159" s="153"/>
      <c r="DGC159" s="153"/>
      <c r="DGD159" s="153"/>
      <c r="DGE159" s="153"/>
      <c r="DGF159" s="153"/>
      <c r="DGG159" s="153"/>
      <c r="DGH159" s="153"/>
      <c r="DGI159" s="153"/>
      <c r="DGJ159" s="153"/>
      <c r="DGK159" s="153"/>
      <c r="DGL159" s="153"/>
      <c r="DGM159" s="153"/>
      <c r="DGN159" s="153"/>
      <c r="DGO159" s="153"/>
      <c r="DGP159" s="153"/>
      <c r="DGQ159" s="153"/>
      <c r="DGR159" s="153"/>
      <c r="DGS159" s="153"/>
      <c r="DGT159" s="153"/>
      <c r="DGU159" s="153"/>
      <c r="DGV159" s="153"/>
      <c r="DGW159" s="153"/>
      <c r="DGX159" s="153"/>
      <c r="DGY159" s="153"/>
      <c r="DGZ159" s="153"/>
      <c r="DHA159" s="153"/>
      <c r="DHB159" s="153"/>
      <c r="DHC159" s="153"/>
      <c r="DHD159" s="153"/>
      <c r="DHE159" s="153"/>
      <c r="DHF159" s="153"/>
      <c r="DHG159" s="153"/>
      <c r="DHH159" s="153"/>
      <c r="DHI159" s="153"/>
      <c r="DHJ159" s="153"/>
      <c r="DHK159" s="153"/>
      <c r="DHL159" s="153"/>
      <c r="DHM159" s="153"/>
      <c r="DHN159" s="153"/>
      <c r="DHO159" s="153"/>
      <c r="DHP159" s="153"/>
      <c r="DHQ159" s="153"/>
      <c r="DHR159" s="153"/>
      <c r="DHS159" s="153"/>
      <c r="DHT159" s="153"/>
      <c r="DHU159" s="153"/>
      <c r="DHV159" s="153"/>
      <c r="DHW159" s="153"/>
      <c r="DHX159" s="153"/>
      <c r="DHY159" s="153"/>
      <c r="DHZ159" s="153"/>
      <c r="DIA159" s="153"/>
      <c r="DIB159" s="153"/>
      <c r="DIC159" s="153"/>
      <c r="DID159" s="153"/>
      <c r="DIE159" s="153"/>
      <c r="DIF159" s="153"/>
      <c r="DIG159" s="153"/>
      <c r="DIH159" s="153"/>
      <c r="DII159" s="153"/>
      <c r="DIJ159" s="153"/>
      <c r="DIK159" s="153"/>
      <c r="DIL159" s="153"/>
      <c r="DIM159" s="153"/>
      <c r="DIN159" s="153"/>
      <c r="DIO159" s="153"/>
      <c r="DIP159" s="153"/>
      <c r="DIQ159" s="153"/>
      <c r="DIR159" s="153"/>
      <c r="DIS159" s="153"/>
      <c r="DIT159" s="153"/>
      <c r="DIU159" s="153"/>
      <c r="DIV159" s="153"/>
      <c r="DIW159" s="153"/>
      <c r="DIX159" s="153"/>
      <c r="DIY159" s="153"/>
      <c r="DIZ159" s="153"/>
      <c r="DJA159" s="153"/>
      <c r="DJB159" s="153"/>
      <c r="DJC159" s="153"/>
      <c r="DJD159" s="153"/>
      <c r="DJE159" s="153"/>
      <c r="DJF159" s="153"/>
      <c r="DJG159" s="153"/>
      <c r="DJH159" s="153"/>
      <c r="DJI159" s="153"/>
      <c r="DJJ159" s="153"/>
      <c r="DJK159" s="153"/>
      <c r="DJL159" s="153"/>
      <c r="DJM159" s="153"/>
      <c r="DJN159" s="153"/>
      <c r="DJO159" s="153"/>
      <c r="DJP159" s="153"/>
      <c r="DJQ159" s="153"/>
      <c r="DJR159" s="153"/>
      <c r="DJS159" s="153"/>
      <c r="DJT159" s="153"/>
      <c r="DJU159" s="153"/>
      <c r="DJV159" s="153"/>
      <c r="DJW159" s="153"/>
      <c r="DJX159" s="153"/>
      <c r="DJY159" s="153"/>
      <c r="DJZ159" s="153"/>
      <c r="DKA159" s="153"/>
      <c r="DKB159" s="153"/>
      <c r="DKC159" s="153"/>
      <c r="DKD159" s="153"/>
      <c r="DKE159" s="153"/>
      <c r="DKF159" s="153"/>
      <c r="DKG159" s="153"/>
      <c r="DKH159" s="153"/>
      <c r="DKI159" s="153"/>
      <c r="DKJ159" s="153"/>
      <c r="DKK159" s="153"/>
      <c r="DKL159" s="153"/>
      <c r="DKM159" s="153"/>
      <c r="DKN159" s="153"/>
      <c r="DKO159" s="153"/>
      <c r="DKP159" s="153"/>
      <c r="DKQ159" s="153"/>
      <c r="DKR159" s="153"/>
      <c r="DKS159" s="153"/>
      <c r="DKT159" s="153"/>
      <c r="DKU159" s="153"/>
      <c r="DKV159" s="153"/>
      <c r="DKW159" s="153"/>
      <c r="DKX159" s="153"/>
      <c r="DKY159" s="153"/>
      <c r="DKZ159" s="153"/>
      <c r="DLA159" s="153"/>
      <c r="DLB159" s="153"/>
      <c r="DLC159" s="153"/>
      <c r="DLD159" s="153"/>
      <c r="DLE159" s="153"/>
      <c r="DLF159" s="153"/>
      <c r="DLG159" s="153"/>
      <c r="DLH159" s="153"/>
      <c r="DLI159" s="153"/>
      <c r="DLJ159" s="153"/>
      <c r="DLK159" s="153"/>
      <c r="DLL159" s="153"/>
      <c r="DLM159" s="153"/>
      <c r="DLN159" s="153"/>
      <c r="DLO159" s="153"/>
      <c r="DLP159" s="153"/>
      <c r="DLQ159" s="153"/>
      <c r="DLR159" s="153"/>
      <c r="DLS159" s="153"/>
      <c r="DLT159" s="153"/>
      <c r="DLU159" s="153"/>
      <c r="DLV159" s="153"/>
      <c r="DLW159" s="153"/>
      <c r="DLX159" s="153"/>
      <c r="DLY159" s="153"/>
      <c r="DLZ159" s="153"/>
      <c r="DMA159" s="153"/>
      <c r="DMB159" s="153"/>
      <c r="DMC159" s="153"/>
      <c r="DMD159" s="153"/>
      <c r="DME159" s="153"/>
      <c r="DMF159" s="153"/>
      <c r="DMG159" s="153"/>
      <c r="DMH159" s="153"/>
      <c r="DMI159" s="153"/>
      <c r="DMJ159" s="153"/>
      <c r="DMK159" s="153"/>
      <c r="DML159" s="153"/>
      <c r="DMM159" s="153"/>
      <c r="DMN159" s="153"/>
      <c r="DMO159" s="153"/>
      <c r="DMP159" s="153"/>
      <c r="DMQ159" s="153"/>
      <c r="DMR159" s="153"/>
      <c r="DMS159" s="153"/>
      <c r="DMT159" s="153"/>
      <c r="DMU159" s="153"/>
      <c r="DMV159" s="153"/>
      <c r="DMW159" s="153"/>
      <c r="DMX159" s="153"/>
      <c r="DMY159" s="153"/>
      <c r="DMZ159" s="153"/>
      <c r="DNA159" s="153"/>
      <c r="DNB159" s="153"/>
      <c r="DNC159" s="153"/>
      <c r="DND159" s="153"/>
      <c r="DNE159" s="153"/>
      <c r="DNF159" s="153"/>
      <c r="DNG159" s="153"/>
      <c r="DNH159" s="153"/>
      <c r="DNI159" s="153"/>
      <c r="DNJ159" s="153"/>
      <c r="DNK159" s="153"/>
      <c r="DNL159" s="153"/>
      <c r="DNM159" s="153"/>
      <c r="DNN159" s="153"/>
      <c r="DNO159" s="153"/>
      <c r="DNP159" s="153"/>
      <c r="DNQ159" s="153"/>
      <c r="DNR159" s="153"/>
      <c r="DNS159" s="153"/>
      <c r="DNT159" s="153"/>
      <c r="DNU159" s="153"/>
      <c r="DNV159" s="153"/>
      <c r="DNW159" s="153"/>
      <c r="DNX159" s="153"/>
      <c r="DNY159" s="153"/>
      <c r="DNZ159" s="153"/>
      <c r="DOA159" s="153"/>
      <c r="DOB159" s="153"/>
      <c r="DOC159" s="153"/>
      <c r="DOD159" s="153"/>
      <c r="DOE159" s="153"/>
      <c r="DOF159" s="153"/>
      <c r="DOG159" s="153"/>
      <c r="DOH159" s="153"/>
      <c r="DOI159" s="153"/>
      <c r="DOJ159" s="153"/>
      <c r="DOK159" s="153"/>
      <c r="DOL159" s="153"/>
      <c r="DOM159" s="153"/>
      <c r="DON159" s="153"/>
      <c r="DOO159" s="153"/>
      <c r="DOP159" s="153"/>
      <c r="DOQ159" s="153"/>
      <c r="DOR159" s="153"/>
      <c r="DOS159" s="153"/>
      <c r="DOT159" s="153"/>
      <c r="DOU159" s="153"/>
      <c r="DOV159" s="153"/>
      <c r="DOW159" s="153"/>
      <c r="DOX159" s="153"/>
      <c r="DOY159" s="153"/>
      <c r="DOZ159" s="153"/>
      <c r="DPA159" s="153"/>
      <c r="DPB159" s="153"/>
      <c r="DPC159" s="153"/>
      <c r="DPD159" s="153"/>
      <c r="DPE159" s="153"/>
      <c r="DPF159" s="153"/>
      <c r="DPG159" s="153"/>
      <c r="DPH159" s="153"/>
      <c r="DPI159" s="153"/>
      <c r="DPJ159" s="153"/>
      <c r="DPK159" s="153"/>
      <c r="DPL159" s="153"/>
      <c r="DPM159" s="153"/>
      <c r="DPN159" s="153"/>
      <c r="DPO159" s="153"/>
      <c r="DPP159" s="153"/>
      <c r="DPQ159" s="153"/>
      <c r="DPR159" s="153"/>
      <c r="DPS159" s="153"/>
      <c r="DPT159" s="153"/>
      <c r="DPU159" s="153"/>
      <c r="DPV159" s="153"/>
      <c r="DPW159" s="153"/>
      <c r="DPX159" s="153"/>
      <c r="DPY159" s="153"/>
      <c r="DPZ159" s="153"/>
      <c r="DQA159" s="153"/>
      <c r="DQB159" s="153"/>
      <c r="DQC159" s="153"/>
      <c r="DQD159" s="153"/>
      <c r="DQE159" s="153"/>
      <c r="DQF159" s="153"/>
      <c r="DQG159" s="153"/>
      <c r="DQH159" s="153"/>
      <c r="DQI159" s="153"/>
      <c r="DQJ159" s="153"/>
      <c r="DQK159" s="153"/>
      <c r="DQL159" s="153"/>
      <c r="DQM159" s="153"/>
      <c r="DQN159" s="153"/>
      <c r="DQO159" s="153"/>
      <c r="DQP159" s="153"/>
      <c r="DQQ159" s="153"/>
      <c r="DQR159" s="153"/>
      <c r="DQS159" s="153"/>
      <c r="DQT159" s="153"/>
      <c r="DQU159" s="153"/>
      <c r="DQV159" s="153"/>
      <c r="DQW159" s="153"/>
      <c r="DQX159" s="153"/>
      <c r="DQY159" s="153"/>
      <c r="DQZ159" s="153"/>
      <c r="DRA159" s="153"/>
      <c r="DRB159" s="153"/>
      <c r="DRC159" s="153"/>
      <c r="DRD159" s="153"/>
      <c r="DRE159" s="153"/>
      <c r="DRF159" s="153"/>
      <c r="DRG159" s="153"/>
      <c r="DRH159" s="153"/>
      <c r="DRI159" s="153"/>
      <c r="DRJ159" s="153"/>
      <c r="DRK159" s="153"/>
      <c r="DRL159" s="153"/>
      <c r="DRM159" s="153"/>
      <c r="DRN159" s="153"/>
      <c r="DRO159" s="153"/>
      <c r="DRP159" s="153"/>
      <c r="DRQ159" s="153"/>
      <c r="DRR159" s="153"/>
      <c r="DRS159" s="153"/>
      <c r="DRT159" s="153"/>
      <c r="DRU159" s="153"/>
      <c r="DRV159" s="153"/>
      <c r="DRW159" s="153"/>
      <c r="DRX159" s="153"/>
      <c r="DRY159" s="153"/>
      <c r="DRZ159" s="153"/>
      <c r="DSA159" s="153"/>
      <c r="DSB159" s="153"/>
      <c r="DSC159" s="153"/>
      <c r="DSD159" s="153"/>
      <c r="DSE159" s="153"/>
      <c r="DSF159" s="153"/>
      <c r="DSG159" s="153"/>
      <c r="DSH159" s="153"/>
      <c r="DSI159" s="153"/>
      <c r="DSJ159" s="153"/>
      <c r="DSK159" s="153"/>
      <c r="DSL159" s="153"/>
      <c r="DSM159" s="153"/>
      <c r="DSN159" s="153"/>
      <c r="DSO159" s="153"/>
      <c r="DSP159" s="153"/>
      <c r="DSQ159" s="153"/>
      <c r="DSR159" s="153"/>
      <c r="DSS159" s="153"/>
      <c r="DST159" s="153"/>
      <c r="DSU159" s="153"/>
      <c r="DSV159" s="153"/>
      <c r="DSW159" s="153"/>
      <c r="DSX159" s="153"/>
      <c r="DSY159" s="153"/>
      <c r="DSZ159" s="153"/>
      <c r="DTA159" s="153"/>
      <c r="DTB159" s="153"/>
      <c r="DTC159" s="153"/>
      <c r="DTD159" s="153"/>
      <c r="DTE159" s="153"/>
      <c r="DTF159" s="153"/>
      <c r="DTG159" s="153"/>
      <c r="DTH159" s="153"/>
      <c r="DTI159" s="153"/>
      <c r="DTJ159" s="153"/>
      <c r="DTK159" s="153"/>
      <c r="DTL159" s="153"/>
      <c r="DTM159" s="153"/>
      <c r="DTN159" s="153"/>
      <c r="DTO159" s="153"/>
      <c r="DTP159" s="153"/>
      <c r="DTQ159" s="153"/>
      <c r="DTR159" s="153"/>
      <c r="DTS159" s="153"/>
      <c r="DTT159" s="153"/>
      <c r="DTU159" s="153"/>
      <c r="DTV159" s="153"/>
      <c r="DTW159" s="153"/>
      <c r="DTX159" s="153"/>
      <c r="DTY159" s="153"/>
      <c r="DTZ159" s="153"/>
      <c r="DUA159" s="153"/>
      <c r="DUB159" s="153"/>
      <c r="DUC159" s="153"/>
      <c r="DUD159" s="153"/>
      <c r="DUE159" s="153"/>
      <c r="DUF159" s="153"/>
      <c r="DUG159" s="153"/>
      <c r="DUH159" s="153"/>
      <c r="DUI159" s="153"/>
      <c r="DUJ159" s="153"/>
      <c r="DUK159" s="153"/>
      <c r="DUL159" s="153"/>
      <c r="DUM159" s="153"/>
      <c r="DUN159" s="153"/>
      <c r="DUO159" s="153"/>
      <c r="DUP159" s="153"/>
      <c r="DUQ159" s="153"/>
      <c r="DUR159" s="153"/>
      <c r="DUS159" s="153"/>
      <c r="DUT159" s="153"/>
      <c r="DUU159" s="153"/>
      <c r="DUV159" s="153"/>
      <c r="DUW159" s="153"/>
      <c r="DUX159" s="153"/>
      <c r="DUY159" s="153"/>
      <c r="DUZ159" s="153"/>
      <c r="DVA159" s="153"/>
      <c r="DVB159" s="153"/>
      <c r="DVC159" s="153"/>
      <c r="DVD159" s="153"/>
      <c r="DVE159" s="153"/>
      <c r="DVF159" s="153"/>
      <c r="DVG159" s="153"/>
      <c r="DVH159" s="153"/>
      <c r="DVI159" s="153"/>
      <c r="DVJ159" s="153"/>
      <c r="DVK159" s="153"/>
      <c r="DVL159" s="153"/>
      <c r="DVM159" s="153"/>
      <c r="DVN159" s="153"/>
      <c r="DVO159" s="153"/>
      <c r="DVP159" s="153"/>
      <c r="DVQ159" s="153"/>
      <c r="DVR159" s="153"/>
      <c r="DVS159" s="153"/>
      <c r="DVT159" s="153"/>
      <c r="DVU159" s="153"/>
      <c r="DVV159" s="153"/>
      <c r="DVW159" s="153"/>
      <c r="DVX159" s="153"/>
      <c r="DVY159" s="153"/>
      <c r="DVZ159" s="153"/>
      <c r="DWA159" s="153"/>
      <c r="DWB159" s="153"/>
      <c r="DWC159" s="153"/>
      <c r="DWD159" s="153"/>
      <c r="DWE159" s="153"/>
      <c r="DWF159" s="153"/>
      <c r="DWG159" s="153"/>
      <c r="DWH159" s="153"/>
      <c r="DWI159" s="153"/>
      <c r="DWJ159" s="153"/>
      <c r="DWK159" s="153"/>
      <c r="DWL159" s="153"/>
      <c r="DWM159" s="153"/>
      <c r="DWN159" s="153"/>
      <c r="DWO159" s="153"/>
      <c r="DWP159" s="153"/>
      <c r="DWQ159" s="153"/>
      <c r="DWR159" s="153"/>
      <c r="DWS159" s="153"/>
      <c r="DWT159" s="153"/>
      <c r="DWU159" s="153"/>
      <c r="DWV159" s="153"/>
      <c r="DWW159" s="153"/>
      <c r="DWX159" s="153"/>
      <c r="DWY159" s="153"/>
      <c r="DWZ159" s="153"/>
      <c r="DXA159" s="153"/>
      <c r="DXB159" s="153"/>
      <c r="DXC159" s="153"/>
      <c r="DXD159" s="153"/>
      <c r="DXE159" s="153"/>
      <c r="DXF159" s="153"/>
      <c r="DXG159" s="153"/>
      <c r="DXH159" s="153"/>
      <c r="DXI159" s="153"/>
      <c r="DXJ159" s="153"/>
      <c r="DXK159" s="153"/>
      <c r="DXL159" s="153"/>
      <c r="DXM159" s="153"/>
      <c r="DXN159" s="153"/>
      <c r="DXO159" s="153"/>
      <c r="DXP159" s="153"/>
      <c r="DXQ159" s="153"/>
      <c r="DXR159" s="153"/>
      <c r="DXS159" s="153"/>
      <c r="DXT159" s="153"/>
      <c r="DXU159" s="153"/>
      <c r="DXV159" s="153"/>
      <c r="DXW159" s="153"/>
      <c r="DXX159" s="153"/>
      <c r="DXY159" s="153"/>
      <c r="DXZ159" s="153"/>
      <c r="DYA159" s="153"/>
      <c r="DYB159" s="153"/>
      <c r="DYC159" s="153"/>
      <c r="DYD159" s="153"/>
      <c r="DYE159" s="153"/>
      <c r="DYF159" s="153"/>
      <c r="DYG159" s="153"/>
      <c r="DYH159" s="153"/>
      <c r="DYI159" s="153"/>
      <c r="DYJ159" s="153"/>
      <c r="DYK159" s="153"/>
      <c r="DYL159" s="153"/>
      <c r="DYM159" s="153"/>
      <c r="DYN159" s="153"/>
      <c r="DYO159" s="153"/>
      <c r="DYP159" s="153"/>
      <c r="DYQ159" s="153"/>
      <c r="DYR159" s="153"/>
      <c r="DYS159" s="153"/>
      <c r="DYT159" s="153"/>
      <c r="DYU159" s="153"/>
      <c r="DYV159" s="153"/>
      <c r="DYW159" s="153"/>
      <c r="DYX159" s="153"/>
      <c r="DYY159" s="153"/>
      <c r="DYZ159" s="153"/>
      <c r="DZA159" s="153"/>
      <c r="DZB159" s="153"/>
      <c r="DZC159" s="153"/>
      <c r="DZD159" s="153"/>
      <c r="DZE159" s="153"/>
      <c r="DZF159" s="153"/>
      <c r="DZG159" s="153"/>
      <c r="DZH159" s="153"/>
      <c r="DZI159" s="153"/>
      <c r="DZJ159" s="153"/>
      <c r="DZK159" s="153"/>
      <c r="DZL159" s="153"/>
      <c r="DZM159" s="153"/>
      <c r="DZN159" s="153"/>
      <c r="DZO159" s="153"/>
      <c r="DZP159" s="153"/>
      <c r="DZQ159" s="153"/>
      <c r="DZR159" s="153"/>
      <c r="DZS159" s="153"/>
      <c r="DZT159" s="153"/>
      <c r="DZU159" s="153"/>
      <c r="DZV159" s="153"/>
      <c r="DZW159" s="153"/>
      <c r="DZX159" s="153"/>
      <c r="DZY159" s="153"/>
      <c r="DZZ159" s="153"/>
      <c r="EAA159" s="153"/>
      <c r="EAB159" s="153"/>
      <c r="EAC159" s="153"/>
      <c r="EAD159" s="153"/>
      <c r="EAE159" s="153"/>
      <c r="EAF159" s="153"/>
      <c r="EAG159" s="153"/>
      <c r="EAH159" s="153"/>
      <c r="EAI159" s="153"/>
      <c r="EAJ159" s="153"/>
      <c r="EAK159" s="153"/>
      <c r="EAL159" s="153"/>
      <c r="EAM159" s="153"/>
      <c r="EAN159" s="153"/>
      <c r="EAO159" s="153"/>
      <c r="EAP159" s="153"/>
      <c r="EAQ159" s="153"/>
      <c r="EAR159" s="153"/>
      <c r="EAS159" s="153"/>
      <c r="EAT159" s="153"/>
      <c r="EAU159" s="153"/>
      <c r="EAV159" s="153"/>
      <c r="EAW159" s="153"/>
      <c r="EAX159" s="153"/>
      <c r="EAY159" s="153"/>
      <c r="EAZ159" s="153"/>
      <c r="EBA159" s="153"/>
      <c r="EBB159" s="153"/>
      <c r="EBC159" s="153"/>
      <c r="EBD159" s="153"/>
      <c r="EBE159" s="153"/>
      <c r="EBF159" s="153"/>
      <c r="EBG159" s="153"/>
      <c r="EBH159" s="153"/>
      <c r="EBI159" s="153"/>
      <c r="EBJ159" s="153"/>
      <c r="EBK159" s="153"/>
      <c r="EBL159" s="153"/>
      <c r="EBM159" s="153"/>
      <c r="EBN159" s="153"/>
      <c r="EBO159" s="153"/>
      <c r="EBP159" s="153"/>
      <c r="EBQ159" s="153"/>
      <c r="EBR159" s="153"/>
      <c r="EBS159" s="153"/>
      <c r="EBT159" s="153"/>
      <c r="EBU159" s="153"/>
      <c r="EBV159" s="153"/>
      <c r="EBW159" s="153"/>
      <c r="EBX159" s="153"/>
      <c r="EBY159" s="153"/>
      <c r="EBZ159" s="153"/>
      <c r="ECA159" s="153"/>
      <c r="ECB159" s="153"/>
      <c r="ECC159" s="153"/>
      <c r="ECD159" s="153"/>
      <c r="ECE159" s="153"/>
      <c r="ECF159" s="153"/>
      <c r="ECG159" s="153"/>
      <c r="ECH159" s="153"/>
      <c r="ECI159" s="153"/>
      <c r="ECJ159" s="153"/>
      <c r="ECK159" s="153"/>
      <c r="ECL159" s="153"/>
      <c r="ECM159" s="153"/>
      <c r="ECN159" s="153"/>
      <c r="ECO159" s="153"/>
      <c r="ECP159" s="153"/>
      <c r="ECQ159" s="153"/>
      <c r="ECR159" s="153"/>
      <c r="ECS159" s="153"/>
      <c r="ECT159" s="153"/>
      <c r="ECU159" s="153"/>
      <c r="ECV159" s="153"/>
      <c r="ECW159" s="153"/>
      <c r="ECX159" s="153"/>
      <c r="ECY159" s="153"/>
      <c r="ECZ159" s="153"/>
      <c r="EDA159" s="153"/>
      <c r="EDB159" s="153"/>
      <c r="EDC159" s="153"/>
      <c r="EDD159" s="153"/>
      <c r="EDE159" s="153"/>
      <c r="EDF159" s="153"/>
      <c r="EDG159" s="153"/>
      <c r="EDH159" s="153"/>
      <c r="EDI159" s="153"/>
      <c r="EDJ159" s="153"/>
      <c r="EDK159" s="153"/>
      <c r="EDL159" s="153"/>
      <c r="EDM159" s="153"/>
      <c r="EDN159" s="153"/>
      <c r="EDO159" s="153"/>
      <c r="EDP159" s="153"/>
      <c r="EDQ159" s="153"/>
      <c r="EDR159" s="153"/>
      <c r="EDS159" s="153"/>
      <c r="EDT159" s="153"/>
      <c r="EDU159" s="153"/>
      <c r="EDV159" s="153"/>
      <c r="EDW159" s="153"/>
      <c r="EDX159" s="153"/>
      <c r="EDY159" s="153"/>
      <c r="EDZ159" s="153"/>
      <c r="EEA159" s="153"/>
      <c r="EEB159" s="153"/>
      <c r="EEC159" s="153"/>
      <c r="EED159" s="153"/>
      <c r="EEE159" s="153"/>
      <c r="EEF159" s="153"/>
      <c r="EEG159" s="153"/>
      <c r="EEH159" s="153"/>
      <c r="EEI159" s="153"/>
      <c r="EEJ159" s="153"/>
      <c r="EEK159" s="153"/>
      <c r="EEL159" s="153"/>
      <c r="EEM159" s="153"/>
      <c r="EEN159" s="153"/>
      <c r="EEO159" s="153"/>
      <c r="EEP159" s="153"/>
      <c r="EEQ159" s="153"/>
      <c r="EER159" s="153"/>
      <c r="EES159" s="153"/>
      <c r="EET159" s="153"/>
      <c r="EEU159" s="153"/>
      <c r="EEV159" s="153"/>
      <c r="EEW159" s="153"/>
      <c r="EEX159" s="153"/>
      <c r="EEY159" s="153"/>
      <c r="EEZ159" s="153"/>
      <c r="EFA159" s="153"/>
      <c r="EFB159" s="153"/>
      <c r="EFC159" s="153"/>
      <c r="EFD159" s="153"/>
      <c r="EFE159" s="153"/>
      <c r="EFF159" s="153"/>
      <c r="EFG159" s="153"/>
      <c r="EFH159" s="153"/>
      <c r="EFI159" s="153"/>
      <c r="EFJ159" s="153"/>
      <c r="EFK159" s="153"/>
      <c r="EFL159" s="153"/>
      <c r="EFM159" s="153"/>
      <c r="EFN159" s="153"/>
      <c r="EFO159" s="153"/>
      <c r="EFP159" s="153"/>
      <c r="EFQ159" s="153"/>
      <c r="EFR159" s="153"/>
      <c r="EFS159" s="153"/>
      <c r="EFT159" s="153"/>
      <c r="EFU159" s="153"/>
      <c r="EFV159" s="153"/>
      <c r="EFW159" s="153"/>
      <c r="EFX159" s="153"/>
      <c r="EFY159" s="153"/>
      <c r="EFZ159" s="153"/>
      <c r="EGA159" s="153"/>
      <c r="EGB159" s="153"/>
      <c r="EGC159" s="153"/>
      <c r="EGD159" s="153"/>
      <c r="EGE159" s="153"/>
      <c r="EGF159" s="153"/>
      <c r="EGG159" s="153"/>
      <c r="EGH159" s="153"/>
      <c r="EGI159" s="153"/>
      <c r="EGJ159" s="153"/>
      <c r="EGK159" s="153"/>
      <c r="EGL159" s="153"/>
      <c r="EGM159" s="153"/>
      <c r="EGN159" s="153"/>
      <c r="EGO159" s="153"/>
      <c r="EGP159" s="153"/>
      <c r="EGQ159" s="153"/>
      <c r="EGR159" s="153"/>
      <c r="EGS159" s="153"/>
      <c r="EGT159" s="153"/>
      <c r="EGU159" s="153"/>
      <c r="EGV159" s="153"/>
      <c r="EGW159" s="153"/>
      <c r="EGX159" s="153"/>
      <c r="EGY159" s="153"/>
      <c r="EGZ159" s="153"/>
      <c r="EHA159" s="153"/>
      <c r="EHB159" s="153"/>
      <c r="EHC159" s="153"/>
      <c r="EHD159" s="153"/>
      <c r="EHE159" s="153"/>
      <c r="EHF159" s="153"/>
      <c r="EHG159" s="153"/>
      <c r="EHH159" s="153"/>
      <c r="EHI159" s="153"/>
      <c r="EHJ159" s="153"/>
      <c r="EHK159" s="153"/>
      <c r="EHL159" s="153"/>
      <c r="EHM159" s="153"/>
      <c r="EHN159" s="153"/>
      <c r="EHO159" s="153"/>
      <c r="EHP159" s="153"/>
      <c r="EHQ159" s="153"/>
      <c r="EHR159" s="153"/>
      <c r="EHS159" s="153"/>
      <c r="EHT159" s="153"/>
      <c r="EHU159" s="153"/>
      <c r="EHV159" s="153"/>
      <c r="EHW159" s="153"/>
      <c r="EHX159" s="153"/>
      <c r="EHY159" s="153"/>
      <c r="EHZ159" s="153"/>
      <c r="EIA159" s="153"/>
      <c r="EIB159" s="153"/>
      <c r="EIC159" s="153"/>
      <c r="EID159" s="153"/>
      <c r="EIE159" s="153"/>
      <c r="EIF159" s="153"/>
      <c r="EIG159" s="153"/>
      <c r="EIH159" s="153"/>
      <c r="EII159" s="153"/>
      <c r="EIJ159" s="153"/>
      <c r="EIK159" s="153"/>
      <c r="EIL159" s="153"/>
      <c r="EIM159" s="153"/>
      <c r="EIN159" s="153"/>
      <c r="EIO159" s="153"/>
      <c r="EIP159" s="153"/>
      <c r="EIQ159" s="153"/>
      <c r="EIR159" s="153"/>
      <c r="EIS159" s="153"/>
      <c r="EIT159" s="153"/>
      <c r="EIU159" s="153"/>
      <c r="EIV159" s="153"/>
      <c r="EIW159" s="153"/>
      <c r="EIX159" s="153"/>
      <c r="EIY159" s="153"/>
      <c r="EIZ159" s="153"/>
      <c r="EJA159" s="153"/>
      <c r="EJB159" s="153"/>
      <c r="EJC159" s="153"/>
      <c r="EJD159" s="153"/>
      <c r="EJE159" s="153"/>
      <c r="EJF159" s="153"/>
      <c r="EJG159" s="153"/>
      <c r="EJH159" s="153"/>
      <c r="EJI159" s="153"/>
      <c r="EJJ159" s="153"/>
      <c r="EJK159" s="153"/>
      <c r="EJL159" s="153"/>
      <c r="EJM159" s="153"/>
      <c r="EJN159" s="153"/>
      <c r="EJO159" s="153"/>
      <c r="EJP159" s="153"/>
      <c r="EJQ159" s="153"/>
      <c r="EJR159" s="153"/>
      <c r="EJS159" s="153"/>
      <c r="EJT159" s="153"/>
      <c r="EJU159" s="153"/>
      <c r="EJV159" s="153"/>
      <c r="EJW159" s="153"/>
      <c r="EJX159" s="153"/>
      <c r="EJY159" s="153"/>
      <c r="EJZ159" s="153"/>
      <c r="EKA159" s="153"/>
      <c r="EKB159" s="153"/>
      <c r="EKC159" s="153"/>
      <c r="EKD159" s="153"/>
      <c r="EKE159" s="153"/>
      <c r="EKF159" s="153"/>
      <c r="EKG159" s="153"/>
      <c r="EKH159" s="153"/>
      <c r="EKI159" s="153"/>
      <c r="EKJ159" s="153"/>
      <c r="EKK159" s="153"/>
      <c r="EKL159" s="153"/>
      <c r="EKM159" s="153"/>
      <c r="EKN159" s="153"/>
      <c r="EKO159" s="153"/>
      <c r="EKP159" s="153"/>
      <c r="EKQ159" s="153"/>
      <c r="EKR159" s="153"/>
      <c r="EKS159" s="153"/>
      <c r="EKT159" s="153"/>
      <c r="EKU159" s="153"/>
      <c r="EKV159" s="153"/>
      <c r="EKW159" s="153"/>
      <c r="EKX159" s="153"/>
      <c r="EKY159" s="153"/>
      <c r="EKZ159" s="153"/>
      <c r="ELA159" s="153"/>
      <c r="ELB159" s="153"/>
      <c r="ELC159" s="153"/>
      <c r="ELD159" s="153"/>
      <c r="ELE159" s="153"/>
      <c r="ELF159" s="153"/>
      <c r="ELG159" s="153"/>
      <c r="ELH159" s="153"/>
      <c r="ELI159" s="153"/>
      <c r="ELJ159" s="153"/>
      <c r="ELK159" s="153"/>
      <c r="ELL159" s="153"/>
      <c r="ELM159" s="153"/>
      <c r="ELN159" s="153"/>
      <c r="ELO159" s="153"/>
      <c r="ELP159" s="153"/>
      <c r="ELQ159" s="153"/>
      <c r="ELR159" s="153"/>
      <c r="ELS159" s="153"/>
      <c r="ELT159" s="153"/>
      <c r="ELU159" s="153"/>
      <c r="ELV159" s="153"/>
      <c r="ELW159" s="153"/>
      <c r="ELX159" s="153"/>
      <c r="ELY159" s="153"/>
      <c r="ELZ159" s="153"/>
      <c r="EMA159" s="153"/>
      <c r="EMB159" s="153"/>
      <c r="EMC159" s="153"/>
      <c r="EMD159" s="153"/>
      <c r="EME159" s="153"/>
      <c r="EMF159" s="153"/>
      <c r="EMG159" s="153"/>
      <c r="EMH159" s="153"/>
      <c r="EMI159" s="153"/>
      <c r="EMJ159" s="153"/>
      <c r="EMK159" s="153"/>
      <c r="EML159" s="153"/>
      <c r="EMM159" s="153"/>
      <c r="EMN159" s="153"/>
      <c r="EMO159" s="153"/>
      <c r="EMP159" s="153"/>
      <c r="EMQ159" s="153"/>
      <c r="EMR159" s="153"/>
      <c r="EMS159" s="153"/>
      <c r="EMT159" s="153"/>
      <c r="EMU159" s="153"/>
      <c r="EMV159" s="153"/>
      <c r="EMW159" s="153"/>
      <c r="EMX159" s="153"/>
      <c r="EMY159" s="153"/>
      <c r="EMZ159" s="153"/>
      <c r="ENA159" s="153"/>
      <c r="ENB159" s="153"/>
      <c r="ENC159" s="153"/>
      <c r="END159" s="153"/>
      <c r="ENE159" s="153"/>
      <c r="ENF159" s="153"/>
      <c r="ENG159" s="153"/>
      <c r="ENH159" s="153"/>
      <c r="ENI159" s="153"/>
      <c r="ENJ159" s="153"/>
      <c r="ENK159" s="153"/>
      <c r="ENL159" s="153"/>
      <c r="ENM159" s="153"/>
      <c r="ENN159" s="153"/>
      <c r="ENO159" s="153"/>
      <c r="ENP159" s="153"/>
      <c r="ENQ159" s="153"/>
      <c r="ENR159" s="153"/>
      <c r="ENS159" s="153"/>
      <c r="ENT159" s="153"/>
      <c r="ENU159" s="153"/>
      <c r="ENV159" s="153"/>
      <c r="ENW159" s="153"/>
      <c r="ENX159" s="153"/>
      <c r="ENY159" s="153"/>
      <c r="ENZ159" s="153"/>
      <c r="EOA159" s="153"/>
      <c r="EOB159" s="153"/>
      <c r="EOC159" s="153"/>
      <c r="EOD159" s="153"/>
      <c r="EOE159" s="153"/>
      <c r="EOF159" s="153"/>
      <c r="EOG159" s="153"/>
      <c r="EOH159" s="153"/>
      <c r="EOI159" s="153"/>
      <c r="EOJ159" s="153"/>
      <c r="EOK159" s="153"/>
      <c r="EOL159" s="153"/>
      <c r="EOM159" s="153"/>
      <c r="EON159" s="153"/>
      <c r="EOO159" s="153"/>
      <c r="EOP159" s="153"/>
      <c r="EOQ159" s="153"/>
      <c r="EOR159" s="153"/>
      <c r="EOS159" s="153"/>
      <c r="EOT159" s="153"/>
      <c r="EOU159" s="153"/>
      <c r="EOV159" s="153"/>
      <c r="EOW159" s="153"/>
      <c r="EOX159" s="153"/>
      <c r="EOY159" s="153"/>
      <c r="EOZ159" s="153"/>
      <c r="EPA159" s="153"/>
      <c r="EPB159" s="153"/>
      <c r="EPC159" s="153"/>
      <c r="EPD159" s="153"/>
      <c r="EPE159" s="153"/>
      <c r="EPF159" s="153"/>
      <c r="EPG159" s="153"/>
      <c r="EPH159" s="153"/>
      <c r="EPI159" s="153"/>
      <c r="EPJ159" s="153"/>
      <c r="EPK159" s="153"/>
      <c r="EPL159" s="153"/>
      <c r="EPM159" s="153"/>
      <c r="EPN159" s="153"/>
      <c r="EPO159" s="153"/>
      <c r="EPP159" s="153"/>
      <c r="EPQ159" s="153"/>
      <c r="EPR159" s="153"/>
      <c r="EPS159" s="153"/>
      <c r="EPT159" s="153"/>
      <c r="EPU159" s="153"/>
      <c r="EPV159" s="153"/>
      <c r="EPW159" s="153"/>
      <c r="EPX159" s="153"/>
      <c r="EPY159" s="153"/>
      <c r="EPZ159" s="153"/>
      <c r="EQA159" s="153"/>
      <c r="EQB159" s="153"/>
      <c r="EQC159" s="153"/>
      <c r="EQD159" s="153"/>
      <c r="EQE159" s="153"/>
      <c r="EQF159" s="153"/>
      <c r="EQG159" s="153"/>
      <c r="EQH159" s="153"/>
      <c r="EQI159" s="153"/>
      <c r="EQJ159" s="153"/>
      <c r="EQK159" s="153"/>
      <c r="EQL159" s="153"/>
      <c r="EQM159" s="153"/>
      <c r="EQN159" s="153"/>
      <c r="EQO159" s="153"/>
      <c r="EQP159" s="153"/>
      <c r="EQQ159" s="153"/>
      <c r="EQR159" s="153"/>
      <c r="EQS159" s="153"/>
      <c r="EQT159" s="153"/>
      <c r="EQU159" s="153"/>
      <c r="EQV159" s="153"/>
      <c r="EQW159" s="153"/>
      <c r="EQX159" s="153"/>
      <c r="EQY159" s="153"/>
      <c r="EQZ159" s="153"/>
      <c r="ERA159" s="153"/>
      <c r="ERB159" s="153"/>
      <c r="ERC159" s="153"/>
      <c r="ERD159" s="153"/>
      <c r="ERE159" s="153"/>
      <c r="ERF159" s="153"/>
      <c r="ERG159" s="153"/>
      <c r="ERH159" s="153"/>
      <c r="ERI159" s="153"/>
      <c r="ERJ159" s="153"/>
      <c r="ERK159" s="153"/>
      <c r="ERL159" s="153"/>
      <c r="ERM159" s="153"/>
      <c r="ERN159" s="153"/>
      <c r="ERO159" s="153"/>
      <c r="ERP159" s="153"/>
      <c r="ERQ159" s="153"/>
      <c r="ERR159" s="153"/>
      <c r="ERS159" s="153"/>
      <c r="ERT159" s="153"/>
      <c r="ERU159" s="153"/>
      <c r="ERV159" s="153"/>
      <c r="ERW159" s="153"/>
      <c r="ERX159" s="153"/>
      <c r="ERY159" s="153"/>
      <c r="ERZ159" s="153"/>
      <c r="ESA159" s="153"/>
      <c r="ESB159" s="153"/>
      <c r="ESC159" s="153"/>
      <c r="ESD159" s="153"/>
      <c r="ESE159" s="153"/>
      <c r="ESF159" s="153"/>
      <c r="ESG159" s="153"/>
      <c r="ESH159" s="153"/>
      <c r="ESI159" s="153"/>
      <c r="ESJ159" s="153"/>
      <c r="ESK159" s="153"/>
      <c r="ESL159" s="153"/>
      <c r="ESM159" s="153"/>
      <c r="ESN159" s="153"/>
      <c r="ESO159" s="153"/>
      <c r="ESP159" s="153"/>
      <c r="ESQ159" s="153"/>
      <c r="ESR159" s="153"/>
      <c r="ESS159" s="153"/>
      <c r="EST159" s="153"/>
      <c r="ESU159" s="153"/>
      <c r="ESV159" s="153"/>
      <c r="ESW159" s="153"/>
      <c r="ESX159" s="153"/>
      <c r="ESY159" s="153"/>
      <c r="ESZ159" s="153"/>
      <c r="ETA159" s="153"/>
      <c r="ETB159" s="153"/>
      <c r="ETC159" s="153"/>
      <c r="ETD159" s="153"/>
      <c r="ETE159" s="153"/>
      <c r="ETF159" s="153"/>
      <c r="ETG159" s="153"/>
      <c r="ETH159" s="153"/>
      <c r="ETI159" s="153"/>
      <c r="ETJ159" s="153"/>
      <c r="ETK159" s="153"/>
      <c r="ETL159" s="153"/>
      <c r="ETM159" s="153"/>
      <c r="ETN159" s="153"/>
      <c r="ETO159" s="153"/>
      <c r="ETP159" s="153"/>
      <c r="ETQ159" s="153"/>
      <c r="ETR159" s="153"/>
      <c r="ETS159" s="153"/>
      <c r="ETT159" s="153"/>
      <c r="ETU159" s="153"/>
      <c r="ETV159" s="153"/>
      <c r="ETW159" s="153"/>
      <c r="ETX159" s="153"/>
      <c r="ETY159" s="153"/>
      <c r="ETZ159" s="153"/>
      <c r="EUA159" s="153"/>
      <c r="EUB159" s="153"/>
      <c r="EUC159" s="153"/>
      <c r="EUD159" s="153"/>
      <c r="EUE159" s="153"/>
      <c r="EUF159" s="153"/>
      <c r="EUG159" s="153"/>
      <c r="EUH159" s="153"/>
      <c r="EUI159" s="153"/>
      <c r="EUJ159" s="153"/>
      <c r="EUK159" s="153"/>
      <c r="EUL159" s="153"/>
      <c r="EUM159" s="153"/>
      <c r="EUN159" s="153"/>
      <c r="EUO159" s="153"/>
      <c r="EUP159" s="153"/>
      <c r="EUQ159" s="153"/>
      <c r="EUR159" s="153"/>
      <c r="EUS159" s="153"/>
      <c r="EUT159" s="153"/>
      <c r="EUU159" s="153"/>
      <c r="EUV159" s="153"/>
      <c r="EUW159" s="153"/>
      <c r="EUX159" s="153"/>
      <c r="EUY159" s="153"/>
      <c r="EUZ159" s="153"/>
      <c r="EVA159" s="153"/>
      <c r="EVB159" s="153"/>
      <c r="EVC159" s="153"/>
      <c r="EVD159" s="153"/>
      <c r="EVE159" s="153"/>
      <c r="EVF159" s="153"/>
      <c r="EVG159" s="153"/>
      <c r="EVH159" s="153"/>
      <c r="EVI159" s="153"/>
      <c r="EVJ159" s="153"/>
      <c r="EVK159" s="153"/>
      <c r="EVL159" s="153"/>
      <c r="EVM159" s="153"/>
      <c r="EVN159" s="153"/>
      <c r="EVO159" s="153"/>
      <c r="EVP159" s="153"/>
      <c r="EVQ159" s="153"/>
      <c r="EVR159" s="153"/>
      <c r="EVS159" s="153"/>
      <c r="EVT159" s="153"/>
      <c r="EVU159" s="153"/>
      <c r="EVV159" s="153"/>
      <c r="EVW159" s="153"/>
      <c r="EVX159" s="153"/>
      <c r="EVY159" s="153"/>
      <c r="EVZ159" s="153"/>
      <c r="EWA159" s="153"/>
      <c r="EWB159" s="153"/>
      <c r="EWC159" s="153"/>
      <c r="EWD159" s="153"/>
      <c r="EWE159" s="153"/>
      <c r="EWF159" s="153"/>
      <c r="EWG159" s="153"/>
      <c r="EWH159" s="153"/>
      <c r="EWI159" s="153"/>
      <c r="EWJ159" s="153"/>
      <c r="EWK159" s="153"/>
      <c r="EWL159" s="153"/>
      <c r="EWM159" s="153"/>
      <c r="EWN159" s="153"/>
      <c r="EWO159" s="153"/>
      <c r="EWP159" s="153"/>
      <c r="EWQ159" s="153"/>
      <c r="EWR159" s="153"/>
      <c r="EWS159" s="153"/>
      <c r="EWT159" s="153"/>
      <c r="EWU159" s="153"/>
      <c r="EWV159" s="153"/>
      <c r="EWW159" s="153"/>
      <c r="EWX159" s="153"/>
      <c r="EWY159" s="153"/>
      <c r="EWZ159" s="153"/>
      <c r="EXA159" s="153"/>
      <c r="EXB159" s="153"/>
      <c r="EXC159" s="153"/>
      <c r="EXD159" s="153"/>
      <c r="EXE159" s="153"/>
      <c r="EXF159" s="153"/>
      <c r="EXG159" s="153"/>
      <c r="EXH159" s="153"/>
      <c r="EXI159" s="153"/>
      <c r="EXJ159" s="153"/>
      <c r="EXK159" s="153"/>
      <c r="EXL159" s="153"/>
      <c r="EXM159" s="153"/>
      <c r="EXN159" s="153"/>
      <c r="EXO159" s="153"/>
      <c r="EXP159" s="153"/>
      <c r="EXQ159" s="153"/>
      <c r="EXR159" s="153"/>
      <c r="EXS159" s="153"/>
      <c r="EXT159" s="153"/>
      <c r="EXU159" s="153"/>
      <c r="EXV159" s="153"/>
      <c r="EXW159" s="153"/>
      <c r="EXX159" s="153"/>
      <c r="EXY159" s="153"/>
      <c r="EXZ159" s="153"/>
      <c r="EYA159" s="153"/>
      <c r="EYB159" s="153"/>
      <c r="EYC159" s="153"/>
      <c r="EYD159" s="153"/>
      <c r="EYE159" s="153"/>
      <c r="EYF159" s="153"/>
      <c r="EYG159" s="153"/>
      <c r="EYH159" s="153"/>
      <c r="EYI159" s="153"/>
      <c r="EYJ159" s="153"/>
      <c r="EYK159" s="153"/>
      <c r="EYL159" s="153"/>
      <c r="EYM159" s="153"/>
      <c r="EYN159" s="153"/>
      <c r="EYO159" s="153"/>
      <c r="EYP159" s="153"/>
      <c r="EYQ159" s="153"/>
      <c r="EYR159" s="153"/>
      <c r="EYS159" s="153"/>
      <c r="EYT159" s="153"/>
      <c r="EYU159" s="153"/>
      <c r="EYV159" s="153"/>
      <c r="EYW159" s="153"/>
      <c r="EYX159" s="153"/>
      <c r="EYY159" s="153"/>
      <c r="EYZ159" s="153"/>
      <c r="EZA159" s="153"/>
      <c r="EZB159" s="153"/>
      <c r="EZC159" s="153"/>
      <c r="EZD159" s="153"/>
      <c r="EZE159" s="153"/>
      <c r="EZF159" s="153"/>
      <c r="EZG159" s="153"/>
      <c r="EZH159" s="153"/>
      <c r="EZI159" s="153"/>
      <c r="EZJ159" s="153"/>
      <c r="EZK159" s="153"/>
      <c r="EZL159" s="153"/>
      <c r="EZM159" s="153"/>
      <c r="EZN159" s="153"/>
      <c r="EZO159" s="153"/>
      <c r="EZP159" s="153"/>
      <c r="EZQ159" s="153"/>
      <c r="EZR159" s="153"/>
      <c r="EZS159" s="153"/>
      <c r="EZT159" s="153"/>
      <c r="EZU159" s="153"/>
      <c r="EZV159" s="153"/>
      <c r="EZW159" s="153"/>
      <c r="EZX159" s="153"/>
      <c r="EZY159" s="153"/>
      <c r="EZZ159" s="153"/>
      <c r="FAA159" s="153"/>
      <c r="FAB159" s="153"/>
      <c r="FAC159" s="153"/>
      <c r="FAD159" s="153"/>
      <c r="FAE159" s="153"/>
      <c r="FAF159" s="153"/>
      <c r="FAG159" s="153"/>
      <c r="FAH159" s="153"/>
      <c r="FAI159" s="153"/>
      <c r="FAJ159" s="153"/>
      <c r="FAK159" s="153"/>
      <c r="FAL159" s="153"/>
      <c r="FAM159" s="153"/>
      <c r="FAN159" s="153"/>
      <c r="FAO159" s="153"/>
      <c r="FAP159" s="153"/>
      <c r="FAQ159" s="153"/>
      <c r="FAR159" s="153"/>
      <c r="FAS159" s="153"/>
      <c r="FAT159" s="153"/>
      <c r="FAU159" s="153"/>
      <c r="FAV159" s="153"/>
      <c r="FAW159" s="153"/>
      <c r="FAX159" s="153"/>
      <c r="FAY159" s="153"/>
      <c r="FAZ159" s="153"/>
      <c r="FBA159" s="153"/>
      <c r="FBB159" s="153"/>
      <c r="FBC159" s="153"/>
      <c r="FBD159" s="153"/>
      <c r="FBE159" s="153"/>
      <c r="FBF159" s="153"/>
      <c r="FBG159" s="153"/>
      <c r="FBH159" s="153"/>
      <c r="FBI159" s="153"/>
      <c r="FBJ159" s="153"/>
      <c r="FBK159" s="153"/>
      <c r="FBL159" s="153"/>
      <c r="FBM159" s="153"/>
      <c r="FBN159" s="153"/>
      <c r="FBO159" s="153"/>
      <c r="FBP159" s="153"/>
      <c r="FBQ159" s="153"/>
      <c r="FBR159" s="153"/>
      <c r="FBS159" s="153"/>
      <c r="FBT159" s="153"/>
      <c r="FBU159" s="153"/>
      <c r="FBV159" s="153"/>
      <c r="FBW159" s="153"/>
      <c r="FBX159" s="153"/>
      <c r="FBY159" s="153"/>
      <c r="FBZ159" s="153"/>
      <c r="FCA159" s="153"/>
      <c r="FCB159" s="153"/>
      <c r="FCC159" s="153"/>
      <c r="FCD159" s="153"/>
      <c r="FCE159" s="153"/>
      <c r="FCF159" s="153"/>
      <c r="FCG159" s="153"/>
      <c r="FCH159" s="153"/>
      <c r="FCI159" s="153"/>
      <c r="FCJ159" s="153"/>
      <c r="FCK159" s="153"/>
      <c r="FCL159" s="153"/>
      <c r="FCM159" s="153"/>
      <c r="FCN159" s="153"/>
      <c r="FCO159" s="153"/>
      <c r="FCP159" s="153"/>
      <c r="FCQ159" s="153"/>
      <c r="FCR159" s="153"/>
      <c r="FCS159" s="153"/>
      <c r="FCT159" s="153"/>
      <c r="FCU159" s="153"/>
      <c r="FCV159" s="153"/>
      <c r="FCW159" s="153"/>
      <c r="FCX159" s="153"/>
      <c r="FCY159" s="153"/>
      <c r="FCZ159" s="153"/>
      <c r="FDA159" s="153"/>
      <c r="FDB159" s="153"/>
      <c r="FDC159" s="153"/>
      <c r="FDD159" s="153"/>
      <c r="FDE159" s="153"/>
      <c r="FDF159" s="153"/>
      <c r="FDG159" s="153"/>
      <c r="FDH159" s="153"/>
      <c r="FDI159" s="153"/>
      <c r="FDJ159" s="153"/>
      <c r="FDK159" s="153"/>
      <c r="FDL159" s="153"/>
      <c r="FDM159" s="153"/>
      <c r="FDN159" s="153"/>
      <c r="FDO159" s="153"/>
      <c r="FDP159" s="153"/>
      <c r="FDQ159" s="153"/>
      <c r="FDR159" s="153"/>
      <c r="FDS159" s="153"/>
      <c r="FDT159" s="153"/>
      <c r="FDU159" s="153"/>
      <c r="FDV159" s="153"/>
      <c r="FDW159" s="153"/>
      <c r="FDX159" s="153"/>
      <c r="FDY159" s="153"/>
      <c r="FDZ159" s="153"/>
      <c r="FEA159" s="153"/>
      <c r="FEB159" s="153"/>
      <c r="FEC159" s="153"/>
      <c r="FED159" s="153"/>
      <c r="FEE159" s="153"/>
      <c r="FEF159" s="153"/>
      <c r="FEG159" s="153"/>
      <c r="FEH159" s="153"/>
      <c r="FEI159" s="153"/>
      <c r="FEJ159" s="153"/>
      <c r="FEK159" s="153"/>
      <c r="FEL159" s="153"/>
      <c r="FEM159" s="153"/>
      <c r="FEN159" s="153"/>
      <c r="FEO159" s="153"/>
      <c r="FEP159" s="153"/>
      <c r="FEQ159" s="153"/>
      <c r="FER159" s="153"/>
      <c r="FES159" s="153"/>
      <c r="FET159" s="153"/>
      <c r="FEU159" s="153"/>
      <c r="FEV159" s="153"/>
      <c r="FEW159" s="153"/>
      <c r="FEX159" s="153"/>
      <c r="FEY159" s="153"/>
      <c r="FEZ159" s="153"/>
      <c r="FFA159" s="153"/>
      <c r="FFB159" s="153"/>
      <c r="FFC159" s="153"/>
      <c r="FFD159" s="153"/>
      <c r="FFE159" s="153"/>
      <c r="FFF159" s="153"/>
      <c r="FFG159" s="153"/>
      <c r="FFH159" s="153"/>
      <c r="FFI159" s="153"/>
      <c r="FFJ159" s="153"/>
      <c r="FFK159" s="153"/>
      <c r="FFL159" s="153"/>
      <c r="FFM159" s="153"/>
      <c r="FFN159" s="153"/>
      <c r="FFO159" s="153"/>
      <c r="FFP159" s="153"/>
      <c r="FFQ159" s="153"/>
      <c r="FFR159" s="153"/>
      <c r="FFS159" s="153"/>
      <c r="FFT159" s="153"/>
      <c r="FFU159" s="153"/>
      <c r="FFV159" s="153"/>
      <c r="FFW159" s="153"/>
      <c r="FFX159" s="153"/>
      <c r="FFY159" s="153"/>
      <c r="FFZ159" s="153"/>
      <c r="FGA159" s="153"/>
      <c r="FGB159" s="153"/>
      <c r="FGC159" s="153"/>
      <c r="FGD159" s="153"/>
      <c r="FGE159" s="153"/>
      <c r="FGF159" s="153"/>
      <c r="FGG159" s="153"/>
      <c r="FGH159" s="153"/>
      <c r="FGI159" s="153"/>
      <c r="FGJ159" s="153"/>
      <c r="FGK159" s="153"/>
      <c r="FGL159" s="153"/>
      <c r="FGM159" s="153"/>
      <c r="FGN159" s="153"/>
      <c r="FGO159" s="153"/>
      <c r="FGP159" s="153"/>
      <c r="FGQ159" s="153"/>
      <c r="FGR159" s="153"/>
      <c r="FGS159" s="153"/>
      <c r="FGT159" s="153"/>
      <c r="FGU159" s="153"/>
      <c r="FGV159" s="153"/>
      <c r="FGW159" s="153"/>
      <c r="FGX159" s="153"/>
      <c r="FGY159" s="153"/>
      <c r="FGZ159" s="153"/>
      <c r="FHA159" s="153"/>
      <c r="FHB159" s="153"/>
      <c r="FHC159" s="153"/>
      <c r="FHD159" s="153"/>
      <c r="FHE159" s="153"/>
      <c r="FHF159" s="153"/>
      <c r="FHG159" s="153"/>
      <c r="FHH159" s="153"/>
      <c r="FHI159" s="153"/>
      <c r="FHJ159" s="153"/>
      <c r="FHK159" s="153"/>
      <c r="FHL159" s="153"/>
      <c r="FHM159" s="153"/>
      <c r="FHN159" s="153"/>
      <c r="FHO159" s="153"/>
      <c r="FHP159" s="153"/>
      <c r="FHQ159" s="153"/>
      <c r="FHR159" s="153"/>
      <c r="FHS159" s="153"/>
      <c r="FHT159" s="153"/>
      <c r="FHU159" s="153"/>
      <c r="FHV159" s="153"/>
      <c r="FHW159" s="153"/>
      <c r="FHX159" s="153"/>
      <c r="FHY159" s="153"/>
      <c r="FHZ159" s="153"/>
      <c r="FIA159" s="153"/>
      <c r="FIB159" s="153"/>
      <c r="FIC159" s="153"/>
      <c r="FID159" s="153"/>
      <c r="FIE159" s="153"/>
      <c r="FIF159" s="153"/>
      <c r="FIG159" s="153"/>
      <c r="FIH159" s="153"/>
      <c r="FII159" s="153"/>
      <c r="FIJ159" s="153"/>
      <c r="FIK159" s="153"/>
      <c r="FIL159" s="153"/>
      <c r="FIM159" s="153"/>
      <c r="FIN159" s="153"/>
      <c r="FIO159" s="153"/>
      <c r="FIP159" s="153"/>
      <c r="FIQ159" s="153"/>
      <c r="FIR159" s="153"/>
      <c r="FIS159" s="153"/>
      <c r="FIT159" s="153"/>
      <c r="FIU159" s="153"/>
      <c r="FIV159" s="153"/>
      <c r="FIW159" s="153"/>
      <c r="FIX159" s="153"/>
      <c r="FIY159" s="153"/>
      <c r="FIZ159" s="153"/>
      <c r="FJA159" s="153"/>
      <c r="FJB159" s="153"/>
      <c r="FJC159" s="153"/>
      <c r="FJD159" s="153"/>
      <c r="FJE159" s="153"/>
      <c r="FJF159" s="153"/>
      <c r="FJG159" s="153"/>
      <c r="FJH159" s="153"/>
      <c r="FJI159" s="153"/>
      <c r="FJJ159" s="153"/>
      <c r="FJK159" s="153"/>
      <c r="FJL159" s="153"/>
      <c r="FJM159" s="153"/>
      <c r="FJN159" s="153"/>
      <c r="FJO159" s="153"/>
      <c r="FJP159" s="153"/>
      <c r="FJQ159" s="153"/>
      <c r="FJR159" s="153"/>
      <c r="FJS159" s="153"/>
      <c r="FJT159" s="153"/>
      <c r="FJU159" s="153"/>
      <c r="FJV159" s="153"/>
      <c r="FJW159" s="153"/>
      <c r="FJX159" s="153"/>
      <c r="FJY159" s="153"/>
      <c r="FJZ159" s="153"/>
      <c r="FKA159" s="153"/>
      <c r="FKB159" s="153"/>
      <c r="FKC159" s="153"/>
      <c r="FKD159" s="153"/>
      <c r="FKE159" s="153"/>
      <c r="FKF159" s="153"/>
      <c r="FKG159" s="153"/>
      <c r="FKH159" s="153"/>
      <c r="FKI159" s="153"/>
      <c r="FKJ159" s="153"/>
      <c r="FKK159" s="153"/>
      <c r="FKL159" s="153"/>
      <c r="FKM159" s="153"/>
      <c r="FKN159" s="153"/>
      <c r="FKO159" s="153"/>
      <c r="FKP159" s="153"/>
      <c r="FKQ159" s="153"/>
      <c r="FKR159" s="153"/>
      <c r="FKS159" s="153"/>
      <c r="FKT159" s="153"/>
      <c r="FKU159" s="153"/>
      <c r="FKV159" s="153"/>
      <c r="FKW159" s="153"/>
      <c r="FKX159" s="153"/>
      <c r="FKY159" s="153"/>
      <c r="FKZ159" s="153"/>
      <c r="FLA159" s="153"/>
      <c r="FLB159" s="153"/>
      <c r="FLC159" s="153"/>
      <c r="FLD159" s="153"/>
      <c r="FLE159" s="153"/>
      <c r="FLF159" s="153"/>
      <c r="FLG159" s="153"/>
      <c r="FLH159" s="153"/>
      <c r="FLI159" s="153"/>
      <c r="FLJ159" s="153"/>
      <c r="FLK159" s="153"/>
      <c r="FLL159" s="153"/>
      <c r="FLM159" s="153"/>
      <c r="FLN159" s="153"/>
      <c r="FLO159" s="153"/>
      <c r="FLP159" s="153"/>
      <c r="FLQ159" s="153"/>
      <c r="FLR159" s="153"/>
      <c r="FLS159" s="153"/>
      <c r="FLT159" s="153"/>
      <c r="FLU159" s="153"/>
      <c r="FLV159" s="153"/>
      <c r="FLW159" s="153"/>
      <c r="FLX159" s="153"/>
      <c r="FLY159" s="153"/>
      <c r="FLZ159" s="153"/>
      <c r="FMA159" s="153"/>
      <c r="FMB159" s="153"/>
      <c r="FMC159" s="153"/>
      <c r="FMD159" s="153"/>
      <c r="FME159" s="153"/>
      <c r="FMF159" s="153"/>
      <c r="FMG159" s="153"/>
      <c r="FMH159" s="153"/>
      <c r="FMI159" s="153"/>
      <c r="FMJ159" s="153"/>
      <c r="FMK159" s="153"/>
      <c r="FML159" s="153"/>
      <c r="FMM159" s="153"/>
      <c r="FMN159" s="153"/>
      <c r="FMO159" s="153"/>
      <c r="FMP159" s="153"/>
      <c r="FMQ159" s="153"/>
      <c r="FMR159" s="153"/>
      <c r="FMS159" s="153"/>
      <c r="FMT159" s="153"/>
      <c r="FMU159" s="153"/>
      <c r="FMV159" s="153"/>
      <c r="FMW159" s="153"/>
      <c r="FMX159" s="153"/>
      <c r="FMY159" s="153"/>
      <c r="FMZ159" s="153"/>
      <c r="FNA159" s="153"/>
      <c r="FNB159" s="153"/>
      <c r="FNC159" s="153"/>
      <c r="FND159" s="153"/>
      <c r="FNE159" s="153"/>
      <c r="FNF159" s="153"/>
      <c r="FNG159" s="153"/>
      <c r="FNH159" s="153"/>
      <c r="FNI159" s="153"/>
      <c r="FNJ159" s="153"/>
      <c r="FNK159" s="153"/>
      <c r="FNL159" s="153"/>
      <c r="FNM159" s="153"/>
      <c r="FNN159" s="153"/>
      <c r="FNO159" s="153"/>
      <c r="FNP159" s="153"/>
      <c r="FNQ159" s="153"/>
      <c r="FNR159" s="153"/>
      <c r="FNS159" s="153"/>
      <c r="FNT159" s="153"/>
      <c r="FNU159" s="153"/>
      <c r="FNV159" s="153"/>
      <c r="FNW159" s="153"/>
      <c r="FNX159" s="153"/>
      <c r="FNY159" s="153"/>
      <c r="FNZ159" s="153"/>
      <c r="FOA159" s="153"/>
      <c r="FOB159" s="153"/>
      <c r="FOC159" s="153"/>
      <c r="FOD159" s="153"/>
      <c r="FOE159" s="153"/>
      <c r="FOF159" s="153"/>
      <c r="FOG159" s="153"/>
      <c r="FOH159" s="153"/>
      <c r="FOI159" s="153"/>
      <c r="FOJ159" s="153"/>
      <c r="FOK159" s="153"/>
      <c r="FOL159" s="153"/>
      <c r="FOM159" s="153"/>
      <c r="FON159" s="153"/>
      <c r="FOO159" s="153"/>
      <c r="FOP159" s="153"/>
      <c r="FOQ159" s="153"/>
      <c r="FOR159" s="153"/>
      <c r="FOS159" s="153"/>
      <c r="FOT159" s="153"/>
      <c r="FOU159" s="153"/>
      <c r="FOV159" s="153"/>
      <c r="FOW159" s="153"/>
      <c r="FOX159" s="153"/>
      <c r="FOY159" s="153"/>
      <c r="FOZ159" s="153"/>
      <c r="FPA159" s="153"/>
      <c r="FPB159" s="153"/>
      <c r="FPC159" s="153"/>
      <c r="FPD159" s="153"/>
      <c r="FPE159" s="153"/>
      <c r="FPF159" s="153"/>
      <c r="FPG159" s="153"/>
      <c r="FPH159" s="153"/>
      <c r="FPI159" s="153"/>
      <c r="FPJ159" s="153"/>
      <c r="FPK159" s="153"/>
      <c r="FPL159" s="153"/>
      <c r="FPM159" s="153"/>
      <c r="FPN159" s="153"/>
      <c r="FPO159" s="153"/>
      <c r="FPP159" s="153"/>
      <c r="FPQ159" s="153"/>
      <c r="FPR159" s="153"/>
      <c r="FPS159" s="153"/>
      <c r="FPT159" s="153"/>
      <c r="FPU159" s="153"/>
      <c r="FPV159" s="153"/>
      <c r="FPW159" s="153"/>
      <c r="FPX159" s="153"/>
      <c r="FPY159" s="153"/>
      <c r="FPZ159" s="153"/>
      <c r="FQA159" s="153"/>
      <c r="FQB159" s="153"/>
      <c r="FQC159" s="153"/>
      <c r="FQD159" s="153"/>
      <c r="FQE159" s="153"/>
      <c r="FQF159" s="153"/>
      <c r="FQG159" s="153"/>
      <c r="FQH159" s="153"/>
      <c r="FQI159" s="153"/>
      <c r="FQJ159" s="153"/>
      <c r="FQK159" s="153"/>
      <c r="FQL159" s="153"/>
      <c r="FQM159" s="153"/>
      <c r="FQN159" s="153"/>
      <c r="FQO159" s="153"/>
      <c r="FQP159" s="153"/>
      <c r="FQQ159" s="153"/>
      <c r="FQR159" s="153"/>
      <c r="FQS159" s="153"/>
      <c r="FQT159" s="153"/>
      <c r="FQU159" s="153"/>
      <c r="FQV159" s="153"/>
      <c r="FQW159" s="153"/>
      <c r="FQX159" s="153"/>
      <c r="FQY159" s="153"/>
      <c r="FQZ159" s="153"/>
      <c r="FRA159" s="153"/>
      <c r="FRB159" s="153"/>
      <c r="FRC159" s="153"/>
      <c r="FRD159" s="153"/>
      <c r="FRE159" s="153"/>
      <c r="FRF159" s="153"/>
      <c r="FRG159" s="153"/>
      <c r="FRH159" s="153"/>
      <c r="FRI159" s="153"/>
      <c r="FRJ159" s="153"/>
      <c r="FRK159" s="153"/>
      <c r="FRL159" s="153"/>
      <c r="FRM159" s="153"/>
      <c r="FRN159" s="153"/>
      <c r="FRO159" s="153"/>
      <c r="FRP159" s="153"/>
      <c r="FRQ159" s="153"/>
      <c r="FRR159" s="153"/>
      <c r="FRS159" s="153"/>
      <c r="FRT159" s="153"/>
      <c r="FRU159" s="153"/>
      <c r="FRV159" s="153"/>
      <c r="FRW159" s="153"/>
      <c r="FRX159" s="153"/>
      <c r="FRY159" s="153"/>
      <c r="FRZ159" s="153"/>
      <c r="FSA159" s="153"/>
      <c r="FSB159" s="153"/>
      <c r="FSC159" s="153"/>
      <c r="FSD159" s="153"/>
      <c r="FSE159" s="153"/>
      <c r="FSF159" s="153"/>
      <c r="FSG159" s="153"/>
      <c r="FSH159" s="153"/>
      <c r="FSI159" s="153"/>
      <c r="FSJ159" s="153"/>
      <c r="FSK159" s="153"/>
      <c r="FSL159" s="153"/>
      <c r="FSM159" s="153"/>
      <c r="FSN159" s="153"/>
      <c r="FSO159" s="153"/>
      <c r="FSP159" s="153"/>
      <c r="FSQ159" s="153"/>
      <c r="FSR159" s="153"/>
      <c r="FSS159" s="153"/>
      <c r="FST159" s="153"/>
      <c r="FSU159" s="153"/>
      <c r="FSV159" s="153"/>
      <c r="FSW159" s="153"/>
      <c r="FSX159" s="153"/>
      <c r="FSY159" s="153"/>
      <c r="FSZ159" s="153"/>
      <c r="FTA159" s="153"/>
      <c r="FTB159" s="153"/>
      <c r="FTC159" s="153"/>
      <c r="FTD159" s="153"/>
      <c r="FTE159" s="153"/>
      <c r="FTF159" s="153"/>
      <c r="FTG159" s="153"/>
      <c r="FTH159" s="153"/>
      <c r="FTI159" s="153"/>
      <c r="FTJ159" s="153"/>
      <c r="FTK159" s="153"/>
      <c r="FTL159" s="153"/>
      <c r="FTM159" s="153"/>
      <c r="FTN159" s="153"/>
      <c r="FTO159" s="153"/>
      <c r="FTP159" s="153"/>
      <c r="FTQ159" s="153"/>
      <c r="FTR159" s="153"/>
      <c r="FTS159" s="153"/>
      <c r="FTT159" s="153"/>
      <c r="FTU159" s="153"/>
      <c r="FTV159" s="153"/>
      <c r="FTW159" s="153"/>
      <c r="FTX159" s="153"/>
      <c r="FTY159" s="153"/>
      <c r="FTZ159" s="153"/>
      <c r="FUA159" s="153"/>
      <c r="FUB159" s="153"/>
      <c r="FUC159" s="153"/>
      <c r="FUD159" s="153"/>
      <c r="FUE159" s="153"/>
      <c r="FUF159" s="153"/>
      <c r="FUG159" s="153"/>
      <c r="FUH159" s="153"/>
      <c r="FUI159" s="153"/>
      <c r="FUJ159" s="153"/>
      <c r="FUK159" s="153"/>
      <c r="FUL159" s="153"/>
      <c r="FUM159" s="153"/>
      <c r="FUN159" s="153"/>
      <c r="FUO159" s="153"/>
      <c r="FUP159" s="153"/>
      <c r="FUQ159" s="153"/>
      <c r="FUR159" s="153"/>
      <c r="FUS159" s="153"/>
      <c r="FUT159" s="153"/>
      <c r="FUU159" s="153"/>
      <c r="FUV159" s="153"/>
      <c r="FUW159" s="153"/>
      <c r="FUX159" s="153"/>
      <c r="FUY159" s="153"/>
      <c r="FUZ159" s="153"/>
      <c r="FVA159" s="153"/>
      <c r="FVB159" s="153"/>
      <c r="FVC159" s="153"/>
      <c r="FVD159" s="153"/>
      <c r="FVE159" s="153"/>
      <c r="FVF159" s="153"/>
      <c r="FVG159" s="153"/>
      <c r="FVH159" s="153"/>
      <c r="FVI159" s="153"/>
      <c r="FVJ159" s="153"/>
      <c r="FVK159" s="153"/>
      <c r="FVL159" s="153"/>
      <c r="FVM159" s="153"/>
      <c r="FVN159" s="153"/>
      <c r="FVO159" s="153"/>
      <c r="FVP159" s="153"/>
      <c r="FVQ159" s="153"/>
      <c r="FVR159" s="153"/>
      <c r="FVS159" s="153"/>
      <c r="FVT159" s="153"/>
      <c r="FVU159" s="153"/>
      <c r="FVV159" s="153"/>
      <c r="FVW159" s="153"/>
      <c r="FVX159" s="153"/>
      <c r="FVY159" s="153"/>
      <c r="FVZ159" s="153"/>
      <c r="FWA159" s="153"/>
      <c r="FWB159" s="153"/>
      <c r="FWC159" s="153"/>
      <c r="FWD159" s="153"/>
      <c r="FWE159" s="153"/>
      <c r="FWF159" s="153"/>
      <c r="FWG159" s="153"/>
      <c r="FWH159" s="153"/>
      <c r="FWI159" s="153"/>
      <c r="FWJ159" s="153"/>
      <c r="FWK159" s="153"/>
      <c r="FWL159" s="153"/>
      <c r="FWM159" s="153"/>
      <c r="FWN159" s="153"/>
      <c r="FWO159" s="153"/>
      <c r="FWP159" s="153"/>
      <c r="FWQ159" s="153"/>
      <c r="FWR159" s="153"/>
      <c r="FWS159" s="153"/>
      <c r="FWT159" s="153"/>
      <c r="FWU159" s="153"/>
      <c r="FWV159" s="153"/>
      <c r="FWW159" s="153"/>
      <c r="FWX159" s="153"/>
      <c r="FWY159" s="153"/>
      <c r="FWZ159" s="153"/>
      <c r="FXA159" s="153"/>
      <c r="FXB159" s="153"/>
      <c r="FXC159" s="153"/>
      <c r="FXD159" s="153"/>
      <c r="FXE159" s="153"/>
      <c r="FXF159" s="153"/>
      <c r="FXG159" s="153"/>
      <c r="FXH159" s="153"/>
      <c r="FXI159" s="153"/>
      <c r="FXJ159" s="153"/>
      <c r="FXK159" s="153"/>
      <c r="FXL159" s="153"/>
      <c r="FXM159" s="153"/>
      <c r="FXN159" s="153"/>
      <c r="FXO159" s="153"/>
      <c r="FXP159" s="153"/>
      <c r="FXQ159" s="153"/>
      <c r="FXR159" s="153"/>
      <c r="FXS159" s="153"/>
      <c r="FXT159" s="153"/>
      <c r="FXU159" s="153"/>
      <c r="FXV159" s="153"/>
      <c r="FXW159" s="153"/>
      <c r="FXX159" s="153"/>
      <c r="FXY159" s="153"/>
      <c r="FXZ159" s="153"/>
      <c r="FYA159" s="153"/>
      <c r="FYB159" s="153"/>
      <c r="FYC159" s="153"/>
      <c r="FYD159" s="153"/>
      <c r="FYE159" s="153"/>
      <c r="FYF159" s="153"/>
      <c r="FYG159" s="153"/>
      <c r="FYH159" s="153"/>
      <c r="FYI159" s="153"/>
      <c r="FYJ159" s="153"/>
      <c r="FYK159" s="153"/>
      <c r="FYL159" s="153"/>
      <c r="FYM159" s="153"/>
      <c r="FYN159" s="153"/>
      <c r="FYO159" s="153"/>
      <c r="FYP159" s="153"/>
      <c r="FYQ159" s="153"/>
      <c r="FYR159" s="153"/>
      <c r="FYS159" s="153"/>
      <c r="FYT159" s="153"/>
      <c r="FYU159" s="153"/>
      <c r="FYV159" s="153"/>
      <c r="FYW159" s="153"/>
      <c r="FYX159" s="153"/>
      <c r="FYY159" s="153"/>
      <c r="FYZ159" s="153"/>
      <c r="FZA159" s="153"/>
      <c r="FZB159" s="153"/>
      <c r="FZC159" s="153"/>
      <c r="FZD159" s="153"/>
      <c r="FZE159" s="153"/>
      <c r="FZF159" s="153"/>
      <c r="FZG159" s="153"/>
      <c r="FZH159" s="153"/>
      <c r="FZI159" s="153"/>
      <c r="FZJ159" s="153"/>
      <c r="FZK159" s="153"/>
      <c r="FZL159" s="153"/>
      <c r="FZM159" s="153"/>
      <c r="FZN159" s="153"/>
      <c r="FZO159" s="153"/>
      <c r="FZP159" s="153"/>
      <c r="FZQ159" s="153"/>
      <c r="FZR159" s="153"/>
      <c r="FZS159" s="153"/>
      <c r="FZT159" s="153"/>
      <c r="FZU159" s="153"/>
      <c r="FZV159" s="153"/>
      <c r="FZW159" s="153"/>
      <c r="FZX159" s="153"/>
      <c r="FZY159" s="153"/>
      <c r="FZZ159" s="153"/>
      <c r="GAA159" s="153"/>
      <c r="GAB159" s="153"/>
      <c r="GAC159" s="153"/>
      <c r="GAD159" s="153"/>
      <c r="GAE159" s="153"/>
      <c r="GAF159" s="153"/>
      <c r="GAG159" s="153"/>
      <c r="GAH159" s="153"/>
      <c r="GAI159" s="153"/>
      <c r="GAJ159" s="153"/>
      <c r="GAK159" s="153"/>
      <c r="GAL159" s="153"/>
      <c r="GAM159" s="153"/>
      <c r="GAN159" s="153"/>
      <c r="GAO159" s="153"/>
      <c r="GAP159" s="153"/>
      <c r="GAQ159" s="153"/>
      <c r="GAR159" s="153"/>
      <c r="GAS159" s="153"/>
      <c r="GAT159" s="153"/>
      <c r="GAU159" s="153"/>
      <c r="GAV159" s="153"/>
      <c r="GAW159" s="153"/>
      <c r="GAX159" s="153"/>
      <c r="GAY159" s="153"/>
      <c r="GAZ159" s="153"/>
      <c r="GBA159" s="153"/>
      <c r="GBB159" s="153"/>
      <c r="GBC159" s="153"/>
      <c r="GBD159" s="153"/>
      <c r="GBE159" s="153"/>
      <c r="GBF159" s="153"/>
      <c r="GBG159" s="153"/>
      <c r="GBH159" s="153"/>
      <c r="GBI159" s="153"/>
      <c r="GBJ159" s="153"/>
      <c r="GBK159" s="153"/>
      <c r="GBL159" s="153"/>
      <c r="GBM159" s="153"/>
      <c r="GBN159" s="153"/>
      <c r="GBO159" s="153"/>
      <c r="GBP159" s="153"/>
      <c r="GBQ159" s="153"/>
      <c r="GBR159" s="153"/>
      <c r="GBS159" s="153"/>
      <c r="GBT159" s="153"/>
      <c r="GBU159" s="153"/>
      <c r="GBV159" s="153"/>
      <c r="GBW159" s="153"/>
      <c r="GBX159" s="153"/>
      <c r="GBY159" s="153"/>
      <c r="GBZ159" s="153"/>
      <c r="GCA159" s="153"/>
      <c r="GCB159" s="153"/>
      <c r="GCC159" s="153"/>
      <c r="GCD159" s="153"/>
      <c r="GCE159" s="153"/>
      <c r="GCF159" s="153"/>
      <c r="GCG159" s="153"/>
      <c r="GCH159" s="153"/>
      <c r="GCI159" s="153"/>
      <c r="GCJ159" s="153"/>
      <c r="GCK159" s="153"/>
      <c r="GCL159" s="153"/>
      <c r="GCM159" s="153"/>
      <c r="GCN159" s="153"/>
      <c r="GCO159" s="153"/>
      <c r="GCP159" s="153"/>
      <c r="GCQ159" s="153"/>
      <c r="GCR159" s="153"/>
      <c r="GCS159" s="153"/>
      <c r="GCT159" s="153"/>
      <c r="GCU159" s="153"/>
      <c r="GCV159" s="153"/>
      <c r="GCW159" s="153"/>
      <c r="GCX159" s="153"/>
      <c r="GCY159" s="153"/>
      <c r="GCZ159" s="153"/>
      <c r="GDA159" s="153"/>
      <c r="GDB159" s="153"/>
      <c r="GDC159" s="153"/>
      <c r="GDD159" s="153"/>
      <c r="GDE159" s="153"/>
      <c r="GDF159" s="153"/>
      <c r="GDG159" s="153"/>
      <c r="GDH159" s="153"/>
      <c r="GDI159" s="153"/>
      <c r="GDJ159" s="153"/>
      <c r="GDK159" s="153"/>
      <c r="GDL159" s="153"/>
      <c r="GDM159" s="153"/>
      <c r="GDN159" s="153"/>
      <c r="GDO159" s="153"/>
      <c r="GDP159" s="153"/>
      <c r="GDQ159" s="153"/>
      <c r="GDR159" s="153"/>
      <c r="GDS159" s="153"/>
      <c r="GDT159" s="153"/>
      <c r="GDU159" s="153"/>
      <c r="GDV159" s="153"/>
      <c r="GDW159" s="153"/>
      <c r="GDX159" s="153"/>
      <c r="GDY159" s="153"/>
      <c r="GDZ159" s="153"/>
      <c r="GEA159" s="153"/>
      <c r="GEB159" s="153"/>
      <c r="GEC159" s="153"/>
      <c r="GED159" s="153"/>
      <c r="GEE159" s="153"/>
      <c r="GEF159" s="153"/>
      <c r="GEG159" s="153"/>
      <c r="GEH159" s="153"/>
      <c r="GEI159" s="153"/>
      <c r="GEJ159" s="153"/>
      <c r="GEK159" s="153"/>
      <c r="GEL159" s="153"/>
      <c r="GEM159" s="153"/>
      <c r="GEN159" s="153"/>
      <c r="GEO159" s="153"/>
      <c r="GEP159" s="153"/>
      <c r="GEQ159" s="153"/>
      <c r="GER159" s="153"/>
      <c r="GES159" s="153"/>
      <c r="GET159" s="153"/>
      <c r="GEU159" s="153"/>
      <c r="GEV159" s="153"/>
      <c r="GEW159" s="153"/>
      <c r="GEX159" s="153"/>
      <c r="GEY159" s="153"/>
      <c r="GEZ159" s="153"/>
      <c r="GFA159" s="153"/>
      <c r="GFB159" s="153"/>
      <c r="GFC159" s="153"/>
      <c r="GFD159" s="153"/>
      <c r="GFE159" s="153"/>
      <c r="GFF159" s="153"/>
      <c r="GFG159" s="153"/>
      <c r="GFH159" s="153"/>
      <c r="GFI159" s="153"/>
      <c r="GFJ159" s="153"/>
      <c r="GFK159" s="153"/>
      <c r="GFL159" s="153"/>
      <c r="GFM159" s="153"/>
      <c r="GFN159" s="153"/>
      <c r="GFO159" s="153"/>
      <c r="GFP159" s="153"/>
      <c r="GFQ159" s="153"/>
      <c r="GFR159" s="153"/>
      <c r="GFS159" s="153"/>
      <c r="GFT159" s="153"/>
      <c r="GFU159" s="153"/>
      <c r="GFV159" s="153"/>
      <c r="GFW159" s="153"/>
      <c r="GFX159" s="153"/>
      <c r="GFY159" s="153"/>
      <c r="GFZ159" s="153"/>
      <c r="GGA159" s="153"/>
      <c r="GGB159" s="153"/>
      <c r="GGC159" s="153"/>
      <c r="GGD159" s="153"/>
      <c r="GGE159" s="153"/>
      <c r="GGF159" s="153"/>
      <c r="GGG159" s="153"/>
      <c r="GGH159" s="153"/>
      <c r="GGI159" s="153"/>
      <c r="GGJ159" s="153"/>
      <c r="GGK159" s="153"/>
      <c r="GGL159" s="153"/>
      <c r="GGM159" s="153"/>
      <c r="GGN159" s="153"/>
      <c r="GGO159" s="153"/>
      <c r="GGP159" s="153"/>
      <c r="GGQ159" s="153"/>
      <c r="GGR159" s="153"/>
      <c r="GGS159" s="153"/>
      <c r="GGT159" s="153"/>
      <c r="GGU159" s="153"/>
      <c r="GGV159" s="153"/>
      <c r="GGW159" s="153"/>
      <c r="GGX159" s="153"/>
      <c r="GGY159" s="153"/>
      <c r="GGZ159" s="153"/>
      <c r="GHA159" s="153"/>
      <c r="GHB159" s="153"/>
      <c r="GHC159" s="153"/>
      <c r="GHD159" s="153"/>
      <c r="GHE159" s="153"/>
      <c r="GHF159" s="153"/>
      <c r="GHG159" s="153"/>
      <c r="GHH159" s="153"/>
      <c r="GHI159" s="153"/>
      <c r="GHJ159" s="153"/>
      <c r="GHK159" s="153"/>
      <c r="GHL159" s="153"/>
      <c r="GHM159" s="153"/>
      <c r="GHN159" s="153"/>
      <c r="GHO159" s="153"/>
      <c r="GHP159" s="153"/>
      <c r="GHQ159" s="153"/>
      <c r="GHR159" s="153"/>
      <c r="GHS159" s="153"/>
      <c r="GHT159" s="153"/>
      <c r="GHU159" s="153"/>
      <c r="GHV159" s="153"/>
      <c r="GHW159" s="153"/>
      <c r="GHX159" s="153"/>
      <c r="GHY159" s="153"/>
      <c r="GHZ159" s="153"/>
      <c r="GIA159" s="153"/>
      <c r="GIB159" s="153"/>
      <c r="GIC159" s="153"/>
      <c r="GID159" s="153"/>
      <c r="GIE159" s="153"/>
      <c r="GIF159" s="153"/>
      <c r="GIG159" s="153"/>
      <c r="GIH159" s="153"/>
      <c r="GII159" s="153"/>
      <c r="GIJ159" s="153"/>
      <c r="GIK159" s="153"/>
      <c r="GIL159" s="153"/>
      <c r="GIM159" s="153"/>
      <c r="GIN159" s="153"/>
      <c r="GIO159" s="153"/>
      <c r="GIP159" s="153"/>
      <c r="GIQ159" s="153"/>
      <c r="GIR159" s="153"/>
      <c r="GIS159" s="153"/>
      <c r="GIT159" s="153"/>
      <c r="GIU159" s="153"/>
      <c r="GIV159" s="153"/>
      <c r="GIW159" s="153"/>
      <c r="GIX159" s="153"/>
      <c r="GIY159" s="153"/>
      <c r="GIZ159" s="153"/>
      <c r="GJA159" s="153"/>
      <c r="GJB159" s="153"/>
      <c r="GJC159" s="153"/>
      <c r="GJD159" s="153"/>
      <c r="GJE159" s="153"/>
      <c r="GJF159" s="153"/>
      <c r="GJG159" s="153"/>
      <c r="GJH159" s="153"/>
      <c r="GJI159" s="153"/>
      <c r="GJJ159" s="153"/>
      <c r="GJK159" s="153"/>
      <c r="GJL159" s="153"/>
      <c r="GJM159" s="153"/>
      <c r="GJN159" s="153"/>
      <c r="GJO159" s="153"/>
      <c r="GJP159" s="153"/>
      <c r="GJQ159" s="153"/>
      <c r="GJR159" s="153"/>
      <c r="GJS159" s="153"/>
      <c r="GJT159" s="153"/>
      <c r="GJU159" s="153"/>
      <c r="GJV159" s="153"/>
      <c r="GJW159" s="153"/>
      <c r="GJX159" s="153"/>
      <c r="GJY159" s="153"/>
      <c r="GJZ159" s="153"/>
      <c r="GKA159" s="153"/>
      <c r="GKB159" s="153"/>
      <c r="GKC159" s="153"/>
      <c r="GKD159" s="153"/>
      <c r="GKE159" s="153"/>
      <c r="GKF159" s="153"/>
      <c r="GKG159" s="153"/>
      <c r="GKH159" s="153"/>
      <c r="GKI159" s="153"/>
      <c r="GKJ159" s="153"/>
      <c r="GKK159" s="153"/>
      <c r="GKL159" s="153"/>
      <c r="GKM159" s="153"/>
      <c r="GKN159" s="153"/>
      <c r="GKO159" s="153"/>
      <c r="GKP159" s="153"/>
      <c r="GKQ159" s="153"/>
      <c r="GKR159" s="153"/>
      <c r="GKS159" s="153"/>
      <c r="GKT159" s="153"/>
      <c r="GKU159" s="153"/>
      <c r="GKV159" s="153"/>
      <c r="GKW159" s="153"/>
      <c r="GKX159" s="153"/>
      <c r="GKY159" s="153"/>
      <c r="GKZ159" s="153"/>
      <c r="GLA159" s="153"/>
      <c r="GLB159" s="153"/>
      <c r="GLC159" s="153"/>
      <c r="GLD159" s="153"/>
      <c r="GLE159" s="153"/>
      <c r="GLF159" s="153"/>
      <c r="GLG159" s="153"/>
      <c r="GLH159" s="153"/>
      <c r="GLI159" s="153"/>
      <c r="GLJ159" s="153"/>
      <c r="GLK159" s="153"/>
      <c r="GLL159" s="153"/>
      <c r="GLM159" s="153"/>
      <c r="GLN159" s="153"/>
      <c r="GLO159" s="153"/>
      <c r="GLP159" s="153"/>
      <c r="GLQ159" s="153"/>
      <c r="GLR159" s="153"/>
      <c r="GLS159" s="153"/>
      <c r="GLT159" s="153"/>
      <c r="GLU159" s="153"/>
      <c r="GLV159" s="153"/>
      <c r="GLW159" s="153"/>
      <c r="GLX159" s="153"/>
      <c r="GLY159" s="153"/>
      <c r="GLZ159" s="153"/>
      <c r="GMA159" s="153"/>
      <c r="GMB159" s="153"/>
      <c r="GMC159" s="153"/>
      <c r="GMD159" s="153"/>
      <c r="GME159" s="153"/>
      <c r="GMF159" s="153"/>
      <c r="GMG159" s="153"/>
      <c r="GMH159" s="153"/>
      <c r="GMI159" s="153"/>
      <c r="GMJ159" s="153"/>
      <c r="GMK159" s="153"/>
      <c r="GML159" s="153"/>
      <c r="GMM159" s="153"/>
      <c r="GMN159" s="153"/>
      <c r="GMO159" s="153"/>
      <c r="GMP159" s="153"/>
      <c r="GMQ159" s="153"/>
      <c r="GMR159" s="153"/>
      <c r="GMS159" s="153"/>
      <c r="GMT159" s="153"/>
      <c r="GMU159" s="153"/>
      <c r="GMV159" s="153"/>
      <c r="GMW159" s="153"/>
      <c r="GMX159" s="153"/>
      <c r="GMY159" s="153"/>
      <c r="GMZ159" s="153"/>
      <c r="GNA159" s="153"/>
      <c r="GNB159" s="153"/>
      <c r="GNC159" s="153"/>
      <c r="GND159" s="153"/>
      <c r="GNE159" s="153"/>
      <c r="GNF159" s="153"/>
      <c r="GNG159" s="153"/>
      <c r="GNH159" s="153"/>
      <c r="GNI159" s="153"/>
      <c r="GNJ159" s="153"/>
      <c r="GNK159" s="153"/>
      <c r="GNL159" s="153"/>
      <c r="GNM159" s="153"/>
      <c r="GNN159" s="153"/>
      <c r="GNO159" s="153"/>
      <c r="GNP159" s="153"/>
      <c r="GNQ159" s="153"/>
      <c r="GNR159" s="153"/>
      <c r="GNS159" s="153"/>
      <c r="GNT159" s="153"/>
      <c r="GNU159" s="153"/>
      <c r="GNV159" s="153"/>
      <c r="GNW159" s="153"/>
      <c r="GNX159" s="153"/>
      <c r="GNY159" s="153"/>
      <c r="GNZ159" s="153"/>
      <c r="GOA159" s="153"/>
      <c r="GOB159" s="153"/>
      <c r="GOC159" s="153"/>
      <c r="GOD159" s="153"/>
      <c r="GOE159" s="153"/>
      <c r="GOF159" s="153"/>
      <c r="GOG159" s="153"/>
      <c r="GOH159" s="153"/>
      <c r="GOI159" s="153"/>
      <c r="GOJ159" s="153"/>
      <c r="GOK159" s="153"/>
      <c r="GOL159" s="153"/>
      <c r="GOM159" s="153"/>
      <c r="GON159" s="153"/>
      <c r="GOO159" s="153"/>
      <c r="GOP159" s="153"/>
      <c r="GOQ159" s="153"/>
      <c r="GOR159" s="153"/>
      <c r="GOS159" s="153"/>
      <c r="GOT159" s="153"/>
      <c r="GOU159" s="153"/>
      <c r="GOV159" s="153"/>
      <c r="GOW159" s="153"/>
      <c r="GOX159" s="153"/>
      <c r="GOY159" s="153"/>
      <c r="GOZ159" s="153"/>
      <c r="GPA159" s="153"/>
      <c r="GPB159" s="153"/>
      <c r="GPC159" s="153"/>
      <c r="GPD159" s="153"/>
      <c r="GPE159" s="153"/>
      <c r="GPF159" s="153"/>
      <c r="GPG159" s="153"/>
      <c r="GPH159" s="153"/>
      <c r="GPI159" s="153"/>
      <c r="GPJ159" s="153"/>
      <c r="GPK159" s="153"/>
      <c r="GPL159" s="153"/>
      <c r="GPM159" s="153"/>
      <c r="GPN159" s="153"/>
      <c r="GPO159" s="153"/>
      <c r="GPP159" s="153"/>
      <c r="GPQ159" s="153"/>
      <c r="GPR159" s="153"/>
      <c r="GPS159" s="153"/>
      <c r="GPT159" s="153"/>
      <c r="GPU159" s="153"/>
      <c r="GPV159" s="153"/>
      <c r="GPW159" s="153"/>
      <c r="GPX159" s="153"/>
      <c r="GPY159" s="153"/>
      <c r="GPZ159" s="153"/>
      <c r="GQA159" s="153"/>
      <c r="GQB159" s="153"/>
      <c r="GQC159" s="153"/>
      <c r="GQD159" s="153"/>
      <c r="GQE159" s="153"/>
      <c r="GQF159" s="153"/>
      <c r="GQG159" s="153"/>
      <c r="GQH159" s="153"/>
      <c r="GQI159" s="153"/>
      <c r="GQJ159" s="153"/>
      <c r="GQK159" s="153"/>
      <c r="GQL159" s="153"/>
      <c r="GQM159" s="153"/>
      <c r="GQN159" s="153"/>
      <c r="GQO159" s="153"/>
      <c r="GQP159" s="153"/>
      <c r="GQQ159" s="153"/>
      <c r="GQR159" s="153"/>
      <c r="GQS159" s="153"/>
      <c r="GQT159" s="153"/>
      <c r="GQU159" s="153"/>
      <c r="GQV159" s="153"/>
      <c r="GQW159" s="153"/>
      <c r="GQX159" s="153"/>
      <c r="GQY159" s="153"/>
      <c r="GQZ159" s="153"/>
      <c r="GRA159" s="153"/>
      <c r="GRB159" s="153"/>
      <c r="GRC159" s="153"/>
      <c r="GRD159" s="153"/>
      <c r="GRE159" s="153"/>
      <c r="GRF159" s="153"/>
      <c r="GRG159" s="153"/>
      <c r="GRH159" s="153"/>
      <c r="GRI159" s="153"/>
      <c r="GRJ159" s="153"/>
      <c r="GRK159" s="153"/>
      <c r="GRL159" s="153"/>
      <c r="GRM159" s="153"/>
      <c r="GRN159" s="153"/>
      <c r="GRO159" s="153"/>
      <c r="GRP159" s="153"/>
      <c r="GRQ159" s="153"/>
      <c r="GRR159" s="153"/>
      <c r="GRS159" s="153"/>
      <c r="GRT159" s="153"/>
      <c r="GRU159" s="153"/>
      <c r="GRV159" s="153"/>
      <c r="GRW159" s="153"/>
      <c r="GRX159" s="153"/>
      <c r="GRY159" s="153"/>
      <c r="GRZ159" s="153"/>
      <c r="GSA159" s="153"/>
      <c r="GSB159" s="153"/>
      <c r="GSC159" s="153"/>
      <c r="GSD159" s="153"/>
      <c r="GSE159" s="153"/>
      <c r="GSF159" s="153"/>
      <c r="GSG159" s="153"/>
      <c r="GSH159" s="153"/>
      <c r="GSI159" s="153"/>
      <c r="GSJ159" s="153"/>
      <c r="GSK159" s="153"/>
      <c r="GSL159" s="153"/>
      <c r="GSM159" s="153"/>
      <c r="GSN159" s="153"/>
      <c r="GSO159" s="153"/>
      <c r="GSP159" s="153"/>
      <c r="GSQ159" s="153"/>
      <c r="GSR159" s="153"/>
      <c r="GSS159" s="153"/>
      <c r="GST159" s="153"/>
      <c r="GSU159" s="153"/>
      <c r="GSV159" s="153"/>
      <c r="GSW159" s="153"/>
      <c r="GSX159" s="153"/>
      <c r="GSY159" s="153"/>
      <c r="GSZ159" s="153"/>
      <c r="GTA159" s="153"/>
      <c r="GTB159" s="153"/>
      <c r="GTC159" s="153"/>
      <c r="GTD159" s="153"/>
      <c r="GTE159" s="153"/>
      <c r="GTF159" s="153"/>
      <c r="GTG159" s="153"/>
      <c r="GTH159" s="153"/>
      <c r="GTI159" s="153"/>
      <c r="GTJ159" s="153"/>
      <c r="GTK159" s="153"/>
      <c r="GTL159" s="153"/>
      <c r="GTM159" s="153"/>
      <c r="GTN159" s="153"/>
      <c r="GTO159" s="153"/>
      <c r="GTP159" s="153"/>
      <c r="GTQ159" s="153"/>
      <c r="GTR159" s="153"/>
      <c r="GTS159" s="153"/>
      <c r="GTT159" s="153"/>
      <c r="GTU159" s="153"/>
      <c r="GTV159" s="153"/>
      <c r="GTW159" s="153"/>
      <c r="GTX159" s="153"/>
      <c r="GTY159" s="153"/>
      <c r="GTZ159" s="153"/>
      <c r="GUA159" s="153"/>
      <c r="GUB159" s="153"/>
      <c r="GUC159" s="153"/>
      <c r="GUD159" s="153"/>
      <c r="GUE159" s="153"/>
      <c r="GUF159" s="153"/>
      <c r="GUG159" s="153"/>
      <c r="GUH159" s="153"/>
      <c r="GUI159" s="153"/>
      <c r="GUJ159" s="153"/>
      <c r="GUK159" s="153"/>
      <c r="GUL159" s="153"/>
      <c r="GUM159" s="153"/>
      <c r="GUN159" s="153"/>
      <c r="GUO159" s="153"/>
      <c r="GUP159" s="153"/>
      <c r="GUQ159" s="153"/>
      <c r="GUR159" s="153"/>
      <c r="GUS159" s="153"/>
      <c r="GUT159" s="153"/>
      <c r="GUU159" s="153"/>
      <c r="GUV159" s="153"/>
      <c r="GUW159" s="153"/>
      <c r="GUX159" s="153"/>
      <c r="GUY159" s="153"/>
      <c r="GUZ159" s="153"/>
      <c r="GVA159" s="153"/>
      <c r="GVB159" s="153"/>
      <c r="GVC159" s="153"/>
      <c r="GVD159" s="153"/>
      <c r="GVE159" s="153"/>
      <c r="GVF159" s="153"/>
      <c r="GVG159" s="153"/>
      <c r="GVH159" s="153"/>
      <c r="GVI159" s="153"/>
      <c r="GVJ159" s="153"/>
      <c r="GVK159" s="153"/>
      <c r="GVL159" s="153"/>
      <c r="GVM159" s="153"/>
      <c r="GVN159" s="153"/>
      <c r="GVO159" s="153"/>
      <c r="GVP159" s="153"/>
      <c r="GVQ159" s="153"/>
      <c r="GVR159" s="153"/>
      <c r="GVS159" s="153"/>
      <c r="GVT159" s="153"/>
      <c r="GVU159" s="153"/>
      <c r="GVV159" s="153"/>
      <c r="GVW159" s="153"/>
      <c r="GVX159" s="153"/>
      <c r="GVY159" s="153"/>
      <c r="GVZ159" s="153"/>
      <c r="GWA159" s="153"/>
      <c r="GWB159" s="153"/>
      <c r="GWC159" s="153"/>
      <c r="GWD159" s="153"/>
      <c r="GWE159" s="153"/>
      <c r="GWF159" s="153"/>
      <c r="GWG159" s="153"/>
      <c r="GWH159" s="153"/>
      <c r="GWI159" s="153"/>
      <c r="GWJ159" s="153"/>
      <c r="GWK159" s="153"/>
      <c r="GWL159" s="153"/>
      <c r="GWM159" s="153"/>
      <c r="GWN159" s="153"/>
      <c r="GWO159" s="153"/>
      <c r="GWP159" s="153"/>
      <c r="GWQ159" s="153"/>
      <c r="GWR159" s="153"/>
      <c r="GWS159" s="153"/>
      <c r="GWT159" s="153"/>
      <c r="GWU159" s="153"/>
      <c r="GWV159" s="153"/>
      <c r="GWW159" s="153"/>
      <c r="GWX159" s="153"/>
      <c r="GWY159" s="153"/>
      <c r="GWZ159" s="153"/>
      <c r="GXA159" s="153"/>
      <c r="GXB159" s="153"/>
      <c r="GXC159" s="153"/>
      <c r="GXD159" s="153"/>
      <c r="GXE159" s="153"/>
      <c r="GXF159" s="153"/>
      <c r="GXG159" s="153"/>
      <c r="GXH159" s="153"/>
      <c r="GXI159" s="153"/>
      <c r="GXJ159" s="153"/>
      <c r="GXK159" s="153"/>
      <c r="GXL159" s="153"/>
      <c r="GXM159" s="153"/>
      <c r="GXN159" s="153"/>
      <c r="GXO159" s="153"/>
      <c r="GXP159" s="153"/>
      <c r="GXQ159" s="153"/>
      <c r="GXR159" s="153"/>
      <c r="GXS159" s="153"/>
      <c r="GXT159" s="153"/>
      <c r="GXU159" s="153"/>
      <c r="GXV159" s="153"/>
      <c r="GXW159" s="153"/>
      <c r="GXX159" s="153"/>
      <c r="GXY159" s="153"/>
      <c r="GXZ159" s="153"/>
      <c r="GYA159" s="153"/>
      <c r="GYB159" s="153"/>
      <c r="GYC159" s="153"/>
      <c r="GYD159" s="153"/>
      <c r="GYE159" s="153"/>
      <c r="GYF159" s="153"/>
      <c r="GYG159" s="153"/>
      <c r="GYH159" s="153"/>
      <c r="GYI159" s="153"/>
      <c r="GYJ159" s="153"/>
      <c r="GYK159" s="153"/>
      <c r="GYL159" s="153"/>
      <c r="GYM159" s="153"/>
      <c r="GYN159" s="153"/>
      <c r="GYO159" s="153"/>
      <c r="GYP159" s="153"/>
      <c r="GYQ159" s="153"/>
      <c r="GYR159" s="153"/>
      <c r="GYS159" s="153"/>
      <c r="GYT159" s="153"/>
      <c r="GYU159" s="153"/>
      <c r="GYV159" s="153"/>
      <c r="GYW159" s="153"/>
      <c r="GYX159" s="153"/>
      <c r="GYY159" s="153"/>
      <c r="GYZ159" s="153"/>
      <c r="GZA159" s="153"/>
      <c r="GZB159" s="153"/>
      <c r="GZC159" s="153"/>
      <c r="GZD159" s="153"/>
      <c r="GZE159" s="153"/>
      <c r="GZF159" s="153"/>
      <c r="GZG159" s="153"/>
      <c r="GZH159" s="153"/>
      <c r="GZI159" s="153"/>
      <c r="GZJ159" s="153"/>
      <c r="GZK159" s="153"/>
      <c r="GZL159" s="153"/>
      <c r="GZM159" s="153"/>
      <c r="GZN159" s="153"/>
      <c r="GZO159" s="153"/>
      <c r="GZP159" s="153"/>
      <c r="GZQ159" s="153"/>
      <c r="GZR159" s="153"/>
      <c r="GZS159" s="153"/>
      <c r="GZT159" s="153"/>
      <c r="GZU159" s="153"/>
      <c r="GZV159" s="153"/>
      <c r="GZW159" s="153"/>
      <c r="GZX159" s="153"/>
      <c r="GZY159" s="153"/>
      <c r="GZZ159" s="153"/>
      <c r="HAA159" s="153"/>
      <c r="HAB159" s="153"/>
      <c r="HAC159" s="153"/>
      <c r="HAD159" s="153"/>
      <c r="HAE159" s="153"/>
      <c r="HAF159" s="153"/>
      <c r="HAG159" s="153"/>
      <c r="HAH159" s="153"/>
      <c r="HAI159" s="153"/>
      <c r="HAJ159" s="153"/>
      <c r="HAK159" s="153"/>
      <c r="HAL159" s="153"/>
      <c r="HAM159" s="153"/>
      <c r="HAN159" s="153"/>
      <c r="HAO159" s="153"/>
      <c r="HAP159" s="153"/>
      <c r="HAQ159" s="153"/>
      <c r="HAR159" s="153"/>
      <c r="HAS159" s="153"/>
      <c r="HAT159" s="153"/>
      <c r="HAU159" s="153"/>
      <c r="HAV159" s="153"/>
      <c r="HAW159" s="153"/>
      <c r="HAX159" s="153"/>
      <c r="HAY159" s="153"/>
      <c r="HAZ159" s="153"/>
      <c r="HBA159" s="153"/>
      <c r="HBB159" s="153"/>
      <c r="HBC159" s="153"/>
      <c r="HBD159" s="153"/>
      <c r="HBE159" s="153"/>
      <c r="HBF159" s="153"/>
      <c r="HBG159" s="153"/>
      <c r="HBH159" s="153"/>
      <c r="HBI159" s="153"/>
      <c r="HBJ159" s="153"/>
      <c r="HBK159" s="153"/>
      <c r="HBL159" s="153"/>
      <c r="HBM159" s="153"/>
      <c r="HBN159" s="153"/>
      <c r="HBO159" s="153"/>
      <c r="HBP159" s="153"/>
      <c r="HBQ159" s="153"/>
      <c r="HBR159" s="153"/>
      <c r="HBS159" s="153"/>
      <c r="HBT159" s="153"/>
      <c r="HBU159" s="153"/>
      <c r="HBV159" s="153"/>
      <c r="HBW159" s="153"/>
      <c r="HBX159" s="153"/>
      <c r="HBY159" s="153"/>
      <c r="HBZ159" s="153"/>
      <c r="HCA159" s="153"/>
      <c r="HCB159" s="153"/>
      <c r="HCC159" s="153"/>
      <c r="HCD159" s="153"/>
      <c r="HCE159" s="153"/>
      <c r="HCF159" s="153"/>
      <c r="HCG159" s="153"/>
      <c r="HCH159" s="153"/>
      <c r="HCI159" s="153"/>
      <c r="HCJ159" s="153"/>
      <c r="HCK159" s="153"/>
      <c r="HCL159" s="153"/>
      <c r="HCM159" s="153"/>
      <c r="HCN159" s="153"/>
      <c r="HCO159" s="153"/>
      <c r="HCP159" s="153"/>
      <c r="HCQ159" s="153"/>
      <c r="HCR159" s="153"/>
      <c r="HCS159" s="153"/>
      <c r="HCT159" s="153"/>
      <c r="HCU159" s="153"/>
      <c r="HCV159" s="153"/>
      <c r="HCW159" s="153"/>
      <c r="HCX159" s="153"/>
      <c r="HCY159" s="153"/>
      <c r="HCZ159" s="153"/>
      <c r="HDA159" s="153"/>
      <c r="HDB159" s="153"/>
      <c r="HDC159" s="153"/>
      <c r="HDD159" s="153"/>
      <c r="HDE159" s="153"/>
      <c r="HDF159" s="153"/>
      <c r="HDG159" s="153"/>
      <c r="HDH159" s="153"/>
      <c r="HDI159" s="153"/>
      <c r="HDJ159" s="153"/>
      <c r="HDK159" s="153"/>
      <c r="HDL159" s="153"/>
      <c r="HDM159" s="153"/>
      <c r="HDN159" s="153"/>
      <c r="HDO159" s="153"/>
      <c r="HDP159" s="153"/>
      <c r="HDQ159" s="153"/>
      <c r="HDR159" s="153"/>
      <c r="HDS159" s="153"/>
      <c r="HDT159" s="153"/>
      <c r="HDU159" s="153"/>
      <c r="HDV159" s="153"/>
      <c r="HDW159" s="153"/>
      <c r="HDX159" s="153"/>
      <c r="HDY159" s="153"/>
      <c r="HDZ159" s="153"/>
      <c r="HEA159" s="153"/>
      <c r="HEB159" s="153"/>
      <c r="HEC159" s="153"/>
      <c r="HED159" s="153"/>
      <c r="HEE159" s="153"/>
      <c r="HEF159" s="153"/>
      <c r="HEG159" s="153"/>
      <c r="HEH159" s="153"/>
      <c r="HEI159" s="153"/>
      <c r="HEJ159" s="153"/>
      <c r="HEK159" s="153"/>
      <c r="HEL159" s="153"/>
      <c r="HEM159" s="153"/>
      <c r="HEN159" s="153"/>
      <c r="HEO159" s="153"/>
      <c r="HEP159" s="153"/>
      <c r="HEQ159" s="153"/>
      <c r="HER159" s="153"/>
      <c r="HES159" s="153"/>
      <c r="HET159" s="153"/>
      <c r="HEU159" s="153"/>
      <c r="HEV159" s="153"/>
      <c r="HEW159" s="153"/>
      <c r="HEX159" s="153"/>
      <c r="HEY159" s="153"/>
      <c r="HEZ159" s="153"/>
      <c r="HFA159" s="153"/>
      <c r="HFB159" s="153"/>
      <c r="HFC159" s="153"/>
      <c r="HFD159" s="153"/>
      <c r="HFE159" s="153"/>
      <c r="HFF159" s="153"/>
      <c r="HFG159" s="153"/>
      <c r="HFH159" s="153"/>
      <c r="HFI159" s="153"/>
      <c r="HFJ159" s="153"/>
      <c r="HFK159" s="153"/>
      <c r="HFL159" s="153"/>
      <c r="HFM159" s="153"/>
      <c r="HFN159" s="153"/>
      <c r="HFO159" s="153"/>
      <c r="HFP159" s="153"/>
      <c r="HFQ159" s="153"/>
      <c r="HFR159" s="153"/>
      <c r="HFS159" s="153"/>
      <c r="HFT159" s="153"/>
      <c r="HFU159" s="153"/>
      <c r="HFV159" s="153"/>
      <c r="HFW159" s="153"/>
      <c r="HFX159" s="153"/>
      <c r="HFY159" s="153"/>
      <c r="HFZ159" s="153"/>
      <c r="HGA159" s="153"/>
      <c r="HGB159" s="153"/>
      <c r="HGC159" s="153"/>
      <c r="HGD159" s="153"/>
      <c r="HGE159" s="153"/>
      <c r="HGF159" s="153"/>
      <c r="HGG159" s="153"/>
      <c r="HGH159" s="153"/>
      <c r="HGI159" s="153"/>
      <c r="HGJ159" s="153"/>
      <c r="HGK159" s="153"/>
      <c r="HGL159" s="153"/>
      <c r="HGM159" s="153"/>
      <c r="HGN159" s="153"/>
      <c r="HGO159" s="153"/>
      <c r="HGP159" s="153"/>
      <c r="HGQ159" s="153"/>
      <c r="HGR159" s="153"/>
      <c r="HGS159" s="153"/>
      <c r="HGT159" s="153"/>
      <c r="HGU159" s="153"/>
      <c r="HGV159" s="153"/>
      <c r="HGW159" s="153"/>
      <c r="HGX159" s="153"/>
      <c r="HGY159" s="153"/>
      <c r="HGZ159" s="153"/>
      <c r="HHA159" s="153"/>
      <c r="HHB159" s="153"/>
      <c r="HHC159" s="153"/>
      <c r="HHD159" s="153"/>
      <c r="HHE159" s="153"/>
      <c r="HHF159" s="153"/>
      <c r="HHG159" s="153"/>
      <c r="HHH159" s="153"/>
      <c r="HHI159" s="153"/>
      <c r="HHJ159" s="153"/>
      <c r="HHK159" s="153"/>
      <c r="HHL159" s="153"/>
      <c r="HHM159" s="153"/>
      <c r="HHN159" s="153"/>
      <c r="HHO159" s="153"/>
      <c r="HHP159" s="153"/>
      <c r="HHQ159" s="153"/>
      <c r="HHR159" s="153"/>
      <c r="HHS159" s="153"/>
      <c r="HHT159" s="153"/>
      <c r="HHU159" s="153"/>
      <c r="HHV159" s="153"/>
      <c r="HHW159" s="153"/>
      <c r="HHX159" s="153"/>
      <c r="HHY159" s="153"/>
      <c r="HHZ159" s="153"/>
      <c r="HIA159" s="153"/>
      <c r="HIB159" s="153"/>
      <c r="HIC159" s="153"/>
      <c r="HID159" s="153"/>
      <c r="HIE159" s="153"/>
      <c r="HIF159" s="153"/>
      <c r="HIG159" s="153"/>
      <c r="HIH159" s="153"/>
      <c r="HII159" s="153"/>
      <c r="HIJ159" s="153"/>
      <c r="HIK159" s="153"/>
      <c r="HIL159" s="153"/>
      <c r="HIM159" s="153"/>
      <c r="HIN159" s="153"/>
      <c r="HIO159" s="153"/>
      <c r="HIP159" s="153"/>
      <c r="HIQ159" s="153"/>
      <c r="HIR159" s="153"/>
      <c r="HIS159" s="153"/>
      <c r="HIT159" s="153"/>
      <c r="HIU159" s="153"/>
      <c r="HIV159" s="153"/>
      <c r="HIW159" s="153"/>
      <c r="HIX159" s="153"/>
      <c r="HIY159" s="153"/>
      <c r="HIZ159" s="153"/>
      <c r="HJA159" s="153"/>
      <c r="HJB159" s="153"/>
      <c r="HJC159" s="153"/>
      <c r="HJD159" s="153"/>
      <c r="HJE159" s="153"/>
      <c r="HJF159" s="153"/>
      <c r="HJG159" s="153"/>
      <c r="HJH159" s="153"/>
      <c r="HJI159" s="153"/>
      <c r="HJJ159" s="153"/>
      <c r="HJK159" s="153"/>
      <c r="HJL159" s="153"/>
      <c r="HJM159" s="153"/>
      <c r="HJN159" s="153"/>
      <c r="HJO159" s="153"/>
      <c r="HJP159" s="153"/>
      <c r="HJQ159" s="153"/>
      <c r="HJR159" s="153"/>
      <c r="HJS159" s="153"/>
      <c r="HJT159" s="153"/>
      <c r="HJU159" s="153"/>
      <c r="HJV159" s="153"/>
      <c r="HJW159" s="153"/>
      <c r="HJX159" s="153"/>
      <c r="HJY159" s="153"/>
      <c r="HJZ159" s="153"/>
      <c r="HKA159" s="153"/>
      <c r="HKB159" s="153"/>
      <c r="HKC159" s="153"/>
      <c r="HKD159" s="153"/>
      <c r="HKE159" s="153"/>
      <c r="HKF159" s="153"/>
      <c r="HKG159" s="153"/>
      <c r="HKH159" s="153"/>
      <c r="HKI159" s="153"/>
      <c r="HKJ159" s="153"/>
      <c r="HKK159" s="153"/>
      <c r="HKL159" s="153"/>
      <c r="HKM159" s="153"/>
      <c r="HKN159" s="153"/>
      <c r="HKO159" s="153"/>
      <c r="HKP159" s="153"/>
      <c r="HKQ159" s="153"/>
      <c r="HKR159" s="153"/>
      <c r="HKS159" s="153"/>
      <c r="HKT159" s="153"/>
      <c r="HKU159" s="153"/>
      <c r="HKV159" s="153"/>
      <c r="HKW159" s="153"/>
      <c r="HKX159" s="153"/>
      <c r="HKY159" s="153"/>
      <c r="HKZ159" s="153"/>
      <c r="HLA159" s="153"/>
      <c r="HLB159" s="153"/>
      <c r="HLC159" s="153"/>
      <c r="HLD159" s="153"/>
      <c r="HLE159" s="153"/>
      <c r="HLF159" s="153"/>
      <c r="HLG159" s="153"/>
      <c r="HLH159" s="153"/>
      <c r="HLI159" s="153"/>
      <c r="HLJ159" s="153"/>
      <c r="HLK159" s="153"/>
      <c r="HLL159" s="153"/>
      <c r="HLM159" s="153"/>
      <c r="HLN159" s="153"/>
      <c r="HLO159" s="153"/>
      <c r="HLP159" s="153"/>
      <c r="HLQ159" s="153"/>
      <c r="HLR159" s="153"/>
      <c r="HLS159" s="153"/>
      <c r="HLT159" s="153"/>
      <c r="HLU159" s="153"/>
      <c r="HLV159" s="153"/>
      <c r="HLW159" s="153"/>
      <c r="HLX159" s="153"/>
      <c r="HLY159" s="153"/>
      <c r="HLZ159" s="153"/>
      <c r="HMA159" s="153"/>
      <c r="HMB159" s="153"/>
      <c r="HMC159" s="153"/>
      <c r="HMD159" s="153"/>
      <c r="HME159" s="153"/>
      <c r="HMF159" s="153"/>
      <c r="HMG159" s="153"/>
      <c r="HMH159" s="153"/>
      <c r="HMI159" s="153"/>
      <c r="HMJ159" s="153"/>
      <c r="HMK159" s="153"/>
      <c r="HML159" s="153"/>
      <c r="HMM159" s="153"/>
      <c r="HMN159" s="153"/>
      <c r="HMO159" s="153"/>
      <c r="HMP159" s="153"/>
      <c r="HMQ159" s="153"/>
      <c r="HMR159" s="153"/>
      <c r="HMS159" s="153"/>
      <c r="HMT159" s="153"/>
      <c r="HMU159" s="153"/>
      <c r="HMV159" s="153"/>
      <c r="HMW159" s="153"/>
      <c r="HMX159" s="153"/>
      <c r="HMY159" s="153"/>
      <c r="HMZ159" s="153"/>
      <c r="HNA159" s="153"/>
      <c r="HNB159" s="153"/>
      <c r="HNC159" s="153"/>
      <c r="HND159" s="153"/>
      <c r="HNE159" s="153"/>
      <c r="HNF159" s="153"/>
      <c r="HNG159" s="153"/>
      <c r="HNH159" s="153"/>
      <c r="HNI159" s="153"/>
      <c r="HNJ159" s="153"/>
      <c r="HNK159" s="153"/>
      <c r="HNL159" s="153"/>
      <c r="HNM159" s="153"/>
      <c r="HNN159" s="153"/>
      <c r="HNO159" s="153"/>
      <c r="HNP159" s="153"/>
      <c r="HNQ159" s="153"/>
      <c r="HNR159" s="153"/>
      <c r="HNS159" s="153"/>
      <c r="HNT159" s="153"/>
      <c r="HNU159" s="153"/>
      <c r="HNV159" s="153"/>
      <c r="HNW159" s="153"/>
      <c r="HNX159" s="153"/>
      <c r="HNY159" s="153"/>
      <c r="HNZ159" s="153"/>
      <c r="HOA159" s="153"/>
      <c r="HOB159" s="153"/>
      <c r="HOC159" s="153"/>
      <c r="HOD159" s="153"/>
      <c r="HOE159" s="153"/>
      <c r="HOF159" s="153"/>
      <c r="HOG159" s="153"/>
      <c r="HOH159" s="153"/>
      <c r="HOI159" s="153"/>
      <c r="HOJ159" s="153"/>
      <c r="HOK159" s="153"/>
      <c r="HOL159" s="153"/>
      <c r="HOM159" s="153"/>
      <c r="HON159" s="153"/>
      <c r="HOO159" s="153"/>
      <c r="HOP159" s="153"/>
      <c r="HOQ159" s="153"/>
      <c r="HOR159" s="153"/>
      <c r="HOS159" s="153"/>
      <c r="HOT159" s="153"/>
      <c r="HOU159" s="153"/>
      <c r="HOV159" s="153"/>
      <c r="HOW159" s="153"/>
      <c r="HOX159" s="153"/>
      <c r="HOY159" s="153"/>
      <c r="HOZ159" s="153"/>
      <c r="HPA159" s="153"/>
      <c r="HPB159" s="153"/>
      <c r="HPC159" s="153"/>
      <c r="HPD159" s="153"/>
      <c r="HPE159" s="153"/>
      <c r="HPF159" s="153"/>
      <c r="HPG159" s="153"/>
      <c r="HPH159" s="153"/>
      <c r="HPI159" s="153"/>
      <c r="HPJ159" s="153"/>
      <c r="HPK159" s="153"/>
      <c r="HPL159" s="153"/>
      <c r="HPM159" s="153"/>
      <c r="HPN159" s="153"/>
      <c r="HPO159" s="153"/>
      <c r="HPP159" s="153"/>
      <c r="HPQ159" s="153"/>
      <c r="HPR159" s="153"/>
      <c r="HPS159" s="153"/>
      <c r="HPT159" s="153"/>
      <c r="HPU159" s="153"/>
      <c r="HPV159" s="153"/>
      <c r="HPW159" s="153"/>
      <c r="HPX159" s="153"/>
      <c r="HPY159" s="153"/>
      <c r="HPZ159" s="153"/>
      <c r="HQA159" s="153"/>
      <c r="HQB159" s="153"/>
      <c r="HQC159" s="153"/>
      <c r="HQD159" s="153"/>
      <c r="HQE159" s="153"/>
      <c r="HQF159" s="153"/>
      <c r="HQG159" s="153"/>
      <c r="HQH159" s="153"/>
      <c r="HQI159" s="153"/>
      <c r="HQJ159" s="153"/>
      <c r="HQK159" s="153"/>
      <c r="HQL159" s="153"/>
      <c r="HQM159" s="153"/>
      <c r="HQN159" s="153"/>
      <c r="HQO159" s="153"/>
      <c r="HQP159" s="153"/>
      <c r="HQQ159" s="153"/>
      <c r="HQR159" s="153"/>
      <c r="HQS159" s="153"/>
      <c r="HQT159" s="153"/>
      <c r="HQU159" s="153"/>
      <c r="HQV159" s="153"/>
      <c r="HQW159" s="153"/>
      <c r="HQX159" s="153"/>
      <c r="HQY159" s="153"/>
      <c r="HQZ159" s="153"/>
      <c r="HRA159" s="153"/>
      <c r="HRB159" s="153"/>
      <c r="HRC159" s="153"/>
      <c r="HRD159" s="153"/>
      <c r="HRE159" s="153"/>
      <c r="HRF159" s="153"/>
      <c r="HRG159" s="153"/>
      <c r="HRH159" s="153"/>
      <c r="HRI159" s="153"/>
      <c r="HRJ159" s="153"/>
      <c r="HRK159" s="153"/>
      <c r="HRL159" s="153"/>
      <c r="HRM159" s="153"/>
      <c r="HRN159" s="153"/>
      <c r="HRO159" s="153"/>
      <c r="HRP159" s="153"/>
      <c r="HRQ159" s="153"/>
      <c r="HRR159" s="153"/>
      <c r="HRS159" s="153"/>
      <c r="HRT159" s="153"/>
      <c r="HRU159" s="153"/>
      <c r="HRV159" s="153"/>
      <c r="HRW159" s="153"/>
      <c r="HRX159" s="153"/>
      <c r="HRY159" s="153"/>
      <c r="HRZ159" s="153"/>
      <c r="HSA159" s="153"/>
      <c r="HSB159" s="153"/>
      <c r="HSC159" s="153"/>
      <c r="HSD159" s="153"/>
      <c r="HSE159" s="153"/>
      <c r="HSF159" s="153"/>
      <c r="HSG159" s="153"/>
      <c r="HSH159" s="153"/>
      <c r="HSI159" s="153"/>
      <c r="HSJ159" s="153"/>
      <c r="HSK159" s="153"/>
      <c r="HSL159" s="153"/>
      <c r="HSM159" s="153"/>
      <c r="HSN159" s="153"/>
      <c r="HSO159" s="153"/>
      <c r="HSP159" s="153"/>
      <c r="HSQ159" s="153"/>
      <c r="HSR159" s="153"/>
      <c r="HSS159" s="153"/>
      <c r="HST159" s="153"/>
      <c r="HSU159" s="153"/>
      <c r="HSV159" s="153"/>
      <c r="HSW159" s="153"/>
      <c r="HSX159" s="153"/>
      <c r="HSY159" s="153"/>
      <c r="HSZ159" s="153"/>
      <c r="HTA159" s="153"/>
      <c r="HTB159" s="153"/>
      <c r="HTC159" s="153"/>
      <c r="HTD159" s="153"/>
      <c r="HTE159" s="153"/>
      <c r="HTF159" s="153"/>
      <c r="HTG159" s="153"/>
      <c r="HTH159" s="153"/>
      <c r="HTI159" s="153"/>
      <c r="HTJ159" s="153"/>
      <c r="HTK159" s="153"/>
      <c r="HTL159" s="153"/>
      <c r="HTM159" s="153"/>
      <c r="HTN159" s="153"/>
      <c r="HTO159" s="153"/>
      <c r="HTP159" s="153"/>
      <c r="HTQ159" s="153"/>
      <c r="HTR159" s="153"/>
      <c r="HTS159" s="153"/>
      <c r="HTT159" s="153"/>
      <c r="HTU159" s="153"/>
      <c r="HTV159" s="153"/>
      <c r="HTW159" s="153"/>
      <c r="HTX159" s="153"/>
      <c r="HTY159" s="153"/>
      <c r="HTZ159" s="153"/>
      <c r="HUA159" s="153"/>
      <c r="HUB159" s="153"/>
      <c r="HUC159" s="153"/>
      <c r="HUD159" s="153"/>
      <c r="HUE159" s="153"/>
      <c r="HUF159" s="153"/>
      <c r="HUG159" s="153"/>
      <c r="HUH159" s="153"/>
      <c r="HUI159" s="153"/>
      <c r="HUJ159" s="153"/>
      <c r="HUK159" s="153"/>
      <c r="HUL159" s="153"/>
      <c r="HUM159" s="153"/>
      <c r="HUN159" s="153"/>
      <c r="HUO159" s="153"/>
      <c r="HUP159" s="153"/>
      <c r="HUQ159" s="153"/>
      <c r="HUR159" s="153"/>
      <c r="HUS159" s="153"/>
      <c r="HUT159" s="153"/>
      <c r="HUU159" s="153"/>
      <c r="HUV159" s="153"/>
      <c r="HUW159" s="153"/>
      <c r="HUX159" s="153"/>
      <c r="HUY159" s="153"/>
      <c r="HUZ159" s="153"/>
      <c r="HVA159" s="153"/>
      <c r="HVB159" s="153"/>
      <c r="HVC159" s="153"/>
      <c r="HVD159" s="153"/>
      <c r="HVE159" s="153"/>
      <c r="HVF159" s="153"/>
      <c r="HVG159" s="153"/>
      <c r="HVH159" s="153"/>
      <c r="HVI159" s="153"/>
      <c r="HVJ159" s="153"/>
      <c r="HVK159" s="153"/>
      <c r="HVL159" s="153"/>
      <c r="HVM159" s="153"/>
      <c r="HVN159" s="153"/>
      <c r="HVO159" s="153"/>
      <c r="HVP159" s="153"/>
      <c r="HVQ159" s="153"/>
      <c r="HVR159" s="153"/>
      <c r="HVS159" s="153"/>
      <c r="HVT159" s="153"/>
      <c r="HVU159" s="153"/>
      <c r="HVV159" s="153"/>
      <c r="HVW159" s="153"/>
      <c r="HVX159" s="153"/>
      <c r="HVY159" s="153"/>
      <c r="HVZ159" s="153"/>
      <c r="HWA159" s="153"/>
      <c r="HWB159" s="153"/>
      <c r="HWC159" s="153"/>
      <c r="HWD159" s="153"/>
      <c r="HWE159" s="153"/>
      <c r="HWF159" s="153"/>
      <c r="HWG159" s="153"/>
      <c r="HWH159" s="153"/>
      <c r="HWI159" s="153"/>
      <c r="HWJ159" s="153"/>
      <c r="HWK159" s="153"/>
      <c r="HWL159" s="153"/>
      <c r="HWM159" s="153"/>
      <c r="HWN159" s="153"/>
      <c r="HWO159" s="153"/>
      <c r="HWP159" s="153"/>
      <c r="HWQ159" s="153"/>
      <c r="HWR159" s="153"/>
      <c r="HWS159" s="153"/>
      <c r="HWT159" s="153"/>
      <c r="HWU159" s="153"/>
      <c r="HWV159" s="153"/>
      <c r="HWW159" s="153"/>
      <c r="HWX159" s="153"/>
      <c r="HWY159" s="153"/>
      <c r="HWZ159" s="153"/>
      <c r="HXA159" s="153"/>
      <c r="HXB159" s="153"/>
      <c r="HXC159" s="153"/>
      <c r="HXD159" s="153"/>
      <c r="HXE159" s="153"/>
      <c r="HXF159" s="153"/>
      <c r="HXG159" s="153"/>
      <c r="HXH159" s="153"/>
      <c r="HXI159" s="153"/>
      <c r="HXJ159" s="153"/>
      <c r="HXK159" s="153"/>
      <c r="HXL159" s="153"/>
      <c r="HXM159" s="153"/>
      <c r="HXN159" s="153"/>
      <c r="HXO159" s="153"/>
      <c r="HXP159" s="153"/>
      <c r="HXQ159" s="153"/>
      <c r="HXR159" s="153"/>
      <c r="HXS159" s="153"/>
      <c r="HXT159" s="153"/>
      <c r="HXU159" s="153"/>
      <c r="HXV159" s="153"/>
      <c r="HXW159" s="153"/>
      <c r="HXX159" s="153"/>
      <c r="HXY159" s="153"/>
      <c r="HXZ159" s="153"/>
      <c r="HYA159" s="153"/>
      <c r="HYB159" s="153"/>
      <c r="HYC159" s="153"/>
      <c r="HYD159" s="153"/>
      <c r="HYE159" s="153"/>
      <c r="HYF159" s="153"/>
      <c r="HYG159" s="153"/>
      <c r="HYH159" s="153"/>
      <c r="HYI159" s="153"/>
      <c r="HYJ159" s="153"/>
      <c r="HYK159" s="153"/>
      <c r="HYL159" s="153"/>
      <c r="HYM159" s="153"/>
      <c r="HYN159" s="153"/>
      <c r="HYO159" s="153"/>
      <c r="HYP159" s="153"/>
      <c r="HYQ159" s="153"/>
      <c r="HYR159" s="153"/>
      <c r="HYS159" s="153"/>
      <c r="HYT159" s="153"/>
      <c r="HYU159" s="153"/>
      <c r="HYV159" s="153"/>
      <c r="HYW159" s="153"/>
      <c r="HYX159" s="153"/>
      <c r="HYY159" s="153"/>
      <c r="HYZ159" s="153"/>
      <c r="HZA159" s="153"/>
      <c r="HZB159" s="153"/>
      <c r="HZC159" s="153"/>
      <c r="HZD159" s="153"/>
      <c r="HZE159" s="153"/>
      <c r="HZF159" s="153"/>
      <c r="HZG159" s="153"/>
      <c r="HZH159" s="153"/>
      <c r="HZI159" s="153"/>
      <c r="HZJ159" s="153"/>
      <c r="HZK159" s="153"/>
      <c r="HZL159" s="153"/>
      <c r="HZM159" s="153"/>
      <c r="HZN159" s="153"/>
      <c r="HZO159" s="153"/>
      <c r="HZP159" s="153"/>
      <c r="HZQ159" s="153"/>
      <c r="HZR159" s="153"/>
      <c r="HZS159" s="153"/>
      <c r="HZT159" s="153"/>
      <c r="HZU159" s="153"/>
      <c r="HZV159" s="153"/>
      <c r="HZW159" s="153"/>
      <c r="HZX159" s="153"/>
      <c r="HZY159" s="153"/>
      <c r="HZZ159" s="153"/>
      <c r="IAA159" s="153"/>
      <c r="IAB159" s="153"/>
      <c r="IAC159" s="153"/>
      <c r="IAD159" s="153"/>
      <c r="IAE159" s="153"/>
      <c r="IAF159" s="153"/>
      <c r="IAG159" s="153"/>
      <c r="IAH159" s="153"/>
      <c r="IAI159" s="153"/>
      <c r="IAJ159" s="153"/>
      <c r="IAK159" s="153"/>
      <c r="IAL159" s="153"/>
      <c r="IAM159" s="153"/>
      <c r="IAN159" s="153"/>
      <c r="IAO159" s="153"/>
      <c r="IAP159" s="153"/>
      <c r="IAQ159" s="153"/>
      <c r="IAR159" s="153"/>
      <c r="IAS159" s="153"/>
      <c r="IAT159" s="153"/>
      <c r="IAU159" s="153"/>
      <c r="IAV159" s="153"/>
      <c r="IAW159" s="153"/>
      <c r="IAX159" s="153"/>
      <c r="IAY159" s="153"/>
      <c r="IAZ159" s="153"/>
      <c r="IBA159" s="153"/>
      <c r="IBB159" s="153"/>
      <c r="IBC159" s="153"/>
      <c r="IBD159" s="153"/>
      <c r="IBE159" s="153"/>
      <c r="IBF159" s="153"/>
      <c r="IBG159" s="153"/>
      <c r="IBH159" s="153"/>
      <c r="IBI159" s="153"/>
      <c r="IBJ159" s="153"/>
      <c r="IBK159" s="153"/>
      <c r="IBL159" s="153"/>
      <c r="IBM159" s="153"/>
      <c r="IBN159" s="153"/>
      <c r="IBO159" s="153"/>
      <c r="IBP159" s="153"/>
      <c r="IBQ159" s="153"/>
      <c r="IBR159" s="153"/>
      <c r="IBS159" s="153"/>
      <c r="IBT159" s="153"/>
      <c r="IBU159" s="153"/>
      <c r="IBV159" s="153"/>
      <c r="IBW159" s="153"/>
      <c r="IBX159" s="153"/>
      <c r="IBY159" s="153"/>
      <c r="IBZ159" s="153"/>
      <c r="ICA159" s="153"/>
      <c r="ICB159" s="153"/>
      <c r="ICC159" s="153"/>
      <c r="ICD159" s="153"/>
      <c r="ICE159" s="153"/>
      <c r="ICF159" s="153"/>
      <c r="ICG159" s="153"/>
      <c r="ICH159" s="153"/>
      <c r="ICI159" s="153"/>
      <c r="ICJ159" s="153"/>
      <c r="ICK159" s="153"/>
      <c r="ICL159" s="153"/>
      <c r="ICM159" s="153"/>
      <c r="ICN159" s="153"/>
      <c r="ICO159" s="153"/>
      <c r="ICP159" s="153"/>
      <c r="ICQ159" s="153"/>
      <c r="ICR159" s="153"/>
      <c r="ICS159" s="153"/>
      <c r="ICT159" s="153"/>
      <c r="ICU159" s="153"/>
      <c r="ICV159" s="153"/>
      <c r="ICW159" s="153"/>
      <c r="ICX159" s="153"/>
      <c r="ICY159" s="153"/>
      <c r="ICZ159" s="153"/>
      <c r="IDA159" s="153"/>
      <c r="IDB159" s="153"/>
      <c r="IDC159" s="153"/>
      <c r="IDD159" s="153"/>
      <c r="IDE159" s="153"/>
      <c r="IDF159" s="153"/>
      <c r="IDG159" s="153"/>
      <c r="IDH159" s="153"/>
      <c r="IDI159" s="153"/>
      <c r="IDJ159" s="153"/>
      <c r="IDK159" s="153"/>
      <c r="IDL159" s="153"/>
      <c r="IDM159" s="153"/>
      <c r="IDN159" s="153"/>
      <c r="IDO159" s="153"/>
      <c r="IDP159" s="153"/>
      <c r="IDQ159" s="153"/>
      <c r="IDR159" s="153"/>
      <c r="IDS159" s="153"/>
      <c r="IDT159" s="153"/>
      <c r="IDU159" s="153"/>
      <c r="IDV159" s="153"/>
      <c r="IDW159" s="153"/>
      <c r="IDX159" s="153"/>
      <c r="IDY159" s="153"/>
      <c r="IDZ159" s="153"/>
      <c r="IEA159" s="153"/>
      <c r="IEB159" s="153"/>
      <c r="IEC159" s="153"/>
      <c r="IED159" s="153"/>
      <c r="IEE159" s="153"/>
      <c r="IEF159" s="153"/>
      <c r="IEG159" s="153"/>
      <c r="IEH159" s="153"/>
      <c r="IEI159" s="153"/>
      <c r="IEJ159" s="153"/>
      <c r="IEK159" s="153"/>
      <c r="IEL159" s="153"/>
      <c r="IEM159" s="153"/>
      <c r="IEN159" s="153"/>
      <c r="IEO159" s="153"/>
      <c r="IEP159" s="153"/>
      <c r="IEQ159" s="153"/>
      <c r="IER159" s="153"/>
      <c r="IES159" s="153"/>
      <c r="IET159" s="153"/>
      <c r="IEU159" s="153"/>
      <c r="IEV159" s="153"/>
      <c r="IEW159" s="153"/>
      <c r="IEX159" s="153"/>
      <c r="IEY159" s="153"/>
      <c r="IEZ159" s="153"/>
      <c r="IFA159" s="153"/>
      <c r="IFB159" s="153"/>
      <c r="IFC159" s="153"/>
      <c r="IFD159" s="153"/>
      <c r="IFE159" s="153"/>
      <c r="IFF159" s="153"/>
      <c r="IFG159" s="153"/>
      <c r="IFH159" s="153"/>
      <c r="IFI159" s="153"/>
      <c r="IFJ159" s="153"/>
      <c r="IFK159" s="153"/>
      <c r="IFL159" s="153"/>
      <c r="IFM159" s="153"/>
      <c r="IFN159" s="153"/>
      <c r="IFO159" s="153"/>
      <c r="IFP159" s="153"/>
      <c r="IFQ159" s="153"/>
      <c r="IFR159" s="153"/>
      <c r="IFS159" s="153"/>
      <c r="IFT159" s="153"/>
      <c r="IFU159" s="153"/>
      <c r="IFV159" s="153"/>
      <c r="IFW159" s="153"/>
      <c r="IFX159" s="153"/>
      <c r="IFY159" s="153"/>
      <c r="IFZ159" s="153"/>
      <c r="IGA159" s="153"/>
      <c r="IGB159" s="153"/>
      <c r="IGC159" s="153"/>
      <c r="IGD159" s="153"/>
      <c r="IGE159" s="153"/>
      <c r="IGF159" s="153"/>
      <c r="IGG159" s="153"/>
      <c r="IGH159" s="153"/>
      <c r="IGI159" s="153"/>
      <c r="IGJ159" s="153"/>
      <c r="IGK159" s="153"/>
      <c r="IGL159" s="153"/>
      <c r="IGM159" s="153"/>
      <c r="IGN159" s="153"/>
      <c r="IGO159" s="153"/>
      <c r="IGP159" s="153"/>
      <c r="IGQ159" s="153"/>
      <c r="IGR159" s="153"/>
      <c r="IGS159" s="153"/>
      <c r="IGT159" s="153"/>
      <c r="IGU159" s="153"/>
      <c r="IGV159" s="153"/>
      <c r="IGW159" s="153"/>
      <c r="IGX159" s="153"/>
      <c r="IGY159" s="153"/>
      <c r="IGZ159" s="153"/>
      <c r="IHA159" s="153"/>
      <c r="IHB159" s="153"/>
      <c r="IHC159" s="153"/>
      <c r="IHD159" s="153"/>
      <c r="IHE159" s="153"/>
      <c r="IHF159" s="153"/>
      <c r="IHG159" s="153"/>
      <c r="IHH159" s="153"/>
      <c r="IHI159" s="153"/>
      <c r="IHJ159" s="153"/>
      <c r="IHK159" s="153"/>
      <c r="IHL159" s="153"/>
      <c r="IHM159" s="153"/>
      <c r="IHN159" s="153"/>
      <c r="IHO159" s="153"/>
      <c r="IHP159" s="153"/>
      <c r="IHQ159" s="153"/>
      <c r="IHR159" s="153"/>
      <c r="IHS159" s="153"/>
      <c r="IHT159" s="153"/>
      <c r="IHU159" s="153"/>
      <c r="IHV159" s="153"/>
      <c r="IHW159" s="153"/>
      <c r="IHX159" s="153"/>
      <c r="IHY159" s="153"/>
      <c r="IHZ159" s="153"/>
      <c r="IIA159" s="153"/>
      <c r="IIB159" s="153"/>
      <c r="IIC159" s="153"/>
      <c r="IID159" s="153"/>
      <c r="IIE159" s="153"/>
      <c r="IIF159" s="153"/>
      <c r="IIG159" s="153"/>
      <c r="IIH159" s="153"/>
      <c r="III159" s="153"/>
      <c r="IIJ159" s="153"/>
      <c r="IIK159" s="153"/>
      <c r="IIL159" s="153"/>
      <c r="IIM159" s="153"/>
      <c r="IIN159" s="153"/>
      <c r="IIO159" s="153"/>
      <c r="IIP159" s="153"/>
      <c r="IIQ159" s="153"/>
      <c r="IIR159" s="153"/>
      <c r="IIS159" s="153"/>
      <c r="IIT159" s="153"/>
      <c r="IIU159" s="153"/>
      <c r="IIV159" s="153"/>
      <c r="IIW159" s="153"/>
      <c r="IIX159" s="153"/>
      <c r="IIY159" s="153"/>
      <c r="IIZ159" s="153"/>
      <c r="IJA159" s="153"/>
      <c r="IJB159" s="153"/>
      <c r="IJC159" s="153"/>
      <c r="IJD159" s="153"/>
      <c r="IJE159" s="153"/>
      <c r="IJF159" s="153"/>
      <c r="IJG159" s="153"/>
      <c r="IJH159" s="153"/>
      <c r="IJI159" s="153"/>
      <c r="IJJ159" s="153"/>
      <c r="IJK159" s="153"/>
      <c r="IJL159" s="153"/>
      <c r="IJM159" s="153"/>
      <c r="IJN159" s="153"/>
      <c r="IJO159" s="153"/>
      <c r="IJP159" s="153"/>
      <c r="IJQ159" s="153"/>
      <c r="IJR159" s="153"/>
      <c r="IJS159" s="153"/>
      <c r="IJT159" s="153"/>
      <c r="IJU159" s="153"/>
      <c r="IJV159" s="153"/>
      <c r="IJW159" s="153"/>
      <c r="IJX159" s="153"/>
      <c r="IJY159" s="153"/>
      <c r="IJZ159" s="153"/>
      <c r="IKA159" s="153"/>
      <c r="IKB159" s="153"/>
      <c r="IKC159" s="153"/>
      <c r="IKD159" s="153"/>
      <c r="IKE159" s="153"/>
      <c r="IKF159" s="153"/>
      <c r="IKG159" s="153"/>
      <c r="IKH159" s="153"/>
      <c r="IKI159" s="153"/>
      <c r="IKJ159" s="153"/>
      <c r="IKK159" s="153"/>
      <c r="IKL159" s="153"/>
      <c r="IKM159" s="153"/>
      <c r="IKN159" s="153"/>
      <c r="IKO159" s="153"/>
      <c r="IKP159" s="153"/>
      <c r="IKQ159" s="153"/>
      <c r="IKR159" s="153"/>
      <c r="IKS159" s="153"/>
      <c r="IKT159" s="153"/>
      <c r="IKU159" s="153"/>
      <c r="IKV159" s="153"/>
      <c r="IKW159" s="153"/>
      <c r="IKX159" s="153"/>
      <c r="IKY159" s="153"/>
      <c r="IKZ159" s="153"/>
      <c r="ILA159" s="153"/>
      <c r="ILB159" s="153"/>
      <c r="ILC159" s="153"/>
      <c r="ILD159" s="153"/>
      <c r="ILE159" s="153"/>
      <c r="ILF159" s="153"/>
      <c r="ILG159" s="153"/>
      <c r="ILH159" s="153"/>
      <c r="ILI159" s="153"/>
      <c r="ILJ159" s="153"/>
      <c r="ILK159" s="153"/>
      <c r="ILL159" s="153"/>
      <c r="ILM159" s="153"/>
      <c r="ILN159" s="153"/>
      <c r="ILO159" s="153"/>
      <c r="ILP159" s="153"/>
      <c r="ILQ159" s="153"/>
      <c r="ILR159" s="153"/>
      <c r="ILS159" s="153"/>
      <c r="ILT159" s="153"/>
      <c r="ILU159" s="153"/>
      <c r="ILV159" s="153"/>
      <c r="ILW159" s="153"/>
      <c r="ILX159" s="153"/>
      <c r="ILY159" s="153"/>
      <c r="ILZ159" s="153"/>
      <c r="IMA159" s="153"/>
      <c r="IMB159" s="153"/>
      <c r="IMC159" s="153"/>
      <c r="IMD159" s="153"/>
      <c r="IME159" s="153"/>
      <c r="IMF159" s="153"/>
      <c r="IMG159" s="153"/>
      <c r="IMH159" s="153"/>
      <c r="IMI159" s="153"/>
      <c r="IMJ159" s="153"/>
      <c r="IMK159" s="153"/>
      <c r="IML159" s="153"/>
      <c r="IMM159" s="153"/>
      <c r="IMN159" s="153"/>
      <c r="IMO159" s="153"/>
      <c r="IMP159" s="153"/>
      <c r="IMQ159" s="153"/>
      <c r="IMR159" s="153"/>
      <c r="IMS159" s="153"/>
      <c r="IMT159" s="153"/>
      <c r="IMU159" s="153"/>
      <c r="IMV159" s="153"/>
      <c r="IMW159" s="153"/>
      <c r="IMX159" s="153"/>
      <c r="IMY159" s="153"/>
      <c r="IMZ159" s="153"/>
      <c r="INA159" s="153"/>
      <c r="INB159" s="153"/>
      <c r="INC159" s="153"/>
      <c r="IND159" s="153"/>
      <c r="INE159" s="153"/>
      <c r="INF159" s="153"/>
      <c r="ING159" s="153"/>
      <c r="INH159" s="153"/>
      <c r="INI159" s="153"/>
      <c r="INJ159" s="153"/>
      <c r="INK159" s="153"/>
      <c r="INL159" s="153"/>
      <c r="INM159" s="153"/>
      <c r="INN159" s="153"/>
      <c r="INO159" s="153"/>
      <c r="INP159" s="153"/>
      <c r="INQ159" s="153"/>
      <c r="INR159" s="153"/>
      <c r="INS159" s="153"/>
      <c r="INT159" s="153"/>
      <c r="INU159" s="153"/>
      <c r="INV159" s="153"/>
      <c r="INW159" s="153"/>
      <c r="INX159" s="153"/>
      <c r="INY159" s="153"/>
      <c r="INZ159" s="153"/>
      <c r="IOA159" s="153"/>
      <c r="IOB159" s="153"/>
      <c r="IOC159" s="153"/>
      <c r="IOD159" s="153"/>
      <c r="IOE159" s="153"/>
      <c r="IOF159" s="153"/>
      <c r="IOG159" s="153"/>
      <c r="IOH159" s="153"/>
      <c r="IOI159" s="153"/>
      <c r="IOJ159" s="153"/>
      <c r="IOK159" s="153"/>
      <c r="IOL159" s="153"/>
      <c r="IOM159" s="153"/>
      <c r="ION159" s="153"/>
      <c r="IOO159" s="153"/>
      <c r="IOP159" s="153"/>
      <c r="IOQ159" s="153"/>
      <c r="IOR159" s="153"/>
      <c r="IOS159" s="153"/>
      <c r="IOT159" s="153"/>
      <c r="IOU159" s="153"/>
      <c r="IOV159" s="153"/>
      <c r="IOW159" s="153"/>
      <c r="IOX159" s="153"/>
      <c r="IOY159" s="153"/>
      <c r="IOZ159" s="153"/>
      <c r="IPA159" s="153"/>
      <c r="IPB159" s="153"/>
      <c r="IPC159" s="153"/>
      <c r="IPD159" s="153"/>
      <c r="IPE159" s="153"/>
      <c r="IPF159" s="153"/>
      <c r="IPG159" s="153"/>
      <c r="IPH159" s="153"/>
      <c r="IPI159" s="153"/>
      <c r="IPJ159" s="153"/>
      <c r="IPK159" s="153"/>
      <c r="IPL159" s="153"/>
      <c r="IPM159" s="153"/>
      <c r="IPN159" s="153"/>
      <c r="IPO159" s="153"/>
      <c r="IPP159" s="153"/>
      <c r="IPQ159" s="153"/>
      <c r="IPR159" s="153"/>
      <c r="IPS159" s="153"/>
      <c r="IPT159" s="153"/>
      <c r="IPU159" s="153"/>
      <c r="IPV159" s="153"/>
      <c r="IPW159" s="153"/>
      <c r="IPX159" s="153"/>
      <c r="IPY159" s="153"/>
      <c r="IPZ159" s="153"/>
      <c r="IQA159" s="153"/>
      <c r="IQB159" s="153"/>
      <c r="IQC159" s="153"/>
      <c r="IQD159" s="153"/>
      <c r="IQE159" s="153"/>
      <c r="IQF159" s="153"/>
      <c r="IQG159" s="153"/>
      <c r="IQH159" s="153"/>
      <c r="IQI159" s="153"/>
      <c r="IQJ159" s="153"/>
      <c r="IQK159" s="153"/>
      <c r="IQL159" s="153"/>
      <c r="IQM159" s="153"/>
      <c r="IQN159" s="153"/>
      <c r="IQO159" s="153"/>
      <c r="IQP159" s="153"/>
      <c r="IQQ159" s="153"/>
      <c r="IQR159" s="153"/>
      <c r="IQS159" s="153"/>
      <c r="IQT159" s="153"/>
      <c r="IQU159" s="153"/>
      <c r="IQV159" s="153"/>
      <c r="IQW159" s="153"/>
      <c r="IQX159" s="153"/>
      <c r="IQY159" s="153"/>
      <c r="IQZ159" s="153"/>
      <c r="IRA159" s="153"/>
      <c r="IRB159" s="153"/>
      <c r="IRC159" s="153"/>
      <c r="IRD159" s="153"/>
      <c r="IRE159" s="153"/>
      <c r="IRF159" s="153"/>
      <c r="IRG159" s="153"/>
      <c r="IRH159" s="153"/>
      <c r="IRI159" s="153"/>
      <c r="IRJ159" s="153"/>
      <c r="IRK159" s="153"/>
      <c r="IRL159" s="153"/>
      <c r="IRM159" s="153"/>
      <c r="IRN159" s="153"/>
      <c r="IRO159" s="153"/>
      <c r="IRP159" s="153"/>
      <c r="IRQ159" s="153"/>
      <c r="IRR159" s="153"/>
      <c r="IRS159" s="153"/>
      <c r="IRT159" s="153"/>
      <c r="IRU159" s="153"/>
      <c r="IRV159" s="153"/>
      <c r="IRW159" s="153"/>
      <c r="IRX159" s="153"/>
      <c r="IRY159" s="153"/>
      <c r="IRZ159" s="153"/>
      <c r="ISA159" s="153"/>
      <c r="ISB159" s="153"/>
      <c r="ISC159" s="153"/>
      <c r="ISD159" s="153"/>
      <c r="ISE159" s="153"/>
      <c r="ISF159" s="153"/>
      <c r="ISG159" s="153"/>
      <c r="ISH159" s="153"/>
      <c r="ISI159" s="153"/>
      <c r="ISJ159" s="153"/>
      <c r="ISK159" s="153"/>
      <c r="ISL159" s="153"/>
      <c r="ISM159" s="153"/>
      <c r="ISN159" s="153"/>
      <c r="ISO159" s="153"/>
      <c r="ISP159" s="153"/>
      <c r="ISQ159" s="153"/>
      <c r="ISR159" s="153"/>
      <c r="ISS159" s="153"/>
      <c r="IST159" s="153"/>
      <c r="ISU159" s="153"/>
      <c r="ISV159" s="153"/>
      <c r="ISW159" s="153"/>
      <c r="ISX159" s="153"/>
      <c r="ISY159" s="153"/>
      <c r="ISZ159" s="153"/>
      <c r="ITA159" s="153"/>
      <c r="ITB159" s="153"/>
      <c r="ITC159" s="153"/>
      <c r="ITD159" s="153"/>
      <c r="ITE159" s="153"/>
      <c r="ITF159" s="153"/>
      <c r="ITG159" s="153"/>
      <c r="ITH159" s="153"/>
      <c r="ITI159" s="153"/>
      <c r="ITJ159" s="153"/>
      <c r="ITK159" s="153"/>
      <c r="ITL159" s="153"/>
      <c r="ITM159" s="153"/>
      <c r="ITN159" s="153"/>
      <c r="ITO159" s="153"/>
      <c r="ITP159" s="153"/>
      <c r="ITQ159" s="153"/>
      <c r="ITR159" s="153"/>
      <c r="ITS159" s="153"/>
      <c r="ITT159" s="153"/>
      <c r="ITU159" s="153"/>
      <c r="ITV159" s="153"/>
      <c r="ITW159" s="153"/>
      <c r="ITX159" s="153"/>
      <c r="ITY159" s="153"/>
      <c r="ITZ159" s="153"/>
      <c r="IUA159" s="153"/>
      <c r="IUB159" s="153"/>
      <c r="IUC159" s="153"/>
      <c r="IUD159" s="153"/>
      <c r="IUE159" s="153"/>
      <c r="IUF159" s="153"/>
      <c r="IUG159" s="153"/>
      <c r="IUH159" s="153"/>
      <c r="IUI159" s="153"/>
      <c r="IUJ159" s="153"/>
      <c r="IUK159" s="153"/>
      <c r="IUL159" s="153"/>
      <c r="IUM159" s="153"/>
      <c r="IUN159" s="153"/>
      <c r="IUO159" s="153"/>
      <c r="IUP159" s="153"/>
      <c r="IUQ159" s="153"/>
      <c r="IUR159" s="153"/>
      <c r="IUS159" s="153"/>
      <c r="IUT159" s="153"/>
      <c r="IUU159" s="153"/>
      <c r="IUV159" s="153"/>
      <c r="IUW159" s="153"/>
      <c r="IUX159" s="153"/>
      <c r="IUY159" s="153"/>
      <c r="IUZ159" s="153"/>
      <c r="IVA159" s="153"/>
      <c r="IVB159" s="153"/>
      <c r="IVC159" s="153"/>
      <c r="IVD159" s="153"/>
      <c r="IVE159" s="153"/>
      <c r="IVF159" s="153"/>
      <c r="IVG159" s="153"/>
      <c r="IVH159" s="153"/>
      <c r="IVI159" s="153"/>
      <c r="IVJ159" s="153"/>
      <c r="IVK159" s="153"/>
      <c r="IVL159" s="153"/>
      <c r="IVM159" s="153"/>
      <c r="IVN159" s="153"/>
      <c r="IVO159" s="153"/>
      <c r="IVP159" s="153"/>
      <c r="IVQ159" s="153"/>
      <c r="IVR159" s="153"/>
      <c r="IVS159" s="153"/>
      <c r="IVT159" s="153"/>
      <c r="IVU159" s="153"/>
      <c r="IVV159" s="153"/>
      <c r="IVW159" s="153"/>
      <c r="IVX159" s="153"/>
      <c r="IVY159" s="153"/>
      <c r="IVZ159" s="153"/>
      <c r="IWA159" s="153"/>
      <c r="IWB159" s="153"/>
      <c r="IWC159" s="153"/>
      <c r="IWD159" s="153"/>
      <c r="IWE159" s="153"/>
      <c r="IWF159" s="153"/>
      <c r="IWG159" s="153"/>
      <c r="IWH159" s="153"/>
      <c r="IWI159" s="153"/>
      <c r="IWJ159" s="153"/>
      <c r="IWK159" s="153"/>
      <c r="IWL159" s="153"/>
      <c r="IWM159" s="153"/>
      <c r="IWN159" s="153"/>
      <c r="IWO159" s="153"/>
      <c r="IWP159" s="153"/>
      <c r="IWQ159" s="153"/>
      <c r="IWR159" s="153"/>
      <c r="IWS159" s="153"/>
      <c r="IWT159" s="153"/>
      <c r="IWU159" s="153"/>
      <c r="IWV159" s="153"/>
      <c r="IWW159" s="153"/>
      <c r="IWX159" s="153"/>
      <c r="IWY159" s="153"/>
      <c r="IWZ159" s="153"/>
      <c r="IXA159" s="153"/>
      <c r="IXB159" s="153"/>
      <c r="IXC159" s="153"/>
      <c r="IXD159" s="153"/>
      <c r="IXE159" s="153"/>
      <c r="IXF159" s="153"/>
      <c r="IXG159" s="153"/>
      <c r="IXH159" s="153"/>
      <c r="IXI159" s="153"/>
      <c r="IXJ159" s="153"/>
      <c r="IXK159" s="153"/>
      <c r="IXL159" s="153"/>
      <c r="IXM159" s="153"/>
      <c r="IXN159" s="153"/>
      <c r="IXO159" s="153"/>
      <c r="IXP159" s="153"/>
      <c r="IXQ159" s="153"/>
      <c r="IXR159" s="153"/>
      <c r="IXS159" s="153"/>
      <c r="IXT159" s="153"/>
      <c r="IXU159" s="153"/>
      <c r="IXV159" s="153"/>
      <c r="IXW159" s="153"/>
      <c r="IXX159" s="153"/>
      <c r="IXY159" s="153"/>
      <c r="IXZ159" s="153"/>
      <c r="IYA159" s="153"/>
      <c r="IYB159" s="153"/>
      <c r="IYC159" s="153"/>
      <c r="IYD159" s="153"/>
      <c r="IYE159" s="153"/>
      <c r="IYF159" s="153"/>
      <c r="IYG159" s="153"/>
      <c r="IYH159" s="153"/>
      <c r="IYI159" s="153"/>
      <c r="IYJ159" s="153"/>
      <c r="IYK159" s="153"/>
      <c r="IYL159" s="153"/>
      <c r="IYM159" s="153"/>
      <c r="IYN159" s="153"/>
      <c r="IYO159" s="153"/>
      <c r="IYP159" s="153"/>
      <c r="IYQ159" s="153"/>
      <c r="IYR159" s="153"/>
      <c r="IYS159" s="153"/>
      <c r="IYT159" s="153"/>
      <c r="IYU159" s="153"/>
      <c r="IYV159" s="153"/>
      <c r="IYW159" s="153"/>
      <c r="IYX159" s="153"/>
      <c r="IYY159" s="153"/>
      <c r="IYZ159" s="153"/>
      <c r="IZA159" s="153"/>
      <c r="IZB159" s="153"/>
      <c r="IZC159" s="153"/>
      <c r="IZD159" s="153"/>
      <c r="IZE159" s="153"/>
      <c r="IZF159" s="153"/>
      <c r="IZG159" s="153"/>
      <c r="IZH159" s="153"/>
      <c r="IZI159" s="153"/>
      <c r="IZJ159" s="153"/>
      <c r="IZK159" s="153"/>
      <c r="IZL159" s="153"/>
      <c r="IZM159" s="153"/>
      <c r="IZN159" s="153"/>
      <c r="IZO159" s="153"/>
      <c r="IZP159" s="153"/>
      <c r="IZQ159" s="153"/>
      <c r="IZR159" s="153"/>
      <c r="IZS159" s="153"/>
      <c r="IZT159" s="153"/>
      <c r="IZU159" s="153"/>
      <c r="IZV159" s="153"/>
      <c r="IZW159" s="153"/>
      <c r="IZX159" s="153"/>
      <c r="IZY159" s="153"/>
      <c r="IZZ159" s="153"/>
      <c r="JAA159" s="153"/>
      <c r="JAB159" s="153"/>
      <c r="JAC159" s="153"/>
      <c r="JAD159" s="153"/>
      <c r="JAE159" s="153"/>
      <c r="JAF159" s="153"/>
      <c r="JAG159" s="153"/>
      <c r="JAH159" s="153"/>
      <c r="JAI159" s="153"/>
      <c r="JAJ159" s="153"/>
      <c r="JAK159" s="153"/>
      <c r="JAL159" s="153"/>
      <c r="JAM159" s="153"/>
      <c r="JAN159" s="153"/>
      <c r="JAO159" s="153"/>
      <c r="JAP159" s="153"/>
      <c r="JAQ159" s="153"/>
      <c r="JAR159" s="153"/>
      <c r="JAS159" s="153"/>
      <c r="JAT159" s="153"/>
      <c r="JAU159" s="153"/>
      <c r="JAV159" s="153"/>
      <c r="JAW159" s="153"/>
      <c r="JAX159" s="153"/>
      <c r="JAY159" s="153"/>
      <c r="JAZ159" s="153"/>
      <c r="JBA159" s="153"/>
      <c r="JBB159" s="153"/>
      <c r="JBC159" s="153"/>
      <c r="JBD159" s="153"/>
      <c r="JBE159" s="153"/>
      <c r="JBF159" s="153"/>
      <c r="JBG159" s="153"/>
      <c r="JBH159" s="153"/>
      <c r="JBI159" s="153"/>
      <c r="JBJ159" s="153"/>
      <c r="JBK159" s="153"/>
      <c r="JBL159" s="153"/>
      <c r="JBM159" s="153"/>
      <c r="JBN159" s="153"/>
      <c r="JBO159" s="153"/>
      <c r="JBP159" s="153"/>
      <c r="JBQ159" s="153"/>
      <c r="JBR159" s="153"/>
      <c r="JBS159" s="153"/>
      <c r="JBT159" s="153"/>
      <c r="JBU159" s="153"/>
      <c r="JBV159" s="153"/>
      <c r="JBW159" s="153"/>
      <c r="JBX159" s="153"/>
      <c r="JBY159" s="153"/>
      <c r="JBZ159" s="153"/>
      <c r="JCA159" s="153"/>
      <c r="JCB159" s="153"/>
      <c r="JCC159" s="153"/>
      <c r="JCD159" s="153"/>
      <c r="JCE159" s="153"/>
      <c r="JCF159" s="153"/>
      <c r="JCG159" s="153"/>
      <c r="JCH159" s="153"/>
      <c r="JCI159" s="153"/>
      <c r="JCJ159" s="153"/>
      <c r="JCK159" s="153"/>
      <c r="JCL159" s="153"/>
      <c r="JCM159" s="153"/>
      <c r="JCN159" s="153"/>
      <c r="JCO159" s="153"/>
      <c r="JCP159" s="153"/>
      <c r="JCQ159" s="153"/>
      <c r="JCR159" s="153"/>
      <c r="JCS159" s="153"/>
      <c r="JCT159" s="153"/>
      <c r="JCU159" s="153"/>
      <c r="JCV159" s="153"/>
      <c r="JCW159" s="153"/>
      <c r="JCX159" s="153"/>
      <c r="JCY159" s="153"/>
      <c r="JCZ159" s="153"/>
      <c r="JDA159" s="153"/>
      <c r="JDB159" s="153"/>
      <c r="JDC159" s="153"/>
      <c r="JDD159" s="153"/>
      <c r="JDE159" s="153"/>
      <c r="JDF159" s="153"/>
      <c r="JDG159" s="153"/>
      <c r="JDH159" s="153"/>
      <c r="JDI159" s="153"/>
      <c r="JDJ159" s="153"/>
      <c r="JDK159" s="153"/>
      <c r="JDL159" s="153"/>
      <c r="JDM159" s="153"/>
      <c r="JDN159" s="153"/>
      <c r="JDO159" s="153"/>
      <c r="JDP159" s="153"/>
      <c r="JDQ159" s="153"/>
      <c r="JDR159" s="153"/>
      <c r="JDS159" s="153"/>
      <c r="JDT159" s="153"/>
      <c r="JDU159" s="153"/>
      <c r="JDV159" s="153"/>
      <c r="JDW159" s="153"/>
      <c r="JDX159" s="153"/>
      <c r="JDY159" s="153"/>
      <c r="JDZ159" s="153"/>
      <c r="JEA159" s="153"/>
      <c r="JEB159" s="153"/>
      <c r="JEC159" s="153"/>
      <c r="JED159" s="153"/>
      <c r="JEE159" s="153"/>
      <c r="JEF159" s="153"/>
      <c r="JEG159" s="153"/>
      <c r="JEH159" s="153"/>
      <c r="JEI159" s="153"/>
      <c r="JEJ159" s="153"/>
      <c r="JEK159" s="153"/>
      <c r="JEL159" s="153"/>
      <c r="JEM159" s="153"/>
      <c r="JEN159" s="153"/>
      <c r="JEO159" s="153"/>
      <c r="JEP159" s="153"/>
      <c r="JEQ159" s="153"/>
      <c r="JER159" s="153"/>
      <c r="JES159" s="153"/>
      <c r="JET159" s="153"/>
      <c r="JEU159" s="153"/>
      <c r="JEV159" s="153"/>
      <c r="JEW159" s="153"/>
      <c r="JEX159" s="153"/>
      <c r="JEY159" s="153"/>
      <c r="JEZ159" s="153"/>
      <c r="JFA159" s="153"/>
      <c r="JFB159" s="153"/>
      <c r="JFC159" s="153"/>
      <c r="JFD159" s="153"/>
      <c r="JFE159" s="153"/>
      <c r="JFF159" s="153"/>
      <c r="JFG159" s="153"/>
      <c r="JFH159" s="153"/>
      <c r="JFI159" s="153"/>
      <c r="JFJ159" s="153"/>
      <c r="JFK159" s="153"/>
      <c r="JFL159" s="153"/>
      <c r="JFM159" s="153"/>
      <c r="JFN159" s="153"/>
      <c r="JFO159" s="153"/>
      <c r="JFP159" s="153"/>
      <c r="JFQ159" s="153"/>
      <c r="JFR159" s="153"/>
      <c r="JFS159" s="153"/>
      <c r="JFT159" s="153"/>
      <c r="JFU159" s="153"/>
      <c r="JFV159" s="153"/>
      <c r="JFW159" s="153"/>
      <c r="JFX159" s="153"/>
      <c r="JFY159" s="153"/>
      <c r="JFZ159" s="153"/>
      <c r="JGA159" s="153"/>
      <c r="JGB159" s="153"/>
      <c r="JGC159" s="153"/>
      <c r="JGD159" s="153"/>
      <c r="JGE159" s="153"/>
      <c r="JGF159" s="153"/>
      <c r="JGG159" s="153"/>
      <c r="JGH159" s="153"/>
      <c r="JGI159" s="153"/>
      <c r="JGJ159" s="153"/>
      <c r="JGK159" s="153"/>
      <c r="JGL159" s="153"/>
      <c r="JGM159" s="153"/>
      <c r="JGN159" s="153"/>
      <c r="JGO159" s="153"/>
      <c r="JGP159" s="153"/>
      <c r="JGQ159" s="153"/>
      <c r="JGR159" s="153"/>
      <c r="JGS159" s="153"/>
      <c r="JGT159" s="153"/>
      <c r="JGU159" s="153"/>
      <c r="JGV159" s="153"/>
      <c r="JGW159" s="153"/>
      <c r="JGX159" s="153"/>
      <c r="JGY159" s="153"/>
      <c r="JGZ159" s="153"/>
      <c r="JHA159" s="153"/>
      <c r="JHB159" s="153"/>
      <c r="JHC159" s="153"/>
      <c r="JHD159" s="153"/>
      <c r="JHE159" s="153"/>
      <c r="JHF159" s="153"/>
      <c r="JHG159" s="153"/>
      <c r="JHH159" s="153"/>
      <c r="JHI159" s="153"/>
      <c r="JHJ159" s="153"/>
      <c r="JHK159" s="153"/>
      <c r="JHL159" s="153"/>
      <c r="JHM159" s="153"/>
      <c r="JHN159" s="153"/>
      <c r="JHO159" s="153"/>
      <c r="JHP159" s="153"/>
      <c r="JHQ159" s="153"/>
      <c r="JHR159" s="153"/>
      <c r="JHS159" s="153"/>
      <c r="JHT159" s="153"/>
      <c r="JHU159" s="153"/>
      <c r="JHV159" s="153"/>
      <c r="JHW159" s="153"/>
      <c r="JHX159" s="153"/>
      <c r="JHY159" s="153"/>
      <c r="JHZ159" s="153"/>
      <c r="JIA159" s="153"/>
      <c r="JIB159" s="153"/>
      <c r="JIC159" s="153"/>
      <c r="JID159" s="153"/>
      <c r="JIE159" s="153"/>
      <c r="JIF159" s="153"/>
      <c r="JIG159" s="153"/>
      <c r="JIH159" s="153"/>
      <c r="JII159" s="153"/>
      <c r="JIJ159" s="153"/>
      <c r="JIK159" s="153"/>
      <c r="JIL159" s="153"/>
      <c r="JIM159" s="153"/>
      <c r="JIN159" s="153"/>
      <c r="JIO159" s="153"/>
      <c r="JIP159" s="153"/>
      <c r="JIQ159" s="153"/>
      <c r="JIR159" s="153"/>
      <c r="JIS159" s="153"/>
      <c r="JIT159" s="153"/>
      <c r="JIU159" s="153"/>
      <c r="JIV159" s="153"/>
      <c r="JIW159" s="153"/>
      <c r="JIX159" s="153"/>
      <c r="JIY159" s="153"/>
      <c r="JIZ159" s="153"/>
      <c r="JJA159" s="153"/>
      <c r="JJB159" s="153"/>
      <c r="JJC159" s="153"/>
      <c r="JJD159" s="153"/>
      <c r="JJE159" s="153"/>
      <c r="JJF159" s="153"/>
      <c r="JJG159" s="153"/>
      <c r="JJH159" s="153"/>
      <c r="JJI159" s="153"/>
      <c r="JJJ159" s="153"/>
      <c r="JJK159" s="153"/>
      <c r="JJL159" s="153"/>
      <c r="JJM159" s="153"/>
      <c r="JJN159" s="153"/>
      <c r="JJO159" s="153"/>
      <c r="JJP159" s="153"/>
      <c r="JJQ159" s="153"/>
      <c r="JJR159" s="153"/>
      <c r="JJS159" s="153"/>
      <c r="JJT159" s="153"/>
      <c r="JJU159" s="153"/>
      <c r="JJV159" s="153"/>
      <c r="JJW159" s="153"/>
      <c r="JJX159" s="153"/>
      <c r="JJY159" s="153"/>
      <c r="JJZ159" s="153"/>
      <c r="JKA159" s="153"/>
      <c r="JKB159" s="153"/>
      <c r="JKC159" s="153"/>
      <c r="JKD159" s="153"/>
      <c r="JKE159" s="153"/>
      <c r="JKF159" s="153"/>
      <c r="JKG159" s="153"/>
      <c r="JKH159" s="153"/>
      <c r="JKI159" s="153"/>
      <c r="JKJ159" s="153"/>
      <c r="JKK159" s="153"/>
      <c r="JKL159" s="153"/>
      <c r="JKM159" s="153"/>
      <c r="JKN159" s="153"/>
      <c r="JKO159" s="153"/>
      <c r="JKP159" s="153"/>
      <c r="JKQ159" s="153"/>
      <c r="JKR159" s="153"/>
      <c r="JKS159" s="153"/>
      <c r="JKT159" s="153"/>
      <c r="JKU159" s="153"/>
      <c r="JKV159" s="153"/>
      <c r="JKW159" s="153"/>
      <c r="JKX159" s="153"/>
      <c r="JKY159" s="153"/>
      <c r="JKZ159" s="153"/>
      <c r="JLA159" s="153"/>
      <c r="JLB159" s="153"/>
      <c r="JLC159" s="153"/>
      <c r="JLD159" s="153"/>
      <c r="JLE159" s="153"/>
      <c r="JLF159" s="153"/>
      <c r="JLG159" s="153"/>
      <c r="JLH159" s="153"/>
      <c r="JLI159" s="153"/>
      <c r="JLJ159" s="153"/>
      <c r="JLK159" s="153"/>
      <c r="JLL159" s="153"/>
      <c r="JLM159" s="153"/>
      <c r="JLN159" s="153"/>
      <c r="JLO159" s="153"/>
      <c r="JLP159" s="153"/>
      <c r="JLQ159" s="153"/>
      <c r="JLR159" s="153"/>
      <c r="JLS159" s="153"/>
      <c r="JLT159" s="153"/>
      <c r="JLU159" s="153"/>
      <c r="JLV159" s="153"/>
      <c r="JLW159" s="153"/>
      <c r="JLX159" s="153"/>
      <c r="JLY159" s="153"/>
      <c r="JLZ159" s="153"/>
      <c r="JMA159" s="153"/>
      <c r="JMB159" s="153"/>
      <c r="JMC159" s="153"/>
      <c r="JMD159" s="153"/>
      <c r="JME159" s="153"/>
      <c r="JMF159" s="153"/>
      <c r="JMG159" s="153"/>
      <c r="JMH159" s="153"/>
      <c r="JMI159" s="153"/>
      <c r="JMJ159" s="153"/>
      <c r="JMK159" s="153"/>
      <c r="JML159" s="153"/>
      <c r="JMM159" s="153"/>
      <c r="JMN159" s="153"/>
      <c r="JMO159" s="153"/>
      <c r="JMP159" s="153"/>
      <c r="JMQ159" s="153"/>
      <c r="JMR159" s="153"/>
      <c r="JMS159" s="153"/>
      <c r="JMT159" s="153"/>
      <c r="JMU159" s="153"/>
      <c r="JMV159" s="153"/>
      <c r="JMW159" s="153"/>
      <c r="JMX159" s="153"/>
      <c r="JMY159" s="153"/>
      <c r="JMZ159" s="153"/>
      <c r="JNA159" s="153"/>
      <c r="JNB159" s="153"/>
      <c r="JNC159" s="153"/>
      <c r="JND159" s="153"/>
      <c r="JNE159" s="153"/>
      <c r="JNF159" s="153"/>
      <c r="JNG159" s="153"/>
      <c r="JNH159" s="153"/>
      <c r="JNI159" s="153"/>
      <c r="JNJ159" s="153"/>
      <c r="JNK159" s="153"/>
      <c r="JNL159" s="153"/>
      <c r="JNM159" s="153"/>
      <c r="JNN159" s="153"/>
      <c r="JNO159" s="153"/>
      <c r="JNP159" s="153"/>
      <c r="JNQ159" s="153"/>
      <c r="JNR159" s="153"/>
      <c r="JNS159" s="153"/>
      <c r="JNT159" s="153"/>
      <c r="JNU159" s="153"/>
      <c r="JNV159" s="153"/>
      <c r="JNW159" s="153"/>
      <c r="JNX159" s="153"/>
      <c r="JNY159" s="153"/>
      <c r="JNZ159" s="153"/>
      <c r="JOA159" s="153"/>
      <c r="JOB159" s="153"/>
      <c r="JOC159" s="153"/>
      <c r="JOD159" s="153"/>
      <c r="JOE159" s="153"/>
      <c r="JOF159" s="153"/>
      <c r="JOG159" s="153"/>
      <c r="JOH159" s="153"/>
      <c r="JOI159" s="153"/>
      <c r="JOJ159" s="153"/>
      <c r="JOK159" s="153"/>
      <c r="JOL159" s="153"/>
      <c r="JOM159" s="153"/>
      <c r="JON159" s="153"/>
      <c r="JOO159" s="153"/>
      <c r="JOP159" s="153"/>
      <c r="JOQ159" s="153"/>
      <c r="JOR159" s="153"/>
      <c r="JOS159" s="153"/>
      <c r="JOT159" s="153"/>
      <c r="JOU159" s="153"/>
      <c r="JOV159" s="153"/>
      <c r="JOW159" s="153"/>
      <c r="JOX159" s="153"/>
      <c r="JOY159" s="153"/>
      <c r="JOZ159" s="153"/>
      <c r="JPA159" s="153"/>
      <c r="JPB159" s="153"/>
      <c r="JPC159" s="153"/>
      <c r="JPD159" s="153"/>
      <c r="JPE159" s="153"/>
      <c r="JPF159" s="153"/>
      <c r="JPG159" s="153"/>
      <c r="JPH159" s="153"/>
      <c r="JPI159" s="153"/>
      <c r="JPJ159" s="153"/>
      <c r="JPK159" s="153"/>
      <c r="JPL159" s="153"/>
      <c r="JPM159" s="153"/>
      <c r="JPN159" s="153"/>
      <c r="JPO159" s="153"/>
      <c r="JPP159" s="153"/>
      <c r="JPQ159" s="153"/>
      <c r="JPR159" s="153"/>
      <c r="JPS159" s="153"/>
      <c r="JPT159" s="153"/>
      <c r="JPU159" s="153"/>
      <c r="JPV159" s="153"/>
      <c r="JPW159" s="153"/>
      <c r="JPX159" s="153"/>
      <c r="JPY159" s="153"/>
      <c r="JPZ159" s="153"/>
      <c r="JQA159" s="153"/>
      <c r="JQB159" s="153"/>
      <c r="JQC159" s="153"/>
      <c r="JQD159" s="153"/>
      <c r="JQE159" s="153"/>
      <c r="JQF159" s="153"/>
      <c r="JQG159" s="153"/>
      <c r="JQH159" s="153"/>
      <c r="JQI159" s="153"/>
      <c r="JQJ159" s="153"/>
      <c r="JQK159" s="153"/>
      <c r="JQL159" s="153"/>
      <c r="JQM159" s="153"/>
      <c r="JQN159" s="153"/>
      <c r="JQO159" s="153"/>
      <c r="JQP159" s="153"/>
      <c r="JQQ159" s="153"/>
      <c r="JQR159" s="153"/>
      <c r="JQS159" s="153"/>
      <c r="JQT159" s="153"/>
      <c r="JQU159" s="153"/>
      <c r="JQV159" s="153"/>
      <c r="JQW159" s="153"/>
      <c r="JQX159" s="153"/>
      <c r="JQY159" s="153"/>
      <c r="JQZ159" s="153"/>
      <c r="JRA159" s="153"/>
      <c r="JRB159" s="153"/>
      <c r="JRC159" s="153"/>
      <c r="JRD159" s="153"/>
      <c r="JRE159" s="153"/>
      <c r="JRF159" s="153"/>
      <c r="JRG159" s="153"/>
      <c r="JRH159" s="153"/>
      <c r="JRI159" s="153"/>
      <c r="JRJ159" s="153"/>
      <c r="JRK159" s="153"/>
      <c r="JRL159" s="153"/>
      <c r="JRM159" s="153"/>
      <c r="JRN159" s="153"/>
      <c r="JRO159" s="153"/>
      <c r="JRP159" s="153"/>
      <c r="JRQ159" s="153"/>
      <c r="JRR159" s="153"/>
      <c r="JRS159" s="153"/>
      <c r="JRT159" s="153"/>
      <c r="JRU159" s="153"/>
      <c r="JRV159" s="153"/>
      <c r="JRW159" s="153"/>
      <c r="JRX159" s="153"/>
      <c r="JRY159" s="153"/>
      <c r="JRZ159" s="153"/>
      <c r="JSA159" s="153"/>
      <c r="JSB159" s="153"/>
      <c r="JSC159" s="153"/>
      <c r="JSD159" s="153"/>
      <c r="JSE159" s="153"/>
      <c r="JSF159" s="153"/>
      <c r="JSG159" s="153"/>
      <c r="JSH159" s="153"/>
      <c r="JSI159" s="153"/>
      <c r="JSJ159" s="153"/>
      <c r="JSK159" s="153"/>
      <c r="JSL159" s="153"/>
      <c r="JSM159" s="153"/>
      <c r="JSN159" s="153"/>
      <c r="JSO159" s="153"/>
      <c r="JSP159" s="153"/>
      <c r="JSQ159" s="153"/>
      <c r="JSR159" s="153"/>
      <c r="JSS159" s="153"/>
      <c r="JST159" s="153"/>
      <c r="JSU159" s="153"/>
      <c r="JSV159" s="153"/>
      <c r="JSW159" s="153"/>
      <c r="JSX159" s="153"/>
      <c r="JSY159" s="153"/>
      <c r="JSZ159" s="153"/>
      <c r="JTA159" s="153"/>
      <c r="JTB159" s="153"/>
      <c r="JTC159" s="153"/>
      <c r="JTD159" s="153"/>
      <c r="JTE159" s="153"/>
      <c r="JTF159" s="153"/>
      <c r="JTG159" s="153"/>
      <c r="JTH159" s="153"/>
      <c r="JTI159" s="153"/>
      <c r="JTJ159" s="153"/>
      <c r="JTK159" s="153"/>
      <c r="JTL159" s="153"/>
      <c r="JTM159" s="153"/>
      <c r="JTN159" s="153"/>
      <c r="JTO159" s="153"/>
      <c r="JTP159" s="153"/>
      <c r="JTQ159" s="153"/>
      <c r="JTR159" s="153"/>
      <c r="JTS159" s="153"/>
      <c r="JTT159" s="153"/>
      <c r="JTU159" s="153"/>
      <c r="JTV159" s="153"/>
      <c r="JTW159" s="153"/>
      <c r="JTX159" s="153"/>
      <c r="JTY159" s="153"/>
      <c r="JTZ159" s="153"/>
      <c r="JUA159" s="153"/>
      <c r="JUB159" s="153"/>
      <c r="JUC159" s="153"/>
      <c r="JUD159" s="153"/>
      <c r="JUE159" s="153"/>
      <c r="JUF159" s="153"/>
      <c r="JUG159" s="153"/>
      <c r="JUH159" s="153"/>
      <c r="JUI159" s="153"/>
      <c r="JUJ159" s="153"/>
      <c r="JUK159" s="153"/>
      <c r="JUL159" s="153"/>
      <c r="JUM159" s="153"/>
      <c r="JUN159" s="153"/>
      <c r="JUO159" s="153"/>
      <c r="JUP159" s="153"/>
      <c r="JUQ159" s="153"/>
      <c r="JUR159" s="153"/>
      <c r="JUS159" s="153"/>
      <c r="JUT159" s="153"/>
      <c r="JUU159" s="153"/>
      <c r="JUV159" s="153"/>
      <c r="JUW159" s="153"/>
      <c r="JUX159" s="153"/>
      <c r="JUY159" s="153"/>
      <c r="JUZ159" s="153"/>
      <c r="JVA159" s="153"/>
      <c r="JVB159" s="153"/>
      <c r="JVC159" s="153"/>
      <c r="JVD159" s="153"/>
      <c r="JVE159" s="153"/>
      <c r="JVF159" s="153"/>
      <c r="JVG159" s="153"/>
      <c r="JVH159" s="153"/>
      <c r="JVI159" s="153"/>
      <c r="JVJ159" s="153"/>
      <c r="JVK159" s="153"/>
      <c r="JVL159" s="153"/>
      <c r="JVM159" s="153"/>
      <c r="JVN159" s="153"/>
      <c r="JVO159" s="153"/>
      <c r="JVP159" s="153"/>
      <c r="JVQ159" s="153"/>
      <c r="JVR159" s="153"/>
      <c r="JVS159" s="153"/>
      <c r="JVT159" s="153"/>
      <c r="JVU159" s="153"/>
      <c r="JVV159" s="153"/>
      <c r="JVW159" s="153"/>
      <c r="JVX159" s="153"/>
      <c r="JVY159" s="153"/>
      <c r="JVZ159" s="153"/>
      <c r="JWA159" s="153"/>
      <c r="JWB159" s="153"/>
      <c r="JWC159" s="153"/>
      <c r="JWD159" s="153"/>
      <c r="JWE159" s="153"/>
      <c r="JWF159" s="153"/>
      <c r="JWG159" s="153"/>
      <c r="JWH159" s="153"/>
      <c r="JWI159" s="153"/>
      <c r="JWJ159" s="153"/>
      <c r="JWK159" s="153"/>
      <c r="JWL159" s="153"/>
      <c r="JWM159" s="153"/>
      <c r="JWN159" s="153"/>
      <c r="JWO159" s="153"/>
      <c r="JWP159" s="153"/>
      <c r="JWQ159" s="153"/>
      <c r="JWR159" s="153"/>
      <c r="JWS159" s="153"/>
      <c r="JWT159" s="153"/>
      <c r="JWU159" s="153"/>
      <c r="JWV159" s="153"/>
      <c r="JWW159" s="153"/>
      <c r="JWX159" s="153"/>
      <c r="JWY159" s="153"/>
      <c r="JWZ159" s="153"/>
      <c r="JXA159" s="153"/>
      <c r="JXB159" s="153"/>
      <c r="JXC159" s="153"/>
      <c r="JXD159" s="153"/>
      <c r="JXE159" s="153"/>
      <c r="JXF159" s="153"/>
      <c r="JXG159" s="153"/>
      <c r="JXH159" s="153"/>
      <c r="JXI159" s="153"/>
      <c r="JXJ159" s="153"/>
      <c r="JXK159" s="153"/>
      <c r="JXL159" s="153"/>
      <c r="JXM159" s="153"/>
      <c r="JXN159" s="153"/>
      <c r="JXO159" s="153"/>
      <c r="JXP159" s="153"/>
      <c r="JXQ159" s="153"/>
      <c r="JXR159" s="153"/>
      <c r="JXS159" s="153"/>
      <c r="JXT159" s="153"/>
      <c r="JXU159" s="153"/>
      <c r="JXV159" s="153"/>
      <c r="JXW159" s="153"/>
      <c r="JXX159" s="153"/>
      <c r="JXY159" s="153"/>
      <c r="JXZ159" s="153"/>
      <c r="JYA159" s="153"/>
      <c r="JYB159" s="153"/>
      <c r="JYC159" s="153"/>
      <c r="JYD159" s="153"/>
      <c r="JYE159" s="153"/>
      <c r="JYF159" s="153"/>
      <c r="JYG159" s="153"/>
      <c r="JYH159" s="153"/>
      <c r="JYI159" s="153"/>
      <c r="JYJ159" s="153"/>
      <c r="JYK159" s="153"/>
      <c r="JYL159" s="153"/>
      <c r="JYM159" s="153"/>
      <c r="JYN159" s="153"/>
      <c r="JYO159" s="153"/>
      <c r="JYP159" s="153"/>
      <c r="JYQ159" s="153"/>
      <c r="JYR159" s="153"/>
      <c r="JYS159" s="153"/>
      <c r="JYT159" s="153"/>
      <c r="JYU159" s="153"/>
      <c r="JYV159" s="153"/>
      <c r="JYW159" s="153"/>
      <c r="JYX159" s="153"/>
      <c r="JYY159" s="153"/>
      <c r="JYZ159" s="153"/>
      <c r="JZA159" s="153"/>
      <c r="JZB159" s="153"/>
      <c r="JZC159" s="153"/>
      <c r="JZD159" s="153"/>
      <c r="JZE159" s="153"/>
      <c r="JZF159" s="153"/>
      <c r="JZG159" s="153"/>
      <c r="JZH159" s="153"/>
      <c r="JZI159" s="153"/>
      <c r="JZJ159" s="153"/>
      <c r="JZK159" s="153"/>
      <c r="JZL159" s="153"/>
      <c r="JZM159" s="153"/>
      <c r="JZN159" s="153"/>
      <c r="JZO159" s="153"/>
      <c r="JZP159" s="153"/>
      <c r="JZQ159" s="153"/>
      <c r="JZR159" s="153"/>
      <c r="JZS159" s="153"/>
      <c r="JZT159" s="153"/>
      <c r="JZU159" s="153"/>
      <c r="JZV159" s="153"/>
      <c r="JZW159" s="153"/>
      <c r="JZX159" s="153"/>
      <c r="JZY159" s="153"/>
      <c r="JZZ159" s="153"/>
      <c r="KAA159" s="153"/>
      <c r="KAB159" s="153"/>
      <c r="KAC159" s="153"/>
      <c r="KAD159" s="153"/>
      <c r="KAE159" s="153"/>
      <c r="KAF159" s="153"/>
      <c r="KAG159" s="153"/>
      <c r="KAH159" s="153"/>
      <c r="KAI159" s="153"/>
      <c r="KAJ159" s="153"/>
      <c r="KAK159" s="153"/>
      <c r="KAL159" s="153"/>
      <c r="KAM159" s="153"/>
      <c r="KAN159" s="153"/>
      <c r="KAO159" s="153"/>
      <c r="KAP159" s="153"/>
      <c r="KAQ159" s="153"/>
      <c r="KAR159" s="153"/>
      <c r="KAS159" s="153"/>
      <c r="KAT159" s="153"/>
      <c r="KAU159" s="153"/>
      <c r="KAV159" s="153"/>
      <c r="KAW159" s="153"/>
      <c r="KAX159" s="153"/>
      <c r="KAY159" s="153"/>
      <c r="KAZ159" s="153"/>
      <c r="KBA159" s="153"/>
      <c r="KBB159" s="153"/>
      <c r="KBC159" s="153"/>
      <c r="KBD159" s="153"/>
      <c r="KBE159" s="153"/>
      <c r="KBF159" s="153"/>
      <c r="KBG159" s="153"/>
      <c r="KBH159" s="153"/>
      <c r="KBI159" s="153"/>
      <c r="KBJ159" s="153"/>
      <c r="KBK159" s="153"/>
      <c r="KBL159" s="153"/>
      <c r="KBM159" s="153"/>
      <c r="KBN159" s="153"/>
      <c r="KBO159" s="153"/>
      <c r="KBP159" s="153"/>
      <c r="KBQ159" s="153"/>
      <c r="KBR159" s="153"/>
      <c r="KBS159" s="153"/>
      <c r="KBT159" s="153"/>
      <c r="KBU159" s="153"/>
      <c r="KBV159" s="153"/>
      <c r="KBW159" s="153"/>
      <c r="KBX159" s="153"/>
      <c r="KBY159" s="153"/>
      <c r="KBZ159" s="153"/>
      <c r="KCA159" s="153"/>
      <c r="KCB159" s="153"/>
      <c r="KCC159" s="153"/>
      <c r="KCD159" s="153"/>
      <c r="KCE159" s="153"/>
      <c r="KCF159" s="153"/>
      <c r="KCG159" s="153"/>
      <c r="KCH159" s="153"/>
      <c r="KCI159" s="153"/>
      <c r="KCJ159" s="153"/>
      <c r="KCK159" s="153"/>
      <c r="KCL159" s="153"/>
      <c r="KCM159" s="153"/>
      <c r="KCN159" s="153"/>
      <c r="KCO159" s="153"/>
      <c r="KCP159" s="153"/>
      <c r="KCQ159" s="153"/>
      <c r="KCR159" s="153"/>
      <c r="KCS159" s="153"/>
      <c r="KCT159" s="153"/>
      <c r="KCU159" s="153"/>
      <c r="KCV159" s="153"/>
      <c r="KCW159" s="153"/>
      <c r="KCX159" s="153"/>
      <c r="KCY159" s="153"/>
      <c r="KCZ159" s="153"/>
      <c r="KDA159" s="153"/>
      <c r="KDB159" s="153"/>
      <c r="KDC159" s="153"/>
      <c r="KDD159" s="153"/>
      <c r="KDE159" s="153"/>
      <c r="KDF159" s="153"/>
      <c r="KDG159" s="153"/>
      <c r="KDH159" s="153"/>
      <c r="KDI159" s="153"/>
      <c r="KDJ159" s="153"/>
      <c r="KDK159" s="153"/>
      <c r="KDL159" s="153"/>
      <c r="KDM159" s="153"/>
      <c r="KDN159" s="153"/>
      <c r="KDO159" s="153"/>
      <c r="KDP159" s="153"/>
      <c r="KDQ159" s="153"/>
      <c r="KDR159" s="153"/>
      <c r="KDS159" s="153"/>
      <c r="KDT159" s="153"/>
      <c r="KDU159" s="153"/>
      <c r="KDV159" s="153"/>
      <c r="KDW159" s="153"/>
      <c r="KDX159" s="153"/>
      <c r="KDY159" s="153"/>
      <c r="KDZ159" s="153"/>
      <c r="KEA159" s="153"/>
      <c r="KEB159" s="153"/>
      <c r="KEC159" s="153"/>
      <c r="KED159" s="153"/>
      <c r="KEE159" s="153"/>
      <c r="KEF159" s="153"/>
      <c r="KEG159" s="153"/>
      <c r="KEH159" s="153"/>
      <c r="KEI159" s="153"/>
      <c r="KEJ159" s="153"/>
      <c r="KEK159" s="153"/>
      <c r="KEL159" s="153"/>
      <c r="KEM159" s="153"/>
      <c r="KEN159" s="153"/>
      <c r="KEO159" s="153"/>
      <c r="KEP159" s="153"/>
      <c r="KEQ159" s="153"/>
      <c r="KER159" s="153"/>
      <c r="KES159" s="153"/>
      <c r="KET159" s="153"/>
      <c r="KEU159" s="153"/>
      <c r="KEV159" s="153"/>
      <c r="KEW159" s="153"/>
      <c r="KEX159" s="153"/>
      <c r="KEY159" s="153"/>
      <c r="KEZ159" s="153"/>
      <c r="KFA159" s="153"/>
      <c r="KFB159" s="153"/>
      <c r="KFC159" s="153"/>
      <c r="KFD159" s="153"/>
      <c r="KFE159" s="153"/>
      <c r="KFF159" s="153"/>
      <c r="KFG159" s="153"/>
      <c r="KFH159" s="153"/>
      <c r="KFI159" s="153"/>
      <c r="KFJ159" s="153"/>
      <c r="KFK159" s="153"/>
      <c r="KFL159" s="153"/>
      <c r="KFM159" s="153"/>
      <c r="KFN159" s="153"/>
      <c r="KFO159" s="153"/>
      <c r="KFP159" s="153"/>
      <c r="KFQ159" s="153"/>
      <c r="KFR159" s="153"/>
      <c r="KFS159" s="153"/>
      <c r="KFT159" s="153"/>
      <c r="KFU159" s="153"/>
      <c r="KFV159" s="153"/>
      <c r="KFW159" s="153"/>
      <c r="KFX159" s="153"/>
      <c r="KFY159" s="153"/>
      <c r="KFZ159" s="153"/>
      <c r="KGA159" s="153"/>
      <c r="KGB159" s="153"/>
      <c r="KGC159" s="153"/>
      <c r="KGD159" s="153"/>
      <c r="KGE159" s="153"/>
      <c r="KGF159" s="153"/>
      <c r="KGG159" s="153"/>
      <c r="KGH159" s="153"/>
      <c r="KGI159" s="153"/>
      <c r="KGJ159" s="153"/>
      <c r="KGK159" s="153"/>
      <c r="KGL159" s="153"/>
      <c r="KGM159" s="153"/>
      <c r="KGN159" s="153"/>
      <c r="KGO159" s="153"/>
      <c r="KGP159" s="153"/>
      <c r="KGQ159" s="153"/>
      <c r="KGR159" s="153"/>
      <c r="KGS159" s="153"/>
      <c r="KGT159" s="153"/>
      <c r="KGU159" s="153"/>
      <c r="KGV159" s="153"/>
      <c r="KGW159" s="153"/>
      <c r="KGX159" s="153"/>
      <c r="KGY159" s="153"/>
      <c r="KGZ159" s="153"/>
      <c r="KHA159" s="153"/>
      <c r="KHB159" s="153"/>
      <c r="KHC159" s="153"/>
      <c r="KHD159" s="153"/>
      <c r="KHE159" s="153"/>
      <c r="KHF159" s="153"/>
      <c r="KHG159" s="153"/>
      <c r="KHH159" s="153"/>
      <c r="KHI159" s="153"/>
      <c r="KHJ159" s="153"/>
      <c r="KHK159" s="153"/>
      <c r="KHL159" s="153"/>
      <c r="KHM159" s="153"/>
      <c r="KHN159" s="153"/>
      <c r="KHO159" s="153"/>
      <c r="KHP159" s="153"/>
      <c r="KHQ159" s="153"/>
      <c r="KHR159" s="153"/>
      <c r="KHS159" s="153"/>
      <c r="KHT159" s="153"/>
      <c r="KHU159" s="153"/>
      <c r="KHV159" s="153"/>
      <c r="KHW159" s="153"/>
      <c r="KHX159" s="153"/>
      <c r="KHY159" s="153"/>
      <c r="KHZ159" s="153"/>
      <c r="KIA159" s="153"/>
      <c r="KIB159" s="153"/>
      <c r="KIC159" s="153"/>
      <c r="KID159" s="153"/>
      <c r="KIE159" s="153"/>
      <c r="KIF159" s="153"/>
      <c r="KIG159" s="153"/>
      <c r="KIH159" s="153"/>
      <c r="KII159" s="153"/>
      <c r="KIJ159" s="153"/>
      <c r="KIK159" s="153"/>
      <c r="KIL159" s="153"/>
      <c r="KIM159" s="153"/>
      <c r="KIN159" s="153"/>
      <c r="KIO159" s="153"/>
      <c r="KIP159" s="153"/>
      <c r="KIQ159" s="153"/>
      <c r="KIR159" s="153"/>
      <c r="KIS159" s="153"/>
      <c r="KIT159" s="153"/>
      <c r="KIU159" s="153"/>
      <c r="KIV159" s="153"/>
      <c r="KIW159" s="153"/>
      <c r="KIX159" s="153"/>
      <c r="KIY159" s="153"/>
      <c r="KIZ159" s="153"/>
      <c r="KJA159" s="153"/>
      <c r="KJB159" s="153"/>
      <c r="KJC159" s="153"/>
      <c r="KJD159" s="153"/>
      <c r="KJE159" s="153"/>
      <c r="KJF159" s="153"/>
      <c r="KJG159" s="153"/>
      <c r="KJH159" s="153"/>
      <c r="KJI159" s="153"/>
      <c r="KJJ159" s="153"/>
      <c r="KJK159" s="153"/>
      <c r="KJL159" s="153"/>
      <c r="KJM159" s="153"/>
      <c r="KJN159" s="153"/>
      <c r="KJO159" s="153"/>
      <c r="KJP159" s="153"/>
      <c r="KJQ159" s="153"/>
      <c r="KJR159" s="153"/>
      <c r="KJS159" s="153"/>
      <c r="KJT159" s="153"/>
      <c r="KJU159" s="153"/>
      <c r="KJV159" s="153"/>
      <c r="KJW159" s="153"/>
      <c r="KJX159" s="153"/>
      <c r="KJY159" s="153"/>
      <c r="KJZ159" s="153"/>
      <c r="KKA159" s="153"/>
      <c r="KKB159" s="153"/>
      <c r="KKC159" s="153"/>
      <c r="KKD159" s="153"/>
      <c r="KKE159" s="153"/>
      <c r="KKF159" s="153"/>
      <c r="KKG159" s="153"/>
      <c r="KKH159" s="153"/>
      <c r="KKI159" s="153"/>
      <c r="KKJ159" s="153"/>
      <c r="KKK159" s="153"/>
      <c r="KKL159" s="153"/>
      <c r="KKM159" s="153"/>
      <c r="KKN159" s="153"/>
      <c r="KKO159" s="153"/>
      <c r="KKP159" s="153"/>
      <c r="KKQ159" s="153"/>
      <c r="KKR159" s="153"/>
      <c r="KKS159" s="153"/>
      <c r="KKT159" s="153"/>
      <c r="KKU159" s="153"/>
      <c r="KKV159" s="153"/>
      <c r="KKW159" s="153"/>
      <c r="KKX159" s="153"/>
      <c r="KKY159" s="153"/>
      <c r="KKZ159" s="153"/>
      <c r="KLA159" s="153"/>
      <c r="KLB159" s="153"/>
      <c r="KLC159" s="153"/>
      <c r="KLD159" s="153"/>
      <c r="KLE159" s="153"/>
      <c r="KLF159" s="153"/>
      <c r="KLG159" s="153"/>
      <c r="KLH159" s="153"/>
      <c r="KLI159" s="153"/>
      <c r="KLJ159" s="153"/>
      <c r="KLK159" s="153"/>
      <c r="KLL159" s="153"/>
      <c r="KLM159" s="153"/>
      <c r="KLN159" s="153"/>
      <c r="KLO159" s="153"/>
      <c r="KLP159" s="153"/>
      <c r="KLQ159" s="153"/>
      <c r="KLR159" s="153"/>
      <c r="KLS159" s="153"/>
      <c r="KLT159" s="153"/>
      <c r="KLU159" s="153"/>
      <c r="KLV159" s="153"/>
      <c r="KLW159" s="153"/>
      <c r="KLX159" s="153"/>
      <c r="KLY159" s="153"/>
      <c r="KLZ159" s="153"/>
      <c r="KMA159" s="153"/>
      <c r="KMB159" s="153"/>
      <c r="KMC159" s="153"/>
      <c r="KMD159" s="153"/>
      <c r="KME159" s="153"/>
      <c r="KMF159" s="153"/>
      <c r="KMG159" s="153"/>
      <c r="KMH159" s="153"/>
      <c r="KMI159" s="153"/>
      <c r="KMJ159" s="153"/>
      <c r="KMK159" s="153"/>
      <c r="KML159" s="153"/>
      <c r="KMM159" s="153"/>
      <c r="KMN159" s="153"/>
      <c r="KMO159" s="153"/>
      <c r="KMP159" s="153"/>
      <c r="KMQ159" s="153"/>
      <c r="KMR159" s="153"/>
      <c r="KMS159" s="153"/>
      <c r="KMT159" s="153"/>
      <c r="KMU159" s="153"/>
      <c r="KMV159" s="153"/>
      <c r="KMW159" s="153"/>
      <c r="KMX159" s="153"/>
      <c r="KMY159" s="153"/>
      <c r="KMZ159" s="153"/>
      <c r="KNA159" s="153"/>
      <c r="KNB159" s="153"/>
      <c r="KNC159" s="153"/>
      <c r="KND159" s="153"/>
      <c r="KNE159" s="153"/>
      <c r="KNF159" s="153"/>
      <c r="KNG159" s="153"/>
      <c r="KNH159" s="153"/>
      <c r="KNI159" s="153"/>
      <c r="KNJ159" s="153"/>
      <c r="KNK159" s="153"/>
      <c r="KNL159" s="153"/>
      <c r="KNM159" s="153"/>
      <c r="KNN159" s="153"/>
      <c r="KNO159" s="153"/>
      <c r="KNP159" s="153"/>
      <c r="KNQ159" s="153"/>
      <c r="KNR159" s="153"/>
      <c r="KNS159" s="153"/>
      <c r="KNT159" s="153"/>
      <c r="KNU159" s="153"/>
      <c r="KNV159" s="153"/>
      <c r="KNW159" s="153"/>
      <c r="KNX159" s="153"/>
      <c r="KNY159" s="153"/>
      <c r="KNZ159" s="153"/>
      <c r="KOA159" s="153"/>
      <c r="KOB159" s="153"/>
      <c r="KOC159" s="153"/>
      <c r="KOD159" s="153"/>
      <c r="KOE159" s="153"/>
      <c r="KOF159" s="153"/>
      <c r="KOG159" s="153"/>
      <c r="KOH159" s="153"/>
      <c r="KOI159" s="153"/>
      <c r="KOJ159" s="153"/>
      <c r="KOK159" s="153"/>
      <c r="KOL159" s="153"/>
      <c r="KOM159" s="153"/>
      <c r="KON159" s="153"/>
      <c r="KOO159" s="153"/>
      <c r="KOP159" s="153"/>
      <c r="KOQ159" s="153"/>
      <c r="KOR159" s="153"/>
      <c r="KOS159" s="153"/>
      <c r="KOT159" s="153"/>
      <c r="KOU159" s="153"/>
      <c r="KOV159" s="153"/>
      <c r="KOW159" s="153"/>
      <c r="KOX159" s="153"/>
      <c r="KOY159" s="153"/>
      <c r="KOZ159" s="153"/>
      <c r="KPA159" s="153"/>
      <c r="KPB159" s="153"/>
      <c r="KPC159" s="153"/>
      <c r="KPD159" s="153"/>
      <c r="KPE159" s="153"/>
      <c r="KPF159" s="153"/>
      <c r="KPG159" s="153"/>
      <c r="KPH159" s="153"/>
      <c r="KPI159" s="153"/>
      <c r="KPJ159" s="153"/>
      <c r="KPK159" s="153"/>
      <c r="KPL159" s="153"/>
      <c r="KPM159" s="153"/>
      <c r="KPN159" s="153"/>
      <c r="KPO159" s="153"/>
      <c r="KPP159" s="153"/>
      <c r="KPQ159" s="153"/>
      <c r="KPR159" s="153"/>
      <c r="KPS159" s="153"/>
      <c r="KPT159" s="153"/>
      <c r="KPU159" s="153"/>
      <c r="KPV159" s="153"/>
      <c r="KPW159" s="153"/>
      <c r="KPX159" s="153"/>
      <c r="KPY159" s="153"/>
      <c r="KPZ159" s="153"/>
      <c r="KQA159" s="153"/>
      <c r="KQB159" s="153"/>
      <c r="KQC159" s="153"/>
      <c r="KQD159" s="153"/>
      <c r="KQE159" s="153"/>
      <c r="KQF159" s="153"/>
      <c r="KQG159" s="153"/>
      <c r="KQH159" s="153"/>
      <c r="KQI159" s="153"/>
      <c r="KQJ159" s="153"/>
      <c r="KQK159" s="153"/>
      <c r="KQL159" s="153"/>
      <c r="KQM159" s="153"/>
      <c r="KQN159" s="153"/>
      <c r="KQO159" s="153"/>
      <c r="KQP159" s="153"/>
      <c r="KQQ159" s="153"/>
      <c r="KQR159" s="153"/>
      <c r="KQS159" s="153"/>
      <c r="KQT159" s="153"/>
      <c r="KQU159" s="153"/>
      <c r="KQV159" s="153"/>
      <c r="KQW159" s="153"/>
      <c r="KQX159" s="153"/>
      <c r="KQY159" s="153"/>
      <c r="KQZ159" s="153"/>
      <c r="KRA159" s="153"/>
      <c r="KRB159" s="153"/>
      <c r="KRC159" s="153"/>
      <c r="KRD159" s="153"/>
      <c r="KRE159" s="153"/>
      <c r="KRF159" s="153"/>
      <c r="KRG159" s="153"/>
      <c r="KRH159" s="153"/>
      <c r="KRI159" s="153"/>
      <c r="KRJ159" s="153"/>
      <c r="KRK159" s="153"/>
      <c r="KRL159" s="153"/>
      <c r="KRM159" s="153"/>
      <c r="KRN159" s="153"/>
      <c r="KRO159" s="153"/>
      <c r="KRP159" s="153"/>
      <c r="KRQ159" s="153"/>
      <c r="KRR159" s="153"/>
      <c r="KRS159" s="153"/>
      <c r="KRT159" s="153"/>
      <c r="KRU159" s="153"/>
      <c r="KRV159" s="153"/>
      <c r="KRW159" s="153"/>
      <c r="KRX159" s="153"/>
      <c r="KRY159" s="153"/>
      <c r="KRZ159" s="153"/>
      <c r="KSA159" s="153"/>
      <c r="KSB159" s="153"/>
      <c r="KSC159" s="153"/>
      <c r="KSD159" s="153"/>
      <c r="KSE159" s="153"/>
      <c r="KSF159" s="153"/>
      <c r="KSG159" s="153"/>
      <c r="KSH159" s="153"/>
      <c r="KSI159" s="153"/>
      <c r="KSJ159" s="153"/>
      <c r="KSK159" s="153"/>
      <c r="KSL159" s="153"/>
      <c r="KSM159" s="153"/>
      <c r="KSN159" s="153"/>
      <c r="KSO159" s="153"/>
      <c r="KSP159" s="153"/>
      <c r="KSQ159" s="153"/>
      <c r="KSR159" s="153"/>
      <c r="KSS159" s="153"/>
      <c r="KST159" s="153"/>
      <c r="KSU159" s="153"/>
      <c r="KSV159" s="153"/>
      <c r="KSW159" s="153"/>
      <c r="KSX159" s="153"/>
      <c r="KSY159" s="153"/>
      <c r="KSZ159" s="153"/>
      <c r="KTA159" s="153"/>
      <c r="KTB159" s="153"/>
      <c r="KTC159" s="153"/>
      <c r="KTD159" s="153"/>
      <c r="KTE159" s="153"/>
      <c r="KTF159" s="153"/>
      <c r="KTG159" s="153"/>
      <c r="KTH159" s="153"/>
      <c r="KTI159" s="153"/>
      <c r="KTJ159" s="153"/>
      <c r="KTK159" s="153"/>
      <c r="KTL159" s="153"/>
      <c r="KTM159" s="153"/>
      <c r="KTN159" s="153"/>
      <c r="KTO159" s="153"/>
      <c r="KTP159" s="153"/>
      <c r="KTQ159" s="153"/>
      <c r="KTR159" s="153"/>
      <c r="KTS159" s="153"/>
      <c r="KTT159" s="153"/>
      <c r="KTU159" s="153"/>
      <c r="KTV159" s="153"/>
      <c r="KTW159" s="153"/>
      <c r="KTX159" s="153"/>
      <c r="KTY159" s="153"/>
      <c r="KTZ159" s="153"/>
      <c r="KUA159" s="153"/>
      <c r="KUB159" s="153"/>
      <c r="KUC159" s="153"/>
      <c r="KUD159" s="153"/>
      <c r="KUE159" s="153"/>
      <c r="KUF159" s="153"/>
      <c r="KUG159" s="153"/>
      <c r="KUH159" s="153"/>
      <c r="KUI159" s="153"/>
      <c r="KUJ159" s="153"/>
      <c r="KUK159" s="153"/>
      <c r="KUL159" s="153"/>
      <c r="KUM159" s="153"/>
      <c r="KUN159" s="153"/>
      <c r="KUO159" s="153"/>
      <c r="KUP159" s="153"/>
      <c r="KUQ159" s="153"/>
      <c r="KUR159" s="153"/>
      <c r="KUS159" s="153"/>
      <c r="KUT159" s="153"/>
      <c r="KUU159" s="153"/>
      <c r="KUV159" s="153"/>
      <c r="KUW159" s="153"/>
      <c r="KUX159" s="153"/>
      <c r="KUY159" s="153"/>
      <c r="KUZ159" s="153"/>
      <c r="KVA159" s="153"/>
      <c r="KVB159" s="153"/>
      <c r="KVC159" s="153"/>
      <c r="KVD159" s="153"/>
      <c r="KVE159" s="153"/>
      <c r="KVF159" s="153"/>
      <c r="KVG159" s="153"/>
      <c r="KVH159" s="153"/>
      <c r="KVI159" s="153"/>
      <c r="KVJ159" s="153"/>
      <c r="KVK159" s="153"/>
      <c r="KVL159" s="153"/>
      <c r="KVM159" s="153"/>
      <c r="KVN159" s="153"/>
      <c r="KVO159" s="153"/>
      <c r="KVP159" s="153"/>
      <c r="KVQ159" s="153"/>
      <c r="KVR159" s="153"/>
      <c r="KVS159" s="153"/>
      <c r="KVT159" s="153"/>
      <c r="KVU159" s="153"/>
      <c r="KVV159" s="153"/>
      <c r="KVW159" s="153"/>
      <c r="KVX159" s="153"/>
      <c r="KVY159" s="153"/>
      <c r="KVZ159" s="153"/>
      <c r="KWA159" s="153"/>
      <c r="KWB159" s="153"/>
      <c r="KWC159" s="153"/>
      <c r="KWD159" s="153"/>
      <c r="KWE159" s="153"/>
      <c r="KWF159" s="153"/>
      <c r="KWG159" s="153"/>
      <c r="KWH159" s="153"/>
      <c r="KWI159" s="153"/>
      <c r="KWJ159" s="153"/>
      <c r="KWK159" s="153"/>
      <c r="KWL159" s="153"/>
      <c r="KWM159" s="153"/>
      <c r="KWN159" s="153"/>
      <c r="KWO159" s="153"/>
      <c r="KWP159" s="153"/>
      <c r="KWQ159" s="153"/>
      <c r="KWR159" s="153"/>
      <c r="KWS159" s="153"/>
      <c r="KWT159" s="153"/>
      <c r="KWU159" s="153"/>
      <c r="KWV159" s="153"/>
      <c r="KWW159" s="153"/>
      <c r="KWX159" s="153"/>
      <c r="KWY159" s="153"/>
      <c r="KWZ159" s="153"/>
      <c r="KXA159" s="153"/>
      <c r="KXB159" s="153"/>
      <c r="KXC159" s="153"/>
      <c r="KXD159" s="153"/>
      <c r="KXE159" s="153"/>
      <c r="KXF159" s="153"/>
      <c r="KXG159" s="153"/>
      <c r="KXH159" s="153"/>
      <c r="KXI159" s="153"/>
      <c r="KXJ159" s="153"/>
      <c r="KXK159" s="153"/>
      <c r="KXL159" s="153"/>
      <c r="KXM159" s="153"/>
      <c r="KXN159" s="153"/>
      <c r="KXO159" s="153"/>
      <c r="KXP159" s="153"/>
      <c r="KXQ159" s="153"/>
      <c r="KXR159" s="153"/>
      <c r="KXS159" s="153"/>
      <c r="KXT159" s="153"/>
      <c r="KXU159" s="153"/>
      <c r="KXV159" s="153"/>
      <c r="KXW159" s="153"/>
      <c r="KXX159" s="153"/>
      <c r="KXY159" s="153"/>
      <c r="KXZ159" s="153"/>
      <c r="KYA159" s="153"/>
      <c r="KYB159" s="153"/>
      <c r="KYC159" s="153"/>
      <c r="KYD159" s="153"/>
      <c r="KYE159" s="153"/>
      <c r="KYF159" s="153"/>
      <c r="KYG159" s="153"/>
      <c r="KYH159" s="153"/>
      <c r="KYI159" s="153"/>
      <c r="KYJ159" s="153"/>
      <c r="KYK159" s="153"/>
      <c r="KYL159" s="153"/>
      <c r="KYM159" s="153"/>
      <c r="KYN159" s="153"/>
      <c r="KYO159" s="153"/>
      <c r="KYP159" s="153"/>
      <c r="KYQ159" s="153"/>
      <c r="KYR159" s="153"/>
      <c r="KYS159" s="153"/>
      <c r="KYT159" s="153"/>
      <c r="KYU159" s="153"/>
      <c r="KYV159" s="153"/>
      <c r="KYW159" s="153"/>
      <c r="KYX159" s="153"/>
      <c r="KYY159" s="153"/>
      <c r="KYZ159" s="153"/>
      <c r="KZA159" s="153"/>
      <c r="KZB159" s="153"/>
      <c r="KZC159" s="153"/>
      <c r="KZD159" s="153"/>
      <c r="KZE159" s="153"/>
      <c r="KZF159" s="153"/>
      <c r="KZG159" s="153"/>
      <c r="KZH159" s="153"/>
      <c r="KZI159" s="153"/>
      <c r="KZJ159" s="153"/>
      <c r="KZK159" s="153"/>
      <c r="KZL159" s="153"/>
      <c r="KZM159" s="153"/>
      <c r="KZN159" s="153"/>
      <c r="KZO159" s="153"/>
      <c r="KZP159" s="153"/>
      <c r="KZQ159" s="153"/>
      <c r="KZR159" s="153"/>
      <c r="KZS159" s="153"/>
      <c r="KZT159" s="153"/>
      <c r="KZU159" s="153"/>
      <c r="KZV159" s="153"/>
      <c r="KZW159" s="153"/>
      <c r="KZX159" s="153"/>
      <c r="KZY159" s="153"/>
      <c r="KZZ159" s="153"/>
      <c r="LAA159" s="153"/>
      <c r="LAB159" s="153"/>
      <c r="LAC159" s="153"/>
      <c r="LAD159" s="153"/>
      <c r="LAE159" s="153"/>
      <c r="LAF159" s="153"/>
      <c r="LAG159" s="153"/>
      <c r="LAH159" s="153"/>
      <c r="LAI159" s="153"/>
      <c r="LAJ159" s="153"/>
      <c r="LAK159" s="153"/>
      <c r="LAL159" s="153"/>
      <c r="LAM159" s="153"/>
      <c r="LAN159" s="153"/>
      <c r="LAO159" s="153"/>
      <c r="LAP159" s="153"/>
      <c r="LAQ159" s="153"/>
      <c r="LAR159" s="153"/>
      <c r="LAS159" s="153"/>
      <c r="LAT159" s="153"/>
      <c r="LAU159" s="153"/>
      <c r="LAV159" s="153"/>
      <c r="LAW159" s="153"/>
      <c r="LAX159" s="153"/>
      <c r="LAY159" s="153"/>
      <c r="LAZ159" s="153"/>
      <c r="LBA159" s="153"/>
      <c r="LBB159" s="153"/>
      <c r="LBC159" s="153"/>
      <c r="LBD159" s="153"/>
      <c r="LBE159" s="153"/>
      <c r="LBF159" s="153"/>
      <c r="LBG159" s="153"/>
      <c r="LBH159" s="153"/>
      <c r="LBI159" s="153"/>
      <c r="LBJ159" s="153"/>
      <c r="LBK159" s="153"/>
      <c r="LBL159" s="153"/>
      <c r="LBM159" s="153"/>
      <c r="LBN159" s="153"/>
      <c r="LBO159" s="153"/>
      <c r="LBP159" s="153"/>
      <c r="LBQ159" s="153"/>
      <c r="LBR159" s="153"/>
      <c r="LBS159" s="153"/>
      <c r="LBT159" s="153"/>
      <c r="LBU159" s="153"/>
      <c r="LBV159" s="153"/>
      <c r="LBW159" s="153"/>
      <c r="LBX159" s="153"/>
      <c r="LBY159" s="153"/>
      <c r="LBZ159" s="153"/>
      <c r="LCA159" s="153"/>
      <c r="LCB159" s="153"/>
      <c r="LCC159" s="153"/>
      <c r="LCD159" s="153"/>
      <c r="LCE159" s="153"/>
      <c r="LCF159" s="153"/>
      <c r="LCG159" s="153"/>
      <c r="LCH159" s="153"/>
      <c r="LCI159" s="153"/>
      <c r="LCJ159" s="153"/>
      <c r="LCK159" s="153"/>
      <c r="LCL159" s="153"/>
      <c r="LCM159" s="153"/>
      <c r="LCN159" s="153"/>
      <c r="LCO159" s="153"/>
      <c r="LCP159" s="153"/>
      <c r="LCQ159" s="153"/>
      <c r="LCR159" s="153"/>
      <c r="LCS159" s="153"/>
      <c r="LCT159" s="153"/>
      <c r="LCU159" s="153"/>
      <c r="LCV159" s="153"/>
      <c r="LCW159" s="153"/>
      <c r="LCX159" s="153"/>
      <c r="LCY159" s="153"/>
      <c r="LCZ159" s="153"/>
      <c r="LDA159" s="153"/>
      <c r="LDB159" s="153"/>
      <c r="LDC159" s="153"/>
      <c r="LDD159" s="153"/>
      <c r="LDE159" s="153"/>
      <c r="LDF159" s="153"/>
      <c r="LDG159" s="153"/>
      <c r="LDH159" s="153"/>
      <c r="LDI159" s="153"/>
      <c r="LDJ159" s="153"/>
      <c r="LDK159" s="153"/>
      <c r="LDL159" s="153"/>
      <c r="LDM159" s="153"/>
      <c r="LDN159" s="153"/>
      <c r="LDO159" s="153"/>
      <c r="LDP159" s="153"/>
      <c r="LDQ159" s="153"/>
      <c r="LDR159" s="153"/>
      <c r="LDS159" s="153"/>
      <c r="LDT159" s="153"/>
      <c r="LDU159" s="153"/>
      <c r="LDV159" s="153"/>
      <c r="LDW159" s="153"/>
      <c r="LDX159" s="153"/>
      <c r="LDY159" s="153"/>
      <c r="LDZ159" s="153"/>
      <c r="LEA159" s="153"/>
      <c r="LEB159" s="153"/>
      <c r="LEC159" s="153"/>
      <c r="LED159" s="153"/>
      <c r="LEE159" s="153"/>
      <c r="LEF159" s="153"/>
      <c r="LEG159" s="153"/>
      <c r="LEH159" s="153"/>
      <c r="LEI159" s="153"/>
      <c r="LEJ159" s="153"/>
      <c r="LEK159" s="153"/>
      <c r="LEL159" s="153"/>
      <c r="LEM159" s="153"/>
      <c r="LEN159" s="153"/>
      <c r="LEO159" s="153"/>
      <c r="LEP159" s="153"/>
      <c r="LEQ159" s="153"/>
      <c r="LER159" s="153"/>
      <c r="LES159" s="153"/>
      <c r="LET159" s="153"/>
      <c r="LEU159" s="153"/>
      <c r="LEV159" s="153"/>
      <c r="LEW159" s="153"/>
      <c r="LEX159" s="153"/>
      <c r="LEY159" s="153"/>
      <c r="LEZ159" s="153"/>
      <c r="LFA159" s="153"/>
      <c r="LFB159" s="153"/>
      <c r="LFC159" s="153"/>
      <c r="LFD159" s="153"/>
      <c r="LFE159" s="153"/>
      <c r="LFF159" s="153"/>
      <c r="LFG159" s="153"/>
      <c r="LFH159" s="153"/>
      <c r="LFI159" s="153"/>
      <c r="LFJ159" s="153"/>
      <c r="LFK159" s="153"/>
      <c r="LFL159" s="153"/>
      <c r="LFM159" s="153"/>
      <c r="LFN159" s="153"/>
      <c r="LFO159" s="153"/>
      <c r="LFP159" s="153"/>
      <c r="LFQ159" s="153"/>
      <c r="LFR159" s="153"/>
      <c r="LFS159" s="153"/>
      <c r="LFT159" s="153"/>
      <c r="LFU159" s="153"/>
      <c r="LFV159" s="153"/>
      <c r="LFW159" s="153"/>
      <c r="LFX159" s="153"/>
      <c r="LFY159" s="153"/>
      <c r="LFZ159" s="153"/>
      <c r="LGA159" s="153"/>
      <c r="LGB159" s="153"/>
      <c r="LGC159" s="153"/>
      <c r="LGD159" s="153"/>
      <c r="LGE159" s="153"/>
      <c r="LGF159" s="153"/>
      <c r="LGG159" s="153"/>
      <c r="LGH159" s="153"/>
      <c r="LGI159" s="153"/>
      <c r="LGJ159" s="153"/>
      <c r="LGK159" s="153"/>
      <c r="LGL159" s="153"/>
      <c r="LGM159" s="153"/>
      <c r="LGN159" s="153"/>
      <c r="LGO159" s="153"/>
      <c r="LGP159" s="153"/>
      <c r="LGQ159" s="153"/>
      <c r="LGR159" s="153"/>
      <c r="LGS159" s="153"/>
      <c r="LGT159" s="153"/>
      <c r="LGU159" s="153"/>
      <c r="LGV159" s="153"/>
      <c r="LGW159" s="153"/>
      <c r="LGX159" s="153"/>
      <c r="LGY159" s="153"/>
      <c r="LGZ159" s="153"/>
      <c r="LHA159" s="153"/>
      <c r="LHB159" s="153"/>
      <c r="LHC159" s="153"/>
      <c r="LHD159" s="153"/>
      <c r="LHE159" s="153"/>
      <c r="LHF159" s="153"/>
      <c r="LHG159" s="153"/>
      <c r="LHH159" s="153"/>
      <c r="LHI159" s="153"/>
      <c r="LHJ159" s="153"/>
      <c r="LHK159" s="153"/>
      <c r="LHL159" s="153"/>
      <c r="LHM159" s="153"/>
      <c r="LHN159" s="153"/>
      <c r="LHO159" s="153"/>
      <c r="LHP159" s="153"/>
      <c r="LHQ159" s="153"/>
      <c r="LHR159" s="153"/>
      <c r="LHS159" s="153"/>
      <c r="LHT159" s="153"/>
      <c r="LHU159" s="153"/>
      <c r="LHV159" s="153"/>
      <c r="LHW159" s="153"/>
      <c r="LHX159" s="153"/>
      <c r="LHY159" s="153"/>
      <c r="LHZ159" s="153"/>
      <c r="LIA159" s="153"/>
      <c r="LIB159" s="153"/>
      <c r="LIC159" s="153"/>
      <c r="LID159" s="153"/>
      <c r="LIE159" s="153"/>
      <c r="LIF159" s="153"/>
      <c r="LIG159" s="153"/>
      <c r="LIH159" s="153"/>
      <c r="LII159" s="153"/>
      <c r="LIJ159" s="153"/>
      <c r="LIK159" s="153"/>
      <c r="LIL159" s="153"/>
      <c r="LIM159" s="153"/>
      <c r="LIN159" s="153"/>
      <c r="LIO159" s="153"/>
      <c r="LIP159" s="153"/>
      <c r="LIQ159" s="153"/>
      <c r="LIR159" s="153"/>
      <c r="LIS159" s="153"/>
      <c r="LIT159" s="153"/>
      <c r="LIU159" s="153"/>
      <c r="LIV159" s="153"/>
      <c r="LIW159" s="153"/>
      <c r="LIX159" s="153"/>
      <c r="LIY159" s="153"/>
      <c r="LIZ159" s="153"/>
      <c r="LJA159" s="153"/>
      <c r="LJB159" s="153"/>
      <c r="LJC159" s="153"/>
      <c r="LJD159" s="153"/>
      <c r="LJE159" s="153"/>
      <c r="LJF159" s="153"/>
      <c r="LJG159" s="153"/>
      <c r="LJH159" s="153"/>
      <c r="LJI159" s="153"/>
      <c r="LJJ159" s="153"/>
      <c r="LJK159" s="153"/>
      <c r="LJL159" s="153"/>
      <c r="LJM159" s="153"/>
      <c r="LJN159" s="153"/>
      <c r="LJO159" s="153"/>
      <c r="LJP159" s="153"/>
      <c r="LJQ159" s="153"/>
      <c r="LJR159" s="153"/>
      <c r="LJS159" s="153"/>
      <c r="LJT159" s="153"/>
      <c r="LJU159" s="153"/>
      <c r="LJV159" s="153"/>
      <c r="LJW159" s="153"/>
      <c r="LJX159" s="153"/>
      <c r="LJY159" s="153"/>
      <c r="LJZ159" s="153"/>
      <c r="LKA159" s="153"/>
      <c r="LKB159" s="153"/>
      <c r="LKC159" s="153"/>
      <c r="LKD159" s="153"/>
      <c r="LKE159" s="153"/>
      <c r="LKF159" s="153"/>
      <c r="LKG159" s="153"/>
      <c r="LKH159" s="153"/>
      <c r="LKI159" s="153"/>
      <c r="LKJ159" s="153"/>
      <c r="LKK159" s="153"/>
      <c r="LKL159" s="153"/>
      <c r="LKM159" s="153"/>
      <c r="LKN159" s="153"/>
      <c r="LKO159" s="153"/>
      <c r="LKP159" s="153"/>
      <c r="LKQ159" s="153"/>
      <c r="LKR159" s="153"/>
      <c r="LKS159" s="153"/>
      <c r="LKT159" s="153"/>
      <c r="LKU159" s="153"/>
      <c r="LKV159" s="153"/>
      <c r="LKW159" s="153"/>
      <c r="LKX159" s="153"/>
      <c r="LKY159" s="153"/>
      <c r="LKZ159" s="153"/>
      <c r="LLA159" s="153"/>
      <c r="LLB159" s="153"/>
      <c r="LLC159" s="153"/>
      <c r="LLD159" s="153"/>
      <c r="LLE159" s="153"/>
      <c r="LLF159" s="153"/>
      <c r="LLG159" s="153"/>
      <c r="LLH159" s="153"/>
      <c r="LLI159" s="153"/>
      <c r="LLJ159" s="153"/>
      <c r="LLK159" s="153"/>
      <c r="LLL159" s="153"/>
      <c r="LLM159" s="153"/>
      <c r="LLN159" s="153"/>
      <c r="LLO159" s="153"/>
      <c r="LLP159" s="153"/>
      <c r="LLQ159" s="153"/>
      <c r="LLR159" s="153"/>
      <c r="LLS159" s="153"/>
      <c r="LLT159" s="153"/>
      <c r="LLU159" s="153"/>
      <c r="LLV159" s="153"/>
      <c r="LLW159" s="153"/>
      <c r="LLX159" s="153"/>
      <c r="LLY159" s="153"/>
      <c r="LLZ159" s="153"/>
      <c r="LMA159" s="153"/>
      <c r="LMB159" s="153"/>
      <c r="LMC159" s="153"/>
      <c r="LMD159" s="153"/>
      <c r="LME159" s="153"/>
      <c r="LMF159" s="153"/>
      <c r="LMG159" s="153"/>
      <c r="LMH159" s="153"/>
      <c r="LMI159" s="153"/>
      <c r="LMJ159" s="153"/>
      <c r="LMK159" s="153"/>
      <c r="LML159" s="153"/>
      <c r="LMM159" s="153"/>
      <c r="LMN159" s="153"/>
      <c r="LMO159" s="153"/>
      <c r="LMP159" s="153"/>
      <c r="LMQ159" s="153"/>
      <c r="LMR159" s="153"/>
      <c r="LMS159" s="153"/>
      <c r="LMT159" s="153"/>
      <c r="LMU159" s="153"/>
      <c r="LMV159" s="153"/>
      <c r="LMW159" s="153"/>
      <c r="LMX159" s="153"/>
      <c r="LMY159" s="153"/>
      <c r="LMZ159" s="153"/>
      <c r="LNA159" s="153"/>
      <c r="LNB159" s="153"/>
      <c r="LNC159" s="153"/>
      <c r="LND159" s="153"/>
      <c r="LNE159" s="153"/>
      <c r="LNF159" s="153"/>
      <c r="LNG159" s="153"/>
      <c r="LNH159" s="153"/>
      <c r="LNI159" s="153"/>
      <c r="LNJ159" s="153"/>
      <c r="LNK159" s="153"/>
      <c r="LNL159" s="153"/>
      <c r="LNM159" s="153"/>
      <c r="LNN159" s="153"/>
      <c r="LNO159" s="153"/>
      <c r="LNP159" s="153"/>
      <c r="LNQ159" s="153"/>
      <c r="LNR159" s="153"/>
      <c r="LNS159" s="153"/>
      <c r="LNT159" s="153"/>
      <c r="LNU159" s="153"/>
      <c r="LNV159" s="153"/>
      <c r="LNW159" s="153"/>
      <c r="LNX159" s="153"/>
      <c r="LNY159" s="153"/>
      <c r="LNZ159" s="153"/>
      <c r="LOA159" s="153"/>
      <c r="LOB159" s="153"/>
      <c r="LOC159" s="153"/>
      <c r="LOD159" s="153"/>
      <c r="LOE159" s="153"/>
      <c r="LOF159" s="153"/>
      <c r="LOG159" s="153"/>
      <c r="LOH159" s="153"/>
      <c r="LOI159" s="153"/>
      <c r="LOJ159" s="153"/>
      <c r="LOK159" s="153"/>
      <c r="LOL159" s="153"/>
      <c r="LOM159" s="153"/>
      <c r="LON159" s="153"/>
      <c r="LOO159" s="153"/>
      <c r="LOP159" s="153"/>
      <c r="LOQ159" s="153"/>
      <c r="LOR159" s="153"/>
      <c r="LOS159" s="153"/>
      <c r="LOT159" s="153"/>
      <c r="LOU159" s="153"/>
      <c r="LOV159" s="153"/>
      <c r="LOW159" s="153"/>
      <c r="LOX159" s="153"/>
      <c r="LOY159" s="153"/>
      <c r="LOZ159" s="153"/>
      <c r="LPA159" s="153"/>
      <c r="LPB159" s="153"/>
      <c r="LPC159" s="153"/>
      <c r="LPD159" s="153"/>
      <c r="LPE159" s="153"/>
      <c r="LPF159" s="153"/>
      <c r="LPG159" s="153"/>
      <c r="LPH159" s="153"/>
      <c r="LPI159" s="153"/>
      <c r="LPJ159" s="153"/>
      <c r="LPK159" s="153"/>
      <c r="LPL159" s="153"/>
      <c r="LPM159" s="153"/>
      <c r="LPN159" s="153"/>
      <c r="LPO159" s="153"/>
      <c r="LPP159" s="153"/>
      <c r="LPQ159" s="153"/>
      <c r="LPR159" s="153"/>
      <c r="LPS159" s="153"/>
      <c r="LPT159" s="153"/>
      <c r="LPU159" s="153"/>
      <c r="LPV159" s="153"/>
      <c r="LPW159" s="153"/>
      <c r="LPX159" s="153"/>
      <c r="LPY159" s="153"/>
      <c r="LPZ159" s="153"/>
      <c r="LQA159" s="153"/>
      <c r="LQB159" s="153"/>
      <c r="LQC159" s="153"/>
      <c r="LQD159" s="153"/>
      <c r="LQE159" s="153"/>
      <c r="LQF159" s="153"/>
      <c r="LQG159" s="153"/>
      <c r="LQH159" s="153"/>
      <c r="LQI159" s="153"/>
      <c r="LQJ159" s="153"/>
      <c r="LQK159" s="153"/>
      <c r="LQL159" s="153"/>
      <c r="LQM159" s="153"/>
      <c r="LQN159" s="153"/>
      <c r="LQO159" s="153"/>
      <c r="LQP159" s="153"/>
      <c r="LQQ159" s="153"/>
      <c r="LQR159" s="153"/>
      <c r="LQS159" s="153"/>
      <c r="LQT159" s="153"/>
      <c r="LQU159" s="153"/>
      <c r="LQV159" s="153"/>
      <c r="LQW159" s="153"/>
      <c r="LQX159" s="153"/>
      <c r="LQY159" s="153"/>
      <c r="LQZ159" s="153"/>
      <c r="LRA159" s="153"/>
      <c r="LRB159" s="153"/>
      <c r="LRC159" s="153"/>
      <c r="LRD159" s="153"/>
      <c r="LRE159" s="153"/>
      <c r="LRF159" s="153"/>
      <c r="LRG159" s="153"/>
      <c r="LRH159" s="153"/>
      <c r="LRI159" s="153"/>
      <c r="LRJ159" s="153"/>
      <c r="LRK159" s="153"/>
      <c r="LRL159" s="153"/>
      <c r="LRM159" s="153"/>
      <c r="LRN159" s="153"/>
      <c r="LRO159" s="153"/>
      <c r="LRP159" s="153"/>
      <c r="LRQ159" s="153"/>
      <c r="LRR159" s="153"/>
      <c r="LRS159" s="153"/>
      <c r="LRT159" s="153"/>
      <c r="LRU159" s="153"/>
      <c r="LRV159" s="153"/>
      <c r="LRW159" s="153"/>
      <c r="LRX159" s="153"/>
      <c r="LRY159" s="153"/>
      <c r="LRZ159" s="153"/>
      <c r="LSA159" s="153"/>
      <c r="LSB159" s="153"/>
      <c r="LSC159" s="153"/>
      <c r="LSD159" s="153"/>
      <c r="LSE159" s="153"/>
      <c r="LSF159" s="153"/>
      <c r="LSG159" s="153"/>
      <c r="LSH159" s="153"/>
      <c r="LSI159" s="153"/>
      <c r="LSJ159" s="153"/>
      <c r="LSK159" s="153"/>
      <c r="LSL159" s="153"/>
      <c r="LSM159" s="153"/>
      <c r="LSN159" s="153"/>
      <c r="LSO159" s="153"/>
      <c r="LSP159" s="153"/>
      <c r="LSQ159" s="153"/>
      <c r="LSR159" s="153"/>
      <c r="LSS159" s="153"/>
      <c r="LST159" s="153"/>
      <c r="LSU159" s="153"/>
      <c r="LSV159" s="153"/>
      <c r="LSW159" s="153"/>
      <c r="LSX159" s="153"/>
      <c r="LSY159" s="153"/>
      <c r="LSZ159" s="153"/>
      <c r="LTA159" s="153"/>
      <c r="LTB159" s="153"/>
      <c r="LTC159" s="153"/>
      <c r="LTD159" s="153"/>
      <c r="LTE159" s="153"/>
      <c r="LTF159" s="153"/>
      <c r="LTG159" s="153"/>
      <c r="LTH159" s="153"/>
      <c r="LTI159" s="153"/>
      <c r="LTJ159" s="153"/>
      <c r="LTK159" s="153"/>
      <c r="LTL159" s="153"/>
      <c r="LTM159" s="153"/>
      <c r="LTN159" s="153"/>
      <c r="LTO159" s="153"/>
      <c r="LTP159" s="153"/>
      <c r="LTQ159" s="153"/>
      <c r="LTR159" s="153"/>
      <c r="LTS159" s="153"/>
      <c r="LTT159" s="153"/>
      <c r="LTU159" s="153"/>
      <c r="LTV159" s="153"/>
      <c r="LTW159" s="153"/>
      <c r="LTX159" s="153"/>
      <c r="LTY159" s="153"/>
      <c r="LTZ159" s="153"/>
      <c r="LUA159" s="153"/>
      <c r="LUB159" s="153"/>
      <c r="LUC159" s="153"/>
      <c r="LUD159" s="153"/>
      <c r="LUE159" s="153"/>
      <c r="LUF159" s="153"/>
      <c r="LUG159" s="153"/>
      <c r="LUH159" s="153"/>
      <c r="LUI159" s="153"/>
      <c r="LUJ159" s="153"/>
      <c r="LUK159" s="153"/>
      <c r="LUL159" s="153"/>
      <c r="LUM159" s="153"/>
      <c r="LUN159" s="153"/>
      <c r="LUO159" s="153"/>
      <c r="LUP159" s="153"/>
      <c r="LUQ159" s="153"/>
      <c r="LUR159" s="153"/>
      <c r="LUS159" s="153"/>
      <c r="LUT159" s="153"/>
      <c r="LUU159" s="153"/>
      <c r="LUV159" s="153"/>
      <c r="LUW159" s="153"/>
      <c r="LUX159" s="153"/>
      <c r="LUY159" s="153"/>
      <c r="LUZ159" s="153"/>
      <c r="LVA159" s="153"/>
      <c r="LVB159" s="153"/>
      <c r="LVC159" s="153"/>
      <c r="LVD159" s="153"/>
      <c r="LVE159" s="153"/>
      <c r="LVF159" s="153"/>
      <c r="LVG159" s="153"/>
      <c r="LVH159" s="153"/>
      <c r="LVI159" s="153"/>
      <c r="LVJ159" s="153"/>
      <c r="LVK159" s="153"/>
      <c r="LVL159" s="153"/>
      <c r="LVM159" s="153"/>
      <c r="LVN159" s="153"/>
      <c r="LVO159" s="153"/>
      <c r="LVP159" s="153"/>
      <c r="LVQ159" s="153"/>
      <c r="LVR159" s="153"/>
      <c r="LVS159" s="153"/>
      <c r="LVT159" s="153"/>
      <c r="LVU159" s="153"/>
      <c r="LVV159" s="153"/>
      <c r="LVW159" s="153"/>
      <c r="LVX159" s="153"/>
      <c r="LVY159" s="153"/>
      <c r="LVZ159" s="153"/>
      <c r="LWA159" s="153"/>
      <c r="LWB159" s="153"/>
      <c r="LWC159" s="153"/>
      <c r="LWD159" s="153"/>
      <c r="LWE159" s="153"/>
      <c r="LWF159" s="153"/>
      <c r="LWG159" s="153"/>
      <c r="LWH159" s="153"/>
      <c r="LWI159" s="153"/>
      <c r="LWJ159" s="153"/>
      <c r="LWK159" s="153"/>
      <c r="LWL159" s="153"/>
      <c r="LWM159" s="153"/>
      <c r="LWN159" s="153"/>
      <c r="LWO159" s="153"/>
      <c r="LWP159" s="153"/>
      <c r="LWQ159" s="153"/>
      <c r="LWR159" s="153"/>
      <c r="LWS159" s="153"/>
      <c r="LWT159" s="153"/>
      <c r="LWU159" s="153"/>
      <c r="LWV159" s="153"/>
      <c r="LWW159" s="153"/>
      <c r="LWX159" s="153"/>
      <c r="LWY159" s="153"/>
      <c r="LWZ159" s="153"/>
      <c r="LXA159" s="153"/>
      <c r="LXB159" s="153"/>
      <c r="LXC159" s="153"/>
      <c r="LXD159" s="153"/>
      <c r="LXE159" s="153"/>
      <c r="LXF159" s="153"/>
      <c r="LXG159" s="153"/>
      <c r="LXH159" s="153"/>
      <c r="LXI159" s="153"/>
      <c r="LXJ159" s="153"/>
      <c r="LXK159" s="153"/>
      <c r="LXL159" s="153"/>
      <c r="LXM159" s="153"/>
      <c r="LXN159" s="153"/>
      <c r="LXO159" s="153"/>
      <c r="LXP159" s="153"/>
      <c r="LXQ159" s="153"/>
      <c r="LXR159" s="153"/>
      <c r="LXS159" s="153"/>
      <c r="LXT159" s="153"/>
      <c r="LXU159" s="153"/>
      <c r="LXV159" s="153"/>
      <c r="LXW159" s="153"/>
      <c r="LXX159" s="153"/>
      <c r="LXY159" s="153"/>
      <c r="LXZ159" s="153"/>
      <c r="LYA159" s="153"/>
      <c r="LYB159" s="153"/>
      <c r="LYC159" s="153"/>
      <c r="LYD159" s="153"/>
      <c r="LYE159" s="153"/>
      <c r="LYF159" s="153"/>
      <c r="LYG159" s="153"/>
      <c r="LYH159" s="153"/>
      <c r="LYI159" s="153"/>
      <c r="LYJ159" s="153"/>
      <c r="LYK159" s="153"/>
      <c r="LYL159" s="153"/>
      <c r="LYM159" s="153"/>
      <c r="LYN159" s="153"/>
      <c r="LYO159" s="153"/>
      <c r="LYP159" s="153"/>
      <c r="LYQ159" s="153"/>
      <c r="LYR159" s="153"/>
      <c r="LYS159" s="153"/>
      <c r="LYT159" s="153"/>
      <c r="LYU159" s="153"/>
      <c r="LYV159" s="153"/>
      <c r="LYW159" s="153"/>
      <c r="LYX159" s="153"/>
      <c r="LYY159" s="153"/>
      <c r="LYZ159" s="153"/>
      <c r="LZA159" s="153"/>
      <c r="LZB159" s="153"/>
      <c r="LZC159" s="153"/>
      <c r="LZD159" s="153"/>
      <c r="LZE159" s="153"/>
      <c r="LZF159" s="153"/>
      <c r="LZG159" s="153"/>
      <c r="LZH159" s="153"/>
      <c r="LZI159" s="153"/>
      <c r="LZJ159" s="153"/>
      <c r="LZK159" s="153"/>
      <c r="LZL159" s="153"/>
      <c r="LZM159" s="153"/>
      <c r="LZN159" s="153"/>
      <c r="LZO159" s="153"/>
      <c r="LZP159" s="153"/>
      <c r="LZQ159" s="153"/>
      <c r="LZR159" s="153"/>
      <c r="LZS159" s="153"/>
      <c r="LZT159" s="153"/>
      <c r="LZU159" s="153"/>
      <c r="LZV159" s="153"/>
      <c r="LZW159" s="153"/>
      <c r="LZX159" s="153"/>
      <c r="LZY159" s="153"/>
      <c r="LZZ159" s="153"/>
      <c r="MAA159" s="153"/>
      <c r="MAB159" s="153"/>
      <c r="MAC159" s="153"/>
      <c r="MAD159" s="153"/>
      <c r="MAE159" s="153"/>
      <c r="MAF159" s="153"/>
      <c r="MAG159" s="153"/>
      <c r="MAH159" s="153"/>
      <c r="MAI159" s="153"/>
      <c r="MAJ159" s="153"/>
      <c r="MAK159" s="153"/>
      <c r="MAL159" s="153"/>
      <c r="MAM159" s="153"/>
      <c r="MAN159" s="153"/>
      <c r="MAO159" s="153"/>
      <c r="MAP159" s="153"/>
      <c r="MAQ159" s="153"/>
      <c r="MAR159" s="153"/>
      <c r="MAS159" s="153"/>
      <c r="MAT159" s="153"/>
      <c r="MAU159" s="153"/>
      <c r="MAV159" s="153"/>
      <c r="MAW159" s="153"/>
      <c r="MAX159" s="153"/>
      <c r="MAY159" s="153"/>
      <c r="MAZ159" s="153"/>
      <c r="MBA159" s="153"/>
      <c r="MBB159" s="153"/>
      <c r="MBC159" s="153"/>
      <c r="MBD159" s="153"/>
      <c r="MBE159" s="153"/>
      <c r="MBF159" s="153"/>
      <c r="MBG159" s="153"/>
      <c r="MBH159" s="153"/>
      <c r="MBI159" s="153"/>
      <c r="MBJ159" s="153"/>
      <c r="MBK159" s="153"/>
      <c r="MBL159" s="153"/>
      <c r="MBM159" s="153"/>
      <c r="MBN159" s="153"/>
      <c r="MBO159" s="153"/>
      <c r="MBP159" s="153"/>
      <c r="MBQ159" s="153"/>
      <c r="MBR159" s="153"/>
      <c r="MBS159" s="153"/>
      <c r="MBT159" s="153"/>
      <c r="MBU159" s="153"/>
      <c r="MBV159" s="153"/>
      <c r="MBW159" s="153"/>
      <c r="MBX159" s="153"/>
      <c r="MBY159" s="153"/>
      <c r="MBZ159" s="153"/>
      <c r="MCA159" s="153"/>
      <c r="MCB159" s="153"/>
      <c r="MCC159" s="153"/>
      <c r="MCD159" s="153"/>
      <c r="MCE159" s="153"/>
      <c r="MCF159" s="153"/>
      <c r="MCG159" s="153"/>
      <c r="MCH159" s="153"/>
      <c r="MCI159" s="153"/>
      <c r="MCJ159" s="153"/>
      <c r="MCK159" s="153"/>
      <c r="MCL159" s="153"/>
      <c r="MCM159" s="153"/>
      <c r="MCN159" s="153"/>
      <c r="MCO159" s="153"/>
      <c r="MCP159" s="153"/>
      <c r="MCQ159" s="153"/>
      <c r="MCR159" s="153"/>
      <c r="MCS159" s="153"/>
      <c r="MCT159" s="153"/>
      <c r="MCU159" s="153"/>
      <c r="MCV159" s="153"/>
      <c r="MCW159" s="153"/>
      <c r="MCX159" s="153"/>
      <c r="MCY159" s="153"/>
      <c r="MCZ159" s="153"/>
      <c r="MDA159" s="153"/>
      <c r="MDB159" s="153"/>
      <c r="MDC159" s="153"/>
      <c r="MDD159" s="153"/>
      <c r="MDE159" s="153"/>
      <c r="MDF159" s="153"/>
      <c r="MDG159" s="153"/>
      <c r="MDH159" s="153"/>
      <c r="MDI159" s="153"/>
      <c r="MDJ159" s="153"/>
      <c r="MDK159" s="153"/>
      <c r="MDL159" s="153"/>
      <c r="MDM159" s="153"/>
      <c r="MDN159" s="153"/>
      <c r="MDO159" s="153"/>
      <c r="MDP159" s="153"/>
      <c r="MDQ159" s="153"/>
      <c r="MDR159" s="153"/>
      <c r="MDS159" s="153"/>
      <c r="MDT159" s="153"/>
      <c r="MDU159" s="153"/>
      <c r="MDV159" s="153"/>
      <c r="MDW159" s="153"/>
      <c r="MDX159" s="153"/>
      <c r="MDY159" s="153"/>
      <c r="MDZ159" s="153"/>
      <c r="MEA159" s="153"/>
      <c r="MEB159" s="153"/>
      <c r="MEC159" s="153"/>
      <c r="MED159" s="153"/>
      <c r="MEE159" s="153"/>
      <c r="MEF159" s="153"/>
      <c r="MEG159" s="153"/>
      <c r="MEH159" s="153"/>
      <c r="MEI159" s="153"/>
      <c r="MEJ159" s="153"/>
      <c r="MEK159" s="153"/>
      <c r="MEL159" s="153"/>
      <c r="MEM159" s="153"/>
      <c r="MEN159" s="153"/>
      <c r="MEO159" s="153"/>
      <c r="MEP159" s="153"/>
      <c r="MEQ159" s="153"/>
      <c r="MER159" s="153"/>
      <c r="MES159" s="153"/>
      <c r="MET159" s="153"/>
      <c r="MEU159" s="153"/>
      <c r="MEV159" s="153"/>
      <c r="MEW159" s="153"/>
      <c r="MEX159" s="153"/>
      <c r="MEY159" s="153"/>
      <c r="MEZ159" s="153"/>
      <c r="MFA159" s="153"/>
      <c r="MFB159" s="153"/>
      <c r="MFC159" s="153"/>
      <c r="MFD159" s="153"/>
      <c r="MFE159" s="153"/>
      <c r="MFF159" s="153"/>
      <c r="MFG159" s="153"/>
      <c r="MFH159" s="153"/>
      <c r="MFI159" s="153"/>
      <c r="MFJ159" s="153"/>
      <c r="MFK159" s="153"/>
      <c r="MFL159" s="153"/>
      <c r="MFM159" s="153"/>
      <c r="MFN159" s="153"/>
      <c r="MFO159" s="153"/>
      <c r="MFP159" s="153"/>
      <c r="MFQ159" s="153"/>
      <c r="MFR159" s="153"/>
      <c r="MFS159" s="153"/>
      <c r="MFT159" s="153"/>
      <c r="MFU159" s="153"/>
      <c r="MFV159" s="153"/>
      <c r="MFW159" s="153"/>
      <c r="MFX159" s="153"/>
      <c r="MFY159" s="153"/>
      <c r="MFZ159" s="153"/>
      <c r="MGA159" s="153"/>
      <c r="MGB159" s="153"/>
      <c r="MGC159" s="153"/>
      <c r="MGD159" s="153"/>
      <c r="MGE159" s="153"/>
      <c r="MGF159" s="153"/>
      <c r="MGG159" s="153"/>
      <c r="MGH159" s="153"/>
      <c r="MGI159" s="153"/>
      <c r="MGJ159" s="153"/>
      <c r="MGK159" s="153"/>
      <c r="MGL159" s="153"/>
      <c r="MGM159" s="153"/>
      <c r="MGN159" s="153"/>
      <c r="MGO159" s="153"/>
      <c r="MGP159" s="153"/>
      <c r="MGQ159" s="153"/>
      <c r="MGR159" s="153"/>
      <c r="MGS159" s="153"/>
      <c r="MGT159" s="153"/>
      <c r="MGU159" s="153"/>
      <c r="MGV159" s="153"/>
      <c r="MGW159" s="153"/>
      <c r="MGX159" s="153"/>
      <c r="MGY159" s="153"/>
      <c r="MGZ159" s="153"/>
      <c r="MHA159" s="153"/>
      <c r="MHB159" s="153"/>
      <c r="MHC159" s="153"/>
      <c r="MHD159" s="153"/>
      <c r="MHE159" s="153"/>
      <c r="MHF159" s="153"/>
      <c r="MHG159" s="153"/>
      <c r="MHH159" s="153"/>
      <c r="MHI159" s="153"/>
      <c r="MHJ159" s="153"/>
      <c r="MHK159" s="153"/>
      <c r="MHL159" s="153"/>
      <c r="MHM159" s="153"/>
      <c r="MHN159" s="153"/>
      <c r="MHO159" s="153"/>
      <c r="MHP159" s="153"/>
      <c r="MHQ159" s="153"/>
      <c r="MHR159" s="153"/>
      <c r="MHS159" s="153"/>
      <c r="MHT159" s="153"/>
      <c r="MHU159" s="153"/>
      <c r="MHV159" s="153"/>
      <c r="MHW159" s="153"/>
      <c r="MHX159" s="153"/>
      <c r="MHY159" s="153"/>
      <c r="MHZ159" s="153"/>
      <c r="MIA159" s="153"/>
      <c r="MIB159" s="153"/>
      <c r="MIC159" s="153"/>
      <c r="MID159" s="153"/>
      <c r="MIE159" s="153"/>
      <c r="MIF159" s="153"/>
      <c r="MIG159" s="153"/>
      <c r="MIH159" s="153"/>
      <c r="MII159" s="153"/>
      <c r="MIJ159" s="153"/>
      <c r="MIK159" s="153"/>
      <c r="MIL159" s="153"/>
      <c r="MIM159" s="153"/>
      <c r="MIN159" s="153"/>
      <c r="MIO159" s="153"/>
      <c r="MIP159" s="153"/>
      <c r="MIQ159" s="153"/>
      <c r="MIR159" s="153"/>
      <c r="MIS159" s="153"/>
      <c r="MIT159" s="153"/>
      <c r="MIU159" s="153"/>
      <c r="MIV159" s="153"/>
      <c r="MIW159" s="153"/>
      <c r="MIX159" s="153"/>
      <c r="MIY159" s="153"/>
      <c r="MIZ159" s="153"/>
      <c r="MJA159" s="153"/>
      <c r="MJB159" s="153"/>
      <c r="MJC159" s="153"/>
      <c r="MJD159" s="153"/>
      <c r="MJE159" s="153"/>
      <c r="MJF159" s="153"/>
      <c r="MJG159" s="153"/>
      <c r="MJH159" s="153"/>
      <c r="MJI159" s="153"/>
      <c r="MJJ159" s="153"/>
      <c r="MJK159" s="153"/>
      <c r="MJL159" s="153"/>
      <c r="MJM159" s="153"/>
      <c r="MJN159" s="153"/>
      <c r="MJO159" s="153"/>
      <c r="MJP159" s="153"/>
      <c r="MJQ159" s="153"/>
      <c r="MJR159" s="153"/>
      <c r="MJS159" s="153"/>
      <c r="MJT159" s="153"/>
      <c r="MJU159" s="153"/>
      <c r="MJV159" s="153"/>
      <c r="MJW159" s="153"/>
      <c r="MJX159" s="153"/>
      <c r="MJY159" s="153"/>
      <c r="MJZ159" s="153"/>
      <c r="MKA159" s="153"/>
      <c r="MKB159" s="153"/>
      <c r="MKC159" s="153"/>
      <c r="MKD159" s="153"/>
      <c r="MKE159" s="153"/>
      <c r="MKF159" s="153"/>
      <c r="MKG159" s="153"/>
      <c r="MKH159" s="153"/>
      <c r="MKI159" s="153"/>
      <c r="MKJ159" s="153"/>
      <c r="MKK159" s="153"/>
      <c r="MKL159" s="153"/>
      <c r="MKM159" s="153"/>
      <c r="MKN159" s="153"/>
      <c r="MKO159" s="153"/>
      <c r="MKP159" s="153"/>
      <c r="MKQ159" s="153"/>
      <c r="MKR159" s="153"/>
      <c r="MKS159" s="153"/>
      <c r="MKT159" s="153"/>
      <c r="MKU159" s="153"/>
      <c r="MKV159" s="153"/>
      <c r="MKW159" s="153"/>
      <c r="MKX159" s="153"/>
      <c r="MKY159" s="153"/>
      <c r="MKZ159" s="153"/>
      <c r="MLA159" s="153"/>
      <c r="MLB159" s="153"/>
      <c r="MLC159" s="153"/>
      <c r="MLD159" s="153"/>
      <c r="MLE159" s="153"/>
      <c r="MLF159" s="153"/>
      <c r="MLG159" s="153"/>
      <c r="MLH159" s="153"/>
      <c r="MLI159" s="153"/>
      <c r="MLJ159" s="153"/>
      <c r="MLK159" s="153"/>
      <c r="MLL159" s="153"/>
      <c r="MLM159" s="153"/>
      <c r="MLN159" s="153"/>
      <c r="MLO159" s="153"/>
      <c r="MLP159" s="153"/>
      <c r="MLQ159" s="153"/>
      <c r="MLR159" s="153"/>
      <c r="MLS159" s="153"/>
      <c r="MLT159" s="153"/>
      <c r="MLU159" s="153"/>
      <c r="MLV159" s="153"/>
      <c r="MLW159" s="153"/>
      <c r="MLX159" s="153"/>
      <c r="MLY159" s="153"/>
      <c r="MLZ159" s="153"/>
      <c r="MMA159" s="153"/>
      <c r="MMB159" s="153"/>
      <c r="MMC159" s="153"/>
      <c r="MMD159" s="153"/>
      <c r="MME159" s="153"/>
      <c r="MMF159" s="153"/>
      <c r="MMG159" s="153"/>
      <c r="MMH159" s="153"/>
      <c r="MMI159" s="153"/>
      <c r="MMJ159" s="153"/>
      <c r="MMK159" s="153"/>
      <c r="MML159" s="153"/>
      <c r="MMM159" s="153"/>
      <c r="MMN159" s="153"/>
      <c r="MMO159" s="153"/>
      <c r="MMP159" s="153"/>
      <c r="MMQ159" s="153"/>
      <c r="MMR159" s="153"/>
      <c r="MMS159" s="153"/>
      <c r="MMT159" s="153"/>
      <c r="MMU159" s="153"/>
      <c r="MMV159" s="153"/>
      <c r="MMW159" s="153"/>
      <c r="MMX159" s="153"/>
      <c r="MMY159" s="153"/>
      <c r="MMZ159" s="153"/>
      <c r="MNA159" s="153"/>
      <c r="MNB159" s="153"/>
      <c r="MNC159" s="153"/>
      <c r="MND159" s="153"/>
      <c r="MNE159" s="153"/>
      <c r="MNF159" s="153"/>
      <c r="MNG159" s="153"/>
      <c r="MNH159" s="153"/>
      <c r="MNI159" s="153"/>
      <c r="MNJ159" s="153"/>
      <c r="MNK159" s="153"/>
      <c r="MNL159" s="153"/>
      <c r="MNM159" s="153"/>
      <c r="MNN159" s="153"/>
      <c r="MNO159" s="153"/>
      <c r="MNP159" s="153"/>
      <c r="MNQ159" s="153"/>
      <c r="MNR159" s="153"/>
      <c r="MNS159" s="153"/>
      <c r="MNT159" s="153"/>
      <c r="MNU159" s="153"/>
      <c r="MNV159" s="153"/>
      <c r="MNW159" s="153"/>
      <c r="MNX159" s="153"/>
      <c r="MNY159" s="153"/>
      <c r="MNZ159" s="153"/>
      <c r="MOA159" s="153"/>
      <c r="MOB159" s="153"/>
      <c r="MOC159" s="153"/>
      <c r="MOD159" s="153"/>
      <c r="MOE159" s="153"/>
      <c r="MOF159" s="153"/>
      <c r="MOG159" s="153"/>
      <c r="MOH159" s="153"/>
      <c r="MOI159" s="153"/>
      <c r="MOJ159" s="153"/>
      <c r="MOK159" s="153"/>
      <c r="MOL159" s="153"/>
      <c r="MOM159" s="153"/>
      <c r="MON159" s="153"/>
      <c r="MOO159" s="153"/>
      <c r="MOP159" s="153"/>
      <c r="MOQ159" s="153"/>
      <c r="MOR159" s="153"/>
      <c r="MOS159" s="153"/>
      <c r="MOT159" s="153"/>
      <c r="MOU159" s="153"/>
      <c r="MOV159" s="153"/>
      <c r="MOW159" s="153"/>
      <c r="MOX159" s="153"/>
      <c r="MOY159" s="153"/>
      <c r="MOZ159" s="153"/>
      <c r="MPA159" s="153"/>
      <c r="MPB159" s="153"/>
      <c r="MPC159" s="153"/>
      <c r="MPD159" s="153"/>
      <c r="MPE159" s="153"/>
      <c r="MPF159" s="153"/>
      <c r="MPG159" s="153"/>
      <c r="MPH159" s="153"/>
      <c r="MPI159" s="153"/>
      <c r="MPJ159" s="153"/>
      <c r="MPK159" s="153"/>
      <c r="MPL159" s="153"/>
      <c r="MPM159" s="153"/>
      <c r="MPN159" s="153"/>
      <c r="MPO159" s="153"/>
      <c r="MPP159" s="153"/>
      <c r="MPQ159" s="153"/>
      <c r="MPR159" s="153"/>
      <c r="MPS159" s="153"/>
      <c r="MPT159" s="153"/>
      <c r="MPU159" s="153"/>
      <c r="MPV159" s="153"/>
      <c r="MPW159" s="153"/>
      <c r="MPX159" s="153"/>
      <c r="MPY159" s="153"/>
      <c r="MPZ159" s="153"/>
      <c r="MQA159" s="153"/>
      <c r="MQB159" s="153"/>
      <c r="MQC159" s="153"/>
      <c r="MQD159" s="153"/>
      <c r="MQE159" s="153"/>
      <c r="MQF159" s="153"/>
      <c r="MQG159" s="153"/>
      <c r="MQH159" s="153"/>
      <c r="MQI159" s="153"/>
      <c r="MQJ159" s="153"/>
      <c r="MQK159" s="153"/>
      <c r="MQL159" s="153"/>
      <c r="MQM159" s="153"/>
      <c r="MQN159" s="153"/>
      <c r="MQO159" s="153"/>
      <c r="MQP159" s="153"/>
      <c r="MQQ159" s="153"/>
      <c r="MQR159" s="153"/>
      <c r="MQS159" s="153"/>
      <c r="MQT159" s="153"/>
      <c r="MQU159" s="153"/>
      <c r="MQV159" s="153"/>
      <c r="MQW159" s="153"/>
      <c r="MQX159" s="153"/>
      <c r="MQY159" s="153"/>
      <c r="MQZ159" s="153"/>
      <c r="MRA159" s="153"/>
      <c r="MRB159" s="153"/>
      <c r="MRC159" s="153"/>
      <c r="MRD159" s="153"/>
      <c r="MRE159" s="153"/>
      <c r="MRF159" s="153"/>
      <c r="MRG159" s="153"/>
      <c r="MRH159" s="153"/>
      <c r="MRI159" s="153"/>
      <c r="MRJ159" s="153"/>
      <c r="MRK159" s="153"/>
      <c r="MRL159" s="153"/>
      <c r="MRM159" s="153"/>
      <c r="MRN159" s="153"/>
      <c r="MRO159" s="153"/>
      <c r="MRP159" s="153"/>
      <c r="MRQ159" s="153"/>
      <c r="MRR159" s="153"/>
      <c r="MRS159" s="153"/>
      <c r="MRT159" s="153"/>
      <c r="MRU159" s="153"/>
      <c r="MRV159" s="153"/>
      <c r="MRW159" s="153"/>
      <c r="MRX159" s="153"/>
      <c r="MRY159" s="153"/>
      <c r="MRZ159" s="153"/>
      <c r="MSA159" s="153"/>
      <c r="MSB159" s="153"/>
      <c r="MSC159" s="153"/>
      <c r="MSD159" s="153"/>
      <c r="MSE159" s="153"/>
      <c r="MSF159" s="153"/>
      <c r="MSG159" s="153"/>
      <c r="MSH159" s="153"/>
      <c r="MSI159" s="153"/>
      <c r="MSJ159" s="153"/>
      <c r="MSK159" s="153"/>
      <c r="MSL159" s="153"/>
      <c r="MSM159" s="153"/>
      <c r="MSN159" s="153"/>
      <c r="MSO159" s="153"/>
      <c r="MSP159" s="153"/>
      <c r="MSQ159" s="153"/>
      <c r="MSR159" s="153"/>
      <c r="MSS159" s="153"/>
      <c r="MST159" s="153"/>
      <c r="MSU159" s="153"/>
      <c r="MSV159" s="153"/>
      <c r="MSW159" s="153"/>
      <c r="MSX159" s="153"/>
      <c r="MSY159" s="153"/>
      <c r="MSZ159" s="153"/>
      <c r="MTA159" s="153"/>
      <c r="MTB159" s="153"/>
      <c r="MTC159" s="153"/>
      <c r="MTD159" s="153"/>
      <c r="MTE159" s="153"/>
      <c r="MTF159" s="153"/>
      <c r="MTG159" s="153"/>
      <c r="MTH159" s="153"/>
      <c r="MTI159" s="153"/>
      <c r="MTJ159" s="153"/>
      <c r="MTK159" s="153"/>
      <c r="MTL159" s="153"/>
      <c r="MTM159" s="153"/>
      <c r="MTN159" s="153"/>
      <c r="MTO159" s="153"/>
      <c r="MTP159" s="153"/>
      <c r="MTQ159" s="153"/>
      <c r="MTR159" s="153"/>
      <c r="MTS159" s="153"/>
      <c r="MTT159" s="153"/>
      <c r="MTU159" s="153"/>
      <c r="MTV159" s="153"/>
      <c r="MTW159" s="153"/>
      <c r="MTX159" s="153"/>
      <c r="MTY159" s="153"/>
      <c r="MTZ159" s="153"/>
      <c r="MUA159" s="153"/>
      <c r="MUB159" s="153"/>
      <c r="MUC159" s="153"/>
      <c r="MUD159" s="153"/>
      <c r="MUE159" s="153"/>
      <c r="MUF159" s="153"/>
      <c r="MUG159" s="153"/>
      <c r="MUH159" s="153"/>
      <c r="MUI159" s="153"/>
      <c r="MUJ159" s="153"/>
      <c r="MUK159" s="153"/>
      <c r="MUL159" s="153"/>
      <c r="MUM159" s="153"/>
      <c r="MUN159" s="153"/>
      <c r="MUO159" s="153"/>
      <c r="MUP159" s="153"/>
      <c r="MUQ159" s="153"/>
      <c r="MUR159" s="153"/>
      <c r="MUS159" s="153"/>
      <c r="MUT159" s="153"/>
      <c r="MUU159" s="153"/>
      <c r="MUV159" s="153"/>
      <c r="MUW159" s="153"/>
      <c r="MUX159" s="153"/>
      <c r="MUY159" s="153"/>
      <c r="MUZ159" s="153"/>
      <c r="MVA159" s="153"/>
      <c r="MVB159" s="153"/>
      <c r="MVC159" s="153"/>
      <c r="MVD159" s="153"/>
      <c r="MVE159" s="153"/>
      <c r="MVF159" s="153"/>
      <c r="MVG159" s="153"/>
      <c r="MVH159" s="153"/>
      <c r="MVI159" s="153"/>
      <c r="MVJ159" s="153"/>
      <c r="MVK159" s="153"/>
      <c r="MVL159" s="153"/>
      <c r="MVM159" s="153"/>
      <c r="MVN159" s="153"/>
      <c r="MVO159" s="153"/>
      <c r="MVP159" s="153"/>
      <c r="MVQ159" s="153"/>
      <c r="MVR159" s="153"/>
      <c r="MVS159" s="153"/>
      <c r="MVT159" s="153"/>
      <c r="MVU159" s="153"/>
      <c r="MVV159" s="153"/>
      <c r="MVW159" s="153"/>
      <c r="MVX159" s="153"/>
      <c r="MVY159" s="153"/>
      <c r="MVZ159" s="153"/>
      <c r="MWA159" s="153"/>
      <c r="MWB159" s="153"/>
      <c r="MWC159" s="153"/>
      <c r="MWD159" s="153"/>
      <c r="MWE159" s="153"/>
      <c r="MWF159" s="153"/>
      <c r="MWG159" s="153"/>
      <c r="MWH159" s="153"/>
      <c r="MWI159" s="153"/>
      <c r="MWJ159" s="153"/>
      <c r="MWK159" s="153"/>
      <c r="MWL159" s="153"/>
      <c r="MWM159" s="153"/>
      <c r="MWN159" s="153"/>
      <c r="MWO159" s="153"/>
      <c r="MWP159" s="153"/>
      <c r="MWQ159" s="153"/>
      <c r="MWR159" s="153"/>
      <c r="MWS159" s="153"/>
      <c r="MWT159" s="153"/>
      <c r="MWU159" s="153"/>
      <c r="MWV159" s="153"/>
      <c r="MWW159" s="153"/>
      <c r="MWX159" s="153"/>
      <c r="MWY159" s="153"/>
      <c r="MWZ159" s="153"/>
      <c r="MXA159" s="153"/>
      <c r="MXB159" s="153"/>
      <c r="MXC159" s="153"/>
      <c r="MXD159" s="153"/>
      <c r="MXE159" s="153"/>
      <c r="MXF159" s="153"/>
      <c r="MXG159" s="153"/>
      <c r="MXH159" s="153"/>
      <c r="MXI159" s="153"/>
      <c r="MXJ159" s="153"/>
      <c r="MXK159" s="153"/>
      <c r="MXL159" s="153"/>
      <c r="MXM159" s="153"/>
      <c r="MXN159" s="153"/>
      <c r="MXO159" s="153"/>
      <c r="MXP159" s="153"/>
      <c r="MXQ159" s="153"/>
      <c r="MXR159" s="153"/>
      <c r="MXS159" s="153"/>
      <c r="MXT159" s="153"/>
      <c r="MXU159" s="153"/>
      <c r="MXV159" s="153"/>
      <c r="MXW159" s="153"/>
      <c r="MXX159" s="153"/>
      <c r="MXY159" s="153"/>
      <c r="MXZ159" s="153"/>
      <c r="MYA159" s="153"/>
      <c r="MYB159" s="153"/>
      <c r="MYC159" s="153"/>
      <c r="MYD159" s="153"/>
      <c r="MYE159" s="153"/>
      <c r="MYF159" s="153"/>
      <c r="MYG159" s="153"/>
      <c r="MYH159" s="153"/>
      <c r="MYI159" s="153"/>
      <c r="MYJ159" s="153"/>
      <c r="MYK159" s="153"/>
      <c r="MYL159" s="153"/>
      <c r="MYM159" s="153"/>
      <c r="MYN159" s="153"/>
      <c r="MYO159" s="153"/>
      <c r="MYP159" s="153"/>
      <c r="MYQ159" s="153"/>
      <c r="MYR159" s="153"/>
      <c r="MYS159" s="153"/>
      <c r="MYT159" s="153"/>
      <c r="MYU159" s="153"/>
      <c r="MYV159" s="153"/>
      <c r="MYW159" s="153"/>
      <c r="MYX159" s="153"/>
      <c r="MYY159" s="153"/>
      <c r="MYZ159" s="153"/>
      <c r="MZA159" s="153"/>
      <c r="MZB159" s="153"/>
      <c r="MZC159" s="153"/>
      <c r="MZD159" s="153"/>
      <c r="MZE159" s="153"/>
      <c r="MZF159" s="153"/>
      <c r="MZG159" s="153"/>
      <c r="MZH159" s="153"/>
      <c r="MZI159" s="153"/>
      <c r="MZJ159" s="153"/>
      <c r="MZK159" s="153"/>
      <c r="MZL159" s="153"/>
      <c r="MZM159" s="153"/>
      <c r="MZN159" s="153"/>
      <c r="MZO159" s="153"/>
      <c r="MZP159" s="153"/>
      <c r="MZQ159" s="153"/>
      <c r="MZR159" s="153"/>
      <c r="MZS159" s="153"/>
      <c r="MZT159" s="153"/>
      <c r="MZU159" s="153"/>
      <c r="MZV159" s="153"/>
      <c r="MZW159" s="153"/>
      <c r="MZX159" s="153"/>
      <c r="MZY159" s="153"/>
      <c r="MZZ159" s="153"/>
      <c r="NAA159" s="153"/>
      <c r="NAB159" s="153"/>
      <c r="NAC159" s="153"/>
      <c r="NAD159" s="153"/>
      <c r="NAE159" s="153"/>
      <c r="NAF159" s="153"/>
      <c r="NAG159" s="153"/>
      <c r="NAH159" s="153"/>
      <c r="NAI159" s="153"/>
      <c r="NAJ159" s="153"/>
      <c r="NAK159" s="153"/>
      <c r="NAL159" s="153"/>
      <c r="NAM159" s="153"/>
      <c r="NAN159" s="153"/>
      <c r="NAO159" s="153"/>
      <c r="NAP159" s="153"/>
      <c r="NAQ159" s="153"/>
      <c r="NAR159" s="153"/>
      <c r="NAS159" s="153"/>
      <c r="NAT159" s="153"/>
      <c r="NAU159" s="153"/>
      <c r="NAV159" s="153"/>
      <c r="NAW159" s="153"/>
      <c r="NAX159" s="153"/>
      <c r="NAY159" s="153"/>
      <c r="NAZ159" s="153"/>
      <c r="NBA159" s="153"/>
      <c r="NBB159" s="153"/>
      <c r="NBC159" s="153"/>
      <c r="NBD159" s="153"/>
      <c r="NBE159" s="153"/>
      <c r="NBF159" s="153"/>
      <c r="NBG159" s="153"/>
      <c r="NBH159" s="153"/>
      <c r="NBI159" s="153"/>
      <c r="NBJ159" s="153"/>
      <c r="NBK159" s="153"/>
      <c r="NBL159" s="153"/>
      <c r="NBM159" s="153"/>
      <c r="NBN159" s="153"/>
      <c r="NBO159" s="153"/>
      <c r="NBP159" s="153"/>
      <c r="NBQ159" s="153"/>
      <c r="NBR159" s="153"/>
      <c r="NBS159" s="153"/>
      <c r="NBT159" s="153"/>
      <c r="NBU159" s="153"/>
      <c r="NBV159" s="153"/>
      <c r="NBW159" s="153"/>
      <c r="NBX159" s="153"/>
      <c r="NBY159" s="153"/>
      <c r="NBZ159" s="153"/>
      <c r="NCA159" s="153"/>
      <c r="NCB159" s="153"/>
      <c r="NCC159" s="153"/>
      <c r="NCD159" s="153"/>
      <c r="NCE159" s="153"/>
      <c r="NCF159" s="153"/>
      <c r="NCG159" s="153"/>
      <c r="NCH159" s="153"/>
      <c r="NCI159" s="153"/>
      <c r="NCJ159" s="153"/>
      <c r="NCK159" s="153"/>
      <c r="NCL159" s="153"/>
      <c r="NCM159" s="153"/>
      <c r="NCN159" s="153"/>
      <c r="NCO159" s="153"/>
      <c r="NCP159" s="153"/>
      <c r="NCQ159" s="153"/>
      <c r="NCR159" s="153"/>
      <c r="NCS159" s="153"/>
      <c r="NCT159" s="153"/>
      <c r="NCU159" s="153"/>
      <c r="NCV159" s="153"/>
      <c r="NCW159" s="153"/>
      <c r="NCX159" s="153"/>
      <c r="NCY159" s="153"/>
      <c r="NCZ159" s="153"/>
      <c r="NDA159" s="153"/>
      <c r="NDB159" s="153"/>
      <c r="NDC159" s="153"/>
      <c r="NDD159" s="153"/>
      <c r="NDE159" s="153"/>
      <c r="NDF159" s="153"/>
      <c r="NDG159" s="153"/>
      <c r="NDH159" s="153"/>
      <c r="NDI159" s="153"/>
      <c r="NDJ159" s="153"/>
      <c r="NDK159" s="153"/>
      <c r="NDL159" s="153"/>
      <c r="NDM159" s="153"/>
      <c r="NDN159" s="153"/>
      <c r="NDO159" s="153"/>
      <c r="NDP159" s="153"/>
      <c r="NDQ159" s="153"/>
      <c r="NDR159" s="153"/>
      <c r="NDS159" s="153"/>
      <c r="NDT159" s="153"/>
      <c r="NDU159" s="153"/>
      <c r="NDV159" s="153"/>
      <c r="NDW159" s="153"/>
      <c r="NDX159" s="153"/>
      <c r="NDY159" s="153"/>
      <c r="NDZ159" s="153"/>
      <c r="NEA159" s="153"/>
      <c r="NEB159" s="153"/>
      <c r="NEC159" s="153"/>
      <c r="NED159" s="153"/>
      <c r="NEE159" s="153"/>
      <c r="NEF159" s="153"/>
      <c r="NEG159" s="153"/>
      <c r="NEH159" s="153"/>
      <c r="NEI159" s="153"/>
      <c r="NEJ159" s="153"/>
      <c r="NEK159" s="153"/>
      <c r="NEL159" s="153"/>
      <c r="NEM159" s="153"/>
      <c r="NEN159" s="153"/>
      <c r="NEO159" s="153"/>
      <c r="NEP159" s="153"/>
      <c r="NEQ159" s="153"/>
      <c r="NER159" s="153"/>
      <c r="NES159" s="153"/>
      <c r="NET159" s="153"/>
      <c r="NEU159" s="153"/>
      <c r="NEV159" s="153"/>
      <c r="NEW159" s="153"/>
      <c r="NEX159" s="153"/>
      <c r="NEY159" s="153"/>
      <c r="NEZ159" s="153"/>
      <c r="NFA159" s="153"/>
      <c r="NFB159" s="153"/>
      <c r="NFC159" s="153"/>
      <c r="NFD159" s="153"/>
      <c r="NFE159" s="153"/>
      <c r="NFF159" s="153"/>
      <c r="NFG159" s="153"/>
      <c r="NFH159" s="153"/>
      <c r="NFI159" s="153"/>
      <c r="NFJ159" s="153"/>
      <c r="NFK159" s="153"/>
      <c r="NFL159" s="153"/>
      <c r="NFM159" s="153"/>
      <c r="NFN159" s="153"/>
      <c r="NFO159" s="153"/>
      <c r="NFP159" s="153"/>
      <c r="NFQ159" s="153"/>
      <c r="NFR159" s="153"/>
      <c r="NFS159" s="153"/>
      <c r="NFT159" s="153"/>
      <c r="NFU159" s="153"/>
      <c r="NFV159" s="153"/>
      <c r="NFW159" s="153"/>
      <c r="NFX159" s="153"/>
      <c r="NFY159" s="153"/>
      <c r="NFZ159" s="153"/>
      <c r="NGA159" s="153"/>
      <c r="NGB159" s="153"/>
      <c r="NGC159" s="153"/>
      <c r="NGD159" s="153"/>
      <c r="NGE159" s="153"/>
      <c r="NGF159" s="153"/>
      <c r="NGG159" s="153"/>
      <c r="NGH159" s="153"/>
      <c r="NGI159" s="153"/>
      <c r="NGJ159" s="153"/>
      <c r="NGK159" s="153"/>
      <c r="NGL159" s="153"/>
      <c r="NGM159" s="153"/>
      <c r="NGN159" s="153"/>
      <c r="NGO159" s="153"/>
      <c r="NGP159" s="153"/>
      <c r="NGQ159" s="153"/>
      <c r="NGR159" s="153"/>
      <c r="NGS159" s="153"/>
      <c r="NGT159" s="153"/>
      <c r="NGU159" s="153"/>
      <c r="NGV159" s="153"/>
      <c r="NGW159" s="153"/>
      <c r="NGX159" s="153"/>
      <c r="NGY159" s="153"/>
      <c r="NGZ159" s="153"/>
      <c r="NHA159" s="153"/>
      <c r="NHB159" s="153"/>
      <c r="NHC159" s="153"/>
      <c r="NHD159" s="153"/>
      <c r="NHE159" s="153"/>
      <c r="NHF159" s="153"/>
      <c r="NHG159" s="153"/>
      <c r="NHH159" s="153"/>
      <c r="NHI159" s="153"/>
      <c r="NHJ159" s="153"/>
      <c r="NHK159" s="153"/>
      <c r="NHL159" s="153"/>
      <c r="NHM159" s="153"/>
      <c r="NHN159" s="153"/>
      <c r="NHO159" s="153"/>
      <c r="NHP159" s="153"/>
      <c r="NHQ159" s="153"/>
      <c r="NHR159" s="153"/>
      <c r="NHS159" s="153"/>
      <c r="NHT159" s="153"/>
      <c r="NHU159" s="153"/>
      <c r="NHV159" s="153"/>
      <c r="NHW159" s="153"/>
      <c r="NHX159" s="153"/>
      <c r="NHY159" s="153"/>
      <c r="NHZ159" s="153"/>
      <c r="NIA159" s="153"/>
      <c r="NIB159" s="153"/>
      <c r="NIC159" s="153"/>
      <c r="NID159" s="153"/>
      <c r="NIE159" s="153"/>
      <c r="NIF159" s="153"/>
      <c r="NIG159" s="153"/>
      <c r="NIH159" s="153"/>
      <c r="NII159" s="153"/>
      <c r="NIJ159" s="153"/>
      <c r="NIK159" s="153"/>
      <c r="NIL159" s="153"/>
      <c r="NIM159" s="153"/>
      <c r="NIN159" s="153"/>
      <c r="NIO159" s="153"/>
      <c r="NIP159" s="153"/>
      <c r="NIQ159" s="153"/>
      <c r="NIR159" s="153"/>
      <c r="NIS159" s="153"/>
      <c r="NIT159" s="153"/>
      <c r="NIU159" s="153"/>
      <c r="NIV159" s="153"/>
      <c r="NIW159" s="153"/>
      <c r="NIX159" s="153"/>
      <c r="NIY159" s="153"/>
      <c r="NIZ159" s="153"/>
      <c r="NJA159" s="153"/>
      <c r="NJB159" s="153"/>
      <c r="NJC159" s="153"/>
      <c r="NJD159" s="153"/>
      <c r="NJE159" s="153"/>
      <c r="NJF159" s="153"/>
      <c r="NJG159" s="153"/>
      <c r="NJH159" s="153"/>
      <c r="NJI159" s="153"/>
      <c r="NJJ159" s="153"/>
      <c r="NJK159" s="153"/>
      <c r="NJL159" s="153"/>
      <c r="NJM159" s="153"/>
      <c r="NJN159" s="153"/>
      <c r="NJO159" s="153"/>
      <c r="NJP159" s="153"/>
      <c r="NJQ159" s="153"/>
      <c r="NJR159" s="153"/>
      <c r="NJS159" s="153"/>
      <c r="NJT159" s="153"/>
      <c r="NJU159" s="153"/>
      <c r="NJV159" s="153"/>
      <c r="NJW159" s="153"/>
      <c r="NJX159" s="153"/>
      <c r="NJY159" s="153"/>
      <c r="NJZ159" s="153"/>
      <c r="NKA159" s="153"/>
      <c r="NKB159" s="153"/>
      <c r="NKC159" s="153"/>
      <c r="NKD159" s="153"/>
      <c r="NKE159" s="153"/>
      <c r="NKF159" s="153"/>
      <c r="NKG159" s="153"/>
      <c r="NKH159" s="153"/>
      <c r="NKI159" s="153"/>
      <c r="NKJ159" s="153"/>
      <c r="NKK159" s="153"/>
      <c r="NKL159" s="153"/>
      <c r="NKM159" s="153"/>
      <c r="NKN159" s="153"/>
      <c r="NKO159" s="153"/>
      <c r="NKP159" s="153"/>
      <c r="NKQ159" s="153"/>
      <c r="NKR159" s="153"/>
      <c r="NKS159" s="153"/>
      <c r="NKT159" s="153"/>
      <c r="NKU159" s="153"/>
      <c r="NKV159" s="153"/>
      <c r="NKW159" s="153"/>
      <c r="NKX159" s="153"/>
      <c r="NKY159" s="153"/>
      <c r="NKZ159" s="153"/>
      <c r="NLA159" s="153"/>
      <c r="NLB159" s="153"/>
      <c r="NLC159" s="153"/>
      <c r="NLD159" s="153"/>
      <c r="NLE159" s="153"/>
      <c r="NLF159" s="153"/>
      <c r="NLG159" s="153"/>
      <c r="NLH159" s="153"/>
      <c r="NLI159" s="153"/>
      <c r="NLJ159" s="153"/>
      <c r="NLK159" s="153"/>
      <c r="NLL159" s="153"/>
      <c r="NLM159" s="153"/>
      <c r="NLN159" s="153"/>
      <c r="NLO159" s="153"/>
      <c r="NLP159" s="153"/>
      <c r="NLQ159" s="153"/>
      <c r="NLR159" s="153"/>
      <c r="NLS159" s="153"/>
      <c r="NLT159" s="153"/>
      <c r="NLU159" s="153"/>
      <c r="NLV159" s="153"/>
      <c r="NLW159" s="153"/>
      <c r="NLX159" s="153"/>
      <c r="NLY159" s="153"/>
      <c r="NLZ159" s="153"/>
      <c r="NMA159" s="153"/>
      <c r="NMB159" s="153"/>
      <c r="NMC159" s="153"/>
      <c r="NMD159" s="153"/>
      <c r="NME159" s="153"/>
      <c r="NMF159" s="153"/>
      <c r="NMG159" s="153"/>
      <c r="NMH159" s="153"/>
      <c r="NMI159" s="153"/>
      <c r="NMJ159" s="153"/>
      <c r="NMK159" s="153"/>
      <c r="NML159" s="153"/>
      <c r="NMM159" s="153"/>
      <c r="NMN159" s="153"/>
      <c r="NMO159" s="153"/>
      <c r="NMP159" s="153"/>
      <c r="NMQ159" s="153"/>
      <c r="NMR159" s="153"/>
      <c r="NMS159" s="153"/>
      <c r="NMT159" s="153"/>
      <c r="NMU159" s="153"/>
      <c r="NMV159" s="153"/>
      <c r="NMW159" s="153"/>
      <c r="NMX159" s="153"/>
      <c r="NMY159" s="153"/>
      <c r="NMZ159" s="153"/>
      <c r="NNA159" s="153"/>
      <c r="NNB159" s="153"/>
      <c r="NNC159" s="153"/>
      <c r="NND159" s="153"/>
      <c r="NNE159" s="153"/>
      <c r="NNF159" s="153"/>
      <c r="NNG159" s="153"/>
      <c r="NNH159" s="153"/>
      <c r="NNI159" s="153"/>
      <c r="NNJ159" s="153"/>
      <c r="NNK159" s="153"/>
      <c r="NNL159" s="153"/>
      <c r="NNM159" s="153"/>
      <c r="NNN159" s="153"/>
      <c r="NNO159" s="153"/>
      <c r="NNP159" s="153"/>
      <c r="NNQ159" s="153"/>
      <c r="NNR159" s="153"/>
      <c r="NNS159" s="153"/>
      <c r="NNT159" s="153"/>
      <c r="NNU159" s="153"/>
      <c r="NNV159" s="153"/>
      <c r="NNW159" s="153"/>
      <c r="NNX159" s="153"/>
      <c r="NNY159" s="153"/>
      <c r="NNZ159" s="153"/>
      <c r="NOA159" s="153"/>
      <c r="NOB159" s="153"/>
      <c r="NOC159" s="153"/>
      <c r="NOD159" s="153"/>
      <c r="NOE159" s="153"/>
      <c r="NOF159" s="153"/>
      <c r="NOG159" s="153"/>
      <c r="NOH159" s="153"/>
      <c r="NOI159" s="153"/>
      <c r="NOJ159" s="153"/>
      <c r="NOK159" s="153"/>
      <c r="NOL159" s="153"/>
      <c r="NOM159" s="153"/>
      <c r="NON159" s="153"/>
      <c r="NOO159" s="153"/>
      <c r="NOP159" s="153"/>
      <c r="NOQ159" s="153"/>
      <c r="NOR159" s="153"/>
      <c r="NOS159" s="153"/>
      <c r="NOT159" s="153"/>
      <c r="NOU159" s="153"/>
      <c r="NOV159" s="153"/>
      <c r="NOW159" s="153"/>
      <c r="NOX159" s="153"/>
      <c r="NOY159" s="153"/>
      <c r="NOZ159" s="153"/>
      <c r="NPA159" s="153"/>
      <c r="NPB159" s="153"/>
      <c r="NPC159" s="153"/>
      <c r="NPD159" s="153"/>
      <c r="NPE159" s="153"/>
      <c r="NPF159" s="153"/>
      <c r="NPG159" s="153"/>
      <c r="NPH159" s="153"/>
      <c r="NPI159" s="153"/>
      <c r="NPJ159" s="153"/>
      <c r="NPK159" s="153"/>
      <c r="NPL159" s="153"/>
      <c r="NPM159" s="153"/>
      <c r="NPN159" s="153"/>
      <c r="NPO159" s="153"/>
      <c r="NPP159" s="153"/>
      <c r="NPQ159" s="153"/>
      <c r="NPR159" s="153"/>
      <c r="NPS159" s="153"/>
      <c r="NPT159" s="153"/>
      <c r="NPU159" s="153"/>
      <c r="NPV159" s="153"/>
      <c r="NPW159" s="153"/>
      <c r="NPX159" s="153"/>
      <c r="NPY159" s="153"/>
      <c r="NPZ159" s="153"/>
      <c r="NQA159" s="153"/>
      <c r="NQB159" s="153"/>
      <c r="NQC159" s="153"/>
      <c r="NQD159" s="153"/>
      <c r="NQE159" s="153"/>
      <c r="NQF159" s="153"/>
      <c r="NQG159" s="153"/>
      <c r="NQH159" s="153"/>
      <c r="NQI159" s="153"/>
      <c r="NQJ159" s="153"/>
      <c r="NQK159" s="153"/>
      <c r="NQL159" s="153"/>
      <c r="NQM159" s="153"/>
      <c r="NQN159" s="153"/>
      <c r="NQO159" s="153"/>
      <c r="NQP159" s="153"/>
      <c r="NQQ159" s="153"/>
      <c r="NQR159" s="153"/>
      <c r="NQS159" s="153"/>
      <c r="NQT159" s="153"/>
      <c r="NQU159" s="153"/>
      <c r="NQV159" s="153"/>
      <c r="NQW159" s="153"/>
      <c r="NQX159" s="153"/>
      <c r="NQY159" s="153"/>
      <c r="NQZ159" s="153"/>
      <c r="NRA159" s="153"/>
      <c r="NRB159" s="153"/>
      <c r="NRC159" s="153"/>
      <c r="NRD159" s="153"/>
      <c r="NRE159" s="153"/>
      <c r="NRF159" s="153"/>
      <c r="NRG159" s="153"/>
      <c r="NRH159" s="153"/>
      <c r="NRI159" s="153"/>
      <c r="NRJ159" s="153"/>
      <c r="NRK159" s="153"/>
      <c r="NRL159" s="153"/>
      <c r="NRM159" s="153"/>
      <c r="NRN159" s="153"/>
      <c r="NRO159" s="153"/>
      <c r="NRP159" s="153"/>
      <c r="NRQ159" s="153"/>
      <c r="NRR159" s="153"/>
      <c r="NRS159" s="153"/>
      <c r="NRT159" s="153"/>
      <c r="NRU159" s="153"/>
      <c r="NRV159" s="153"/>
      <c r="NRW159" s="153"/>
      <c r="NRX159" s="153"/>
      <c r="NRY159" s="153"/>
      <c r="NRZ159" s="153"/>
      <c r="NSA159" s="153"/>
      <c r="NSB159" s="153"/>
      <c r="NSC159" s="153"/>
      <c r="NSD159" s="153"/>
      <c r="NSE159" s="153"/>
      <c r="NSF159" s="153"/>
      <c r="NSG159" s="153"/>
      <c r="NSH159" s="153"/>
      <c r="NSI159" s="153"/>
      <c r="NSJ159" s="153"/>
      <c r="NSK159" s="153"/>
      <c r="NSL159" s="153"/>
      <c r="NSM159" s="153"/>
      <c r="NSN159" s="153"/>
      <c r="NSO159" s="153"/>
      <c r="NSP159" s="153"/>
      <c r="NSQ159" s="153"/>
      <c r="NSR159" s="153"/>
      <c r="NSS159" s="153"/>
      <c r="NST159" s="153"/>
      <c r="NSU159" s="153"/>
      <c r="NSV159" s="153"/>
      <c r="NSW159" s="153"/>
      <c r="NSX159" s="153"/>
      <c r="NSY159" s="153"/>
      <c r="NSZ159" s="153"/>
      <c r="NTA159" s="153"/>
      <c r="NTB159" s="153"/>
      <c r="NTC159" s="153"/>
      <c r="NTD159" s="153"/>
      <c r="NTE159" s="153"/>
      <c r="NTF159" s="153"/>
      <c r="NTG159" s="153"/>
      <c r="NTH159" s="153"/>
      <c r="NTI159" s="153"/>
      <c r="NTJ159" s="153"/>
      <c r="NTK159" s="153"/>
      <c r="NTL159" s="153"/>
      <c r="NTM159" s="153"/>
      <c r="NTN159" s="153"/>
      <c r="NTO159" s="153"/>
      <c r="NTP159" s="153"/>
      <c r="NTQ159" s="153"/>
      <c r="NTR159" s="153"/>
      <c r="NTS159" s="153"/>
      <c r="NTT159" s="153"/>
      <c r="NTU159" s="153"/>
      <c r="NTV159" s="153"/>
      <c r="NTW159" s="153"/>
      <c r="NTX159" s="153"/>
      <c r="NTY159" s="153"/>
      <c r="NTZ159" s="153"/>
      <c r="NUA159" s="153"/>
      <c r="NUB159" s="153"/>
      <c r="NUC159" s="153"/>
      <c r="NUD159" s="153"/>
      <c r="NUE159" s="153"/>
      <c r="NUF159" s="153"/>
      <c r="NUG159" s="153"/>
      <c r="NUH159" s="153"/>
      <c r="NUI159" s="153"/>
      <c r="NUJ159" s="153"/>
      <c r="NUK159" s="153"/>
      <c r="NUL159" s="153"/>
      <c r="NUM159" s="153"/>
      <c r="NUN159" s="153"/>
      <c r="NUO159" s="153"/>
      <c r="NUP159" s="153"/>
      <c r="NUQ159" s="153"/>
      <c r="NUR159" s="153"/>
      <c r="NUS159" s="153"/>
      <c r="NUT159" s="153"/>
      <c r="NUU159" s="153"/>
      <c r="NUV159" s="153"/>
      <c r="NUW159" s="153"/>
      <c r="NUX159" s="153"/>
      <c r="NUY159" s="153"/>
      <c r="NUZ159" s="153"/>
      <c r="NVA159" s="153"/>
      <c r="NVB159" s="153"/>
      <c r="NVC159" s="153"/>
      <c r="NVD159" s="153"/>
      <c r="NVE159" s="153"/>
      <c r="NVF159" s="153"/>
      <c r="NVG159" s="153"/>
      <c r="NVH159" s="153"/>
      <c r="NVI159" s="153"/>
      <c r="NVJ159" s="153"/>
      <c r="NVK159" s="153"/>
      <c r="NVL159" s="153"/>
      <c r="NVM159" s="153"/>
      <c r="NVN159" s="153"/>
      <c r="NVO159" s="153"/>
      <c r="NVP159" s="153"/>
      <c r="NVQ159" s="153"/>
      <c r="NVR159" s="153"/>
      <c r="NVS159" s="153"/>
      <c r="NVT159" s="153"/>
      <c r="NVU159" s="153"/>
      <c r="NVV159" s="153"/>
      <c r="NVW159" s="153"/>
      <c r="NVX159" s="153"/>
      <c r="NVY159" s="153"/>
      <c r="NVZ159" s="153"/>
      <c r="NWA159" s="153"/>
      <c r="NWB159" s="153"/>
      <c r="NWC159" s="153"/>
      <c r="NWD159" s="153"/>
      <c r="NWE159" s="153"/>
      <c r="NWF159" s="153"/>
      <c r="NWG159" s="153"/>
      <c r="NWH159" s="153"/>
      <c r="NWI159" s="153"/>
      <c r="NWJ159" s="153"/>
      <c r="NWK159" s="153"/>
      <c r="NWL159" s="153"/>
      <c r="NWM159" s="153"/>
      <c r="NWN159" s="153"/>
      <c r="NWO159" s="153"/>
      <c r="NWP159" s="153"/>
      <c r="NWQ159" s="153"/>
      <c r="NWR159" s="153"/>
      <c r="NWS159" s="153"/>
      <c r="NWT159" s="153"/>
      <c r="NWU159" s="153"/>
      <c r="NWV159" s="153"/>
      <c r="NWW159" s="153"/>
      <c r="NWX159" s="153"/>
      <c r="NWY159" s="153"/>
      <c r="NWZ159" s="153"/>
      <c r="NXA159" s="153"/>
      <c r="NXB159" s="153"/>
      <c r="NXC159" s="153"/>
      <c r="NXD159" s="153"/>
      <c r="NXE159" s="153"/>
      <c r="NXF159" s="153"/>
      <c r="NXG159" s="153"/>
      <c r="NXH159" s="153"/>
      <c r="NXI159" s="153"/>
      <c r="NXJ159" s="153"/>
      <c r="NXK159" s="153"/>
      <c r="NXL159" s="153"/>
      <c r="NXM159" s="153"/>
      <c r="NXN159" s="153"/>
      <c r="NXO159" s="153"/>
      <c r="NXP159" s="153"/>
      <c r="NXQ159" s="153"/>
      <c r="NXR159" s="153"/>
      <c r="NXS159" s="153"/>
      <c r="NXT159" s="153"/>
      <c r="NXU159" s="153"/>
      <c r="NXV159" s="153"/>
      <c r="NXW159" s="153"/>
      <c r="NXX159" s="153"/>
      <c r="NXY159" s="153"/>
      <c r="NXZ159" s="153"/>
      <c r="NYA159" s="153"/>
      <c r="NYB159" s="153"/>
      <c r="NYC159" s="153"/>
      <c r="NYD159" s="153"/>
      <c r="NYE159" s="153"/>
      <c r="NYF159" s="153"/>
      <c r="NYG159" s="153"/>
      <c r="NYH159" s="153"/>
      <c r="NYI159" s="153"/>
      <c r="NYJ159" s="153"/>
      <c r="NYK159" s="153"/>
      <c r="NYL159" s="153"/>
      <c r="NYM159" s="153"/>
      <c r="NYN159" s="153"/>
      <c r="NYO159" s="153"/>
      <c r="NYP159" s="153"/>
      <c r="NYQ159" s="153"/>
      <c r="NYR159" s="153"/>
      <c r="NYS159" s="153"/>
      <c r="NYT159" s="153"/>
      <c r="NYU159" s="153"/>
      <c r="NYV159" s="153"/>
      <c r="NYW159" s="153"/>
      <c r="NYX159" s="153"/>
      <c r="NYY159" s="153"/>
      <c r="NYZ159" s="153"/>
      <c r="NZA159" s="153"/>
      <c r="NZB159" s="153"/>
      <c r="NZC159" s="153"/>
      <c r="NZD159" s="153"/>
      <c r="NZE159" s="153"/>
      <c r="NZF159" s="153"/>
      <c r="NZG159" s="153"/>
      <c r="NZH159" s="153"/>
      <c r="NZI159" s="153"/>
      <c r="NZJ159" s="153"/>
      <c r="NZK159" s="153"/>
      <c r="NZL159" s="153"/>
      <c r="NZM159" s="153"/>
      <c r="NZN159" s="153"/>
      <c r="NZO159" s="153"/>
      <c r="NZP159" s="153"/>
      <c r="NZQ159" s="153"/>
      <c r="NZR159" s="153"/>
      <c r="NZS159" s="153"/>
      <c r="NZT159" s="153"/>
      <c r="NZU159" s="153"/>
      <c r="NZV159" s="153"/>
      <c r="NZW159" s="153"/>
      <c r="NZX159" s="153"/>
      <c r="NZY159" s="153"/>
      <c r="NZZ159" s="153"/>
      <c r="OAA159" s="153"/>
      <c r="OAB159" s="153"/>
      <c r="OAC159" s="153"/>
      <c r="OAD159" s="153"/>
      <c r="OAE159" s="153"/>
      <c r="OAF159" s="153"/>
      <c r="OAG159" s="153"/>
      <c r="OAH159" s="153"/>
      <c r="OAI159" s="153"/>
      <c r="OAJ159" s="153"/>
      <c r="OAK159" s="153"/>
      <c r="OAL159" s="153"/>
      <c r="OAM159" s="153"/>
      <c r="OAN159" s="153"/>
      <c r="OAO159" s="153"/>
      <c r="OAP159" s="153"/>
      <c r="OAQ159" s="153"/>
      <c r="OAR159" s="153"/>
      <c r="OAS159" s="153"/>
      <c r="OAT159" s="153"/>
      <c r="OAU159" s="153"/>
      <c r="OAV159" s="153"/>
      <c r="OAW159" s="153"/>
      <c r="OAX159" s="153"/>
      <c r="OAY159" s="153"/>
      <c r="OAZ159" s="153"/>
      <c r="OBA159" s="153"/>
      <c r="OBB159" s="153"/>
      <c r="OBC159" s="153"/>
      <c r="OBD159" s="153"/>
      <c r="OBE159" s="153"/>
      <c r="OBF159" s="153"/>
      <c r="OBG159" s="153"/>
      <c r="OBH159" s="153"/>
      <c r="OBI159" s="153"/>
      <c r="OBJ159" s="153"/>
      <c r="OBK159" s="153"/>
      <c r="OBL159" s="153"/>
      <c r="OBM159" s="153"/>
      <c r="OBN159" s="153"/>
      <c r="OBO159" s="153"/>
      <c r="OBP159" s="153"/>
      <c r="OBQ159" s="153"/>
      <c r="OBR159" s="153"/>
      <c r="OBS159" s="153"/>
      <c r="OBT159" s="153"/>
      <c r="OBU159" s="153"/>
      <c r="OBV159" s="153"/>
      <c r="OBW159" s="153"/>
      <c r="OBX159" s="153"/>
      <c r="OBY159" s="153"/>
      <c r="OBZ159" s="153"/>
      <c r="OCA159" s="153"/>
      <c r="OCB159" s="153"/>
      <c r="OCC159" s="153"/>
      <c r="OCD159" s="153"/>
      <c r="OCE159" s="153"/>
      <c r="OCF159" s="153"/>
      <c r="OCG159" s="153"/>
      <c r="OCH159" s="153"/>
      <c r="OCI159" s="153"/>
      <c r="OCJ159" s="153"/>
      <c r="OCK159" s="153"/>
      <c r="OCL159" s="153"/>
      <c r="OCM159" s="153"/>
      <c r="OCN159" s="153"/>
      <c r="OCO159" s="153"/>
      <c r="OCP159" s="153"/>
      <c r="OCQ159" s="153"/>
      <c r="OCR159" s="153"/>
      <c r="OCS159" s="153"/>
      <c r="OCT159" s="153"/>
      <c r="OCU159" s="153"/>
      <c r="OCV159" s="153"/>
      <c r="OCW159" s="153"/>
      <c r="OCX159" s="153"/>
      <c r="OCY159" s="153"/>
      <c r="OCZ159" s="153"/>
      <c r="ODA159" s="153"/>
      <c r="ODB159" s="153"/>
      <c r="ODC159" s="153"/>
      <c r="ODD159" s="153"/>
      <c r="ODE159" s="153"/>
      <c r="ODF159" s="153"/>
      <c r="ODG159" s="153"/>
      <c r="ODH159" s="153"/>
      <c r="ODI159" s="153"/>
      <c r="ODJ159" s="153"/>
      <c r="ODK159" s="153"/>
      <c r="ODL159" s="153"/>
      <c r="ODM159" s="153"/>
      <c r="ODN159" s="153"/>
      <c r="ODO159" s="153"/>
      <c r="ODP159" s="153"/>
      <c r="ODQ159" s="153"/>
      <c r="ODR159" s="153"/>
      <c r="ODS159" s="153"/>
      <c r="ODT159" s="153"/>
      <c r="ODU159" s="153"/>
      <c r="ODV159" s="153"/>
      <c r="ODW159" s="153"/>
      <c r="ODX159" s="153"/>
      <c r="ODY159" s="153"/>
      <c r="ODZ159" s="153"/>
      <c r="OEA159" s="153"/>
      <c r="OEB159" s="153"/>
      <c r="OEC159" s="153"/>
      <c r="OED159" s="153"/>
      <c r="OEE159" s="153"/>
      <c r="OEF159" s="153"/>
      <c r="OEG159" s="153"/>
      <c r="OEH159" s="153"/>
      <c r="OEI159" s="153"/>
      <c r="OEJ159" s="153"/>
      <c r="OEK159" s="153"/>
      <c r="OEL159" s="153"/>
      <c r="OEM159" s="153"/>
      <c r="OEN159" s="153"/>
      <c r="OEO159" s="153"/>
      <c r="OEP159" s="153"/>
      <c r="OEQ159" s="153"/>
      <c r="OER159" s="153"/>
      <c r="OES159" s="153"/>
      <c r="OET159" s="153"/>
      <c r="OEU159" s="153"/>
      <c r="OEV159" s="153"/>
      <c r="OEW159" s="153"/>
      <c r="OEX159" s="153"/>
      <c r="OEY159" s="153"/>
      <c r="OEZ159" s="153"/>
      <c r="OFA159" s="153"/>
      <c r="OFB159" s="153"/>
      <c r="OFC159" s="153"/>
      <c r="OFD159" s="153"/>
      <c r="OFE159" s="153"/>
      <c r="OFF159" s="153"/>
      <c r="OFG159" s="153"/>
      <c r="OFH159" s="153"/>
      <c r="OFI159" s="153"/>
      <c r="OFJ159" s="153"/>
      <c r="OFK159" s="153"/>
      <c r="OFL159" s="153"/>
      <c r="OFM159" s="153"/>
      <c r="OFN159" s="153"/>
      <c r="OFO159" s="153"/>
      <c r="OFP159" s="153"/>
      <c r="OFQ159" s="153"/>
      <c r="OFR159" s="153"/>
      <c r="OFS159" s="153"/>
      <c r="OFT159" s="153"/>
      <c r="OFU159" s="153"/>
      <c r="OFV159" s="153"/>
      <c r="OFW159" s="153"/>
      <c r="OFX159" s="153"/>
      <c r="OFY159" s="153"/>
      <c r="OFZ159" s="153"/>
      <c r="OGA159" s="153"/>
      <c r="OGB159" s="153"/>
      <c r="OGC159" s="153"/>
      <c r="OGD159" s="153"/>
      <c r="OGE159" s="153"/>
      <c r="OGF159" s="153"/>
      <c r="OGG159" s="153"/>
      <c r="OGH159" s="153"/>
      <c r="OGI159" s="153"/>
      <c r="OGJ159" s="153"/>
      <c r="OGK159" s="153"/>
      <c r="OGL159" s="153"/>
      <c r="OGM159" s="153"/>
      <c r="OGN159" s="153"/>
      <c r="OGO159" s="153"/>
      <c r="OGP159" s="153"/>
      <c r="OGQ159" s="153"/>
      <c r="OGR159" s="153"/>
      <c r="OGS159" s="153"/>
      <c r="OGT159" s="153"/>
      <c r="OGU159" s="153"/>
      <c r="OGV159" s="153"/>
      <c r="OGW159" s="153"/>
      <c r="OGX159" s="153"/>
      <c r="OGY159" s="153"/>
      <c r="OGZ159" s="153"/>
      <c r="OHA159" s="153"/>
      <c r="OHB159" s="153"/>
      <c r="OHC159" s="153"/>
      <c r="OHD159" s="153"/>
      <c r="OHE159" s="153"/>
      <c r="OHF159" s="153"/>
      <c r="OHG159" s="153"/>
      <c r="OHH159" s="153"/>
      <c r="OHI159" s="153"/>
      <c r="OHJ159" s="153"/>
      <c r="OHK159" s="153"/>
      <c r="OHL159" s="153"/>
      <c r="OHM159" s="153"/>
      <c r="OHN159" s="153"/>
      <c r="OHO159" s="153"/>
      <c r="OHP159" s="153"/>
      <c r="OHQ159" s="153"/>
      <c r="OHR159" s="153"/>
      <c r="OHS159" s="153"/>
      <c r="OHT159" s="153"/>
      <c r="OHU159" s="153"/>
      <c r="OHV159" s="153"/>
      <c r="OHW159" s="153"/>
      <c r="OHX159" s="153"/>
      <c r="OHY159" s="153"/>
      <c r="OHZ159" s="153"/>
      <c r="OIA159" s="153"/>
      <c r="OIB159" s="153"/>
      <c r="OIC159" s="153"/>
      <c r="OID159" s="153"/>
      <c r="OIE159" s="153"/>
      <c r="OIF159" s="153"/>
      <c r="OIG159" s="153"/>
      <c r="OIH159" s="153"/>
      <c r="OII159" s="153"/>
      <c r="OIJ159" s="153"/>
      <c r="OIK159" s="153"/>
      <c r="OIL159" s="153"/>
      <c r="OIM159" s="153"/>
      <c r="OIN159" s="153"/>
      <c r="OIO159" s="153"/>
      <c r="OIP159" s="153"/>
      <c r="OIQ159" s="153"/>
      <c r="OIR159" s="153"/>
      <c r="OIS159" s="153"/>
      <c r="OIT159" s="153"/>
      <c r="OIU159" s="153"/>
      <c r="OIV159" s="153"/>
      <c r="OIW159" s="153"/>
      <c r="OIX159" s="153"/>
      <c r="OIY159" s="153"/>
      <c r="OIZ159" s="153"/>
      <c r="OJA159" s="153"/>
      <c r="OJB159" s="153"/>
      <c r="OJC159" s="153"/>
      <c r="OJD159" s="153"/>
      <c r="OJE159" s="153"/>
      <c r="OJF159" s="153"/>
      <c r="OJG159" s="153"/>
      <c r="OJH159" s="153"/>
      <c r="OJI159" s="153"/>
      <c r="OJJ159" s="153"/>
      <c r="OJK159" s="153"/>
      <c r="OJL159" s="153"/>
      <c r="OJM159" s="153"/>
      <c r="OJN159" s="153"/>
      <c r="OJO159" s="153"/>
      <c r="OJP159" s="153"/>
      <c r="OJQ159" s="153"/>
      <c r="OJR159" s="153"/>
      <c r="OJS159" s="153"/>
      <c r="OJT159" s="153"/>
      <c r="OJU159" s="153"/>
      <c r="OJV159" s="153"/>
      <c r="OJW159" s="153"/>
      <c r="OJX159" s="153"/>
      <c r="OJY159" s="153"/>
      <c r="OJZ159" s="153"/>
      <c r="OKA159" s="153"/>
      <c r="OKB159" s="153"/>
      <c r="OKC159" s="153"/>
      <c r="OKD159" s="153"/>
      <c r="OKE159" s="153"/>
      <c r="OKF159" s="153"/>
      <c r="OKG159" s="153"/>
      <c r="OKH159" s="153"/>
      <c r="OKI159" s="153"/>
      <c r="OKJ159" s="153"/>
      <c r="OKK159" s="153"/>
      <c r="OKL159" s="153"/>
      <c r="OKM159" s="153"/>
      <c r="OKN159" s="153"/>
      <c r="OKO159" s="153"/>
      <c r="OKP159" s="153"/>
      <c r="OKQ159" s="153"/>
      <c r="OKR159" s="153"/>
      <c r="OKS159" s="153"/>
      <c r="OKT159" s="153"/>
      <c r="OKU159" s="153"/>
      <c r="OKV159" s="153"/>
      <c r="OKW159" s="153"/>
      <c r="OKX159" s="153"/>
      <c r="OKY159" s="153"/>
      <c r="OKZ159" s="153"/>
      <c r="OLA159" s="153"/>
      <c r="OLB159" s="153"/>
      <c r="OLC159" s="153"/>
      <c r="OLD159" s="153"/>
      <c r="OLE159" s="153"/>
      <c r="OLF159" s="153"/>
      <c r="OLG159" s="153"/>
      <c r="OLH159" s="153"/>
      <c r="OLI159" s="153"/>
      <c r="OLJ159" s="153"/>
      <c r="OLK159" s="153"/>
      <c r="OLL159" s="153"/>
      <c r="OLM159" s="153"/>
      <c r="OLN159" s="153"/>
      <c r="OLO159" s="153"/>
      <c r="OLP159" s="153"/>
      <c r="OLQ159" s="153"/>
      <c r="OLR159" s="153"/>
      <c r="OLS159" s="153"/>
      <c r="OLT159" s="153"/>
      <c r="OLU159" s="153"/>
      <c r="OLV159" s="153"/>
      <c r="OLW159" s="153"/>
      <c r="OLX159" s="153"/>
      <c r="OLY159" s="153"/>
      <c r="OLZ159" s="153"/>
      <c r="OMA159" s="153"/>
      <c r="OMB159" s="153"/>
      <c r="OMC159" s="153"/>
      <c r="OMD159" s="153"/>
      <c r="OME159" s="153"/>
      <c r="OMF159" s="153"/>
      <c r="OMG159" s="153"/>
      <c r="OMH159" s="153"/>
      <c r="OMI159" s="153"/>
      <c r="OMJ159" s="153"/>
      <c r="OMK159" s="153"/>
      <c r="OML159" s="153"/>
      <c r="OMM159" s="153"/>
      <c r="OMN159" s="153"/>
      <c r="OMO159" s="153"/>
      <c r="OMP159" s="153"/>
      <c r="OMQ159" s="153"/>
      <c r="OMR159" s="153"/>
      <c r="OMS159" s="153"/>
      <c r="OMT159" s="153"/>
      <c r="OMU159" s="153"/>
      <c r="OMV159" s="153"/>
      <c r="OMW159" s="153"/>
      <c r="OMX159" s="153"/>
      <c r="OMY159" s="153"/>
      <c r="OMZ159" s="153"/>
      <c r="ONA159" s="153"/>
      <c r="ONB159" s="153"/>
      <c r="ONC159" s="153"/>
      <c r="OND159" s="153"/>
      <c r="ONE159" s="153"/>
      <c r="ONF159" s="153"/>
      <c r="ONG159" s="153"/>
      <c r="ONH159" s="153"/>
      <c r="ONI159" s="153"/>
      <c r="ONJ159" s="153"/>
      <c r="ONK159" s="153"/>
      <c r="ONL159" s="153"/>
      <c r="ONM159" s="153"/>
      <c r="ONN159" s="153"/>
      <c r="ONO159" s="153"/>
      <c r="ONP159" s="153"/>
      <c r="ONQ159" s="153"/>
      <c r="ONR159" s="153"/>
      <c r="ONS159" s="153"/>
      <c r="ONT159" s="153"/>
      <c r="ONU159" s="153"/>
      <c r="ONV159" s="153"/>
      <c r="ONW159" s="153"/>
      <c r="ONX159" s="153"/>
      <c r="ONY159" s="153"/>
      <c r="ONZ159" s="153"/>
      <c r="OOA159" s="153"/>
      <c r="OOB159" s="153"/>
      <c r="OOC159" s="153"/>
      <c r="OOD159" s="153"/>
      <c r="OOE159" s="153"/>
      <c r="OOF159" s="153"/>
      <c r="OOG159" s="153"/>
      <c r="OOH159" s="153"/>
      <c r="OOI159" s="153"/>
      <c r="OOJ159" s="153"/>
      <c r="OOK159" s="153"/>
      <c r="OOL159" s="153"/>
      <c r="OOM159" s="153"/>
      <c r="OON159" s="153"/>
      <c r="OOO159" s="153"/>
      <c r="OOP159" s="153"/>
      <c r="OOQ159" s="153"/>
      <c r="OOR159" s="153"/>
      <c r="OOS159" s="153"/>
      <c r="OOT159" s="153"/>
      <c r="OOU159" s="153"/>
      <c r="OOV159" s="153"/>
      <c r="OOW159" s="153"/>
      <c r="OOX159" s="153"/>
      <c r="OOY159" s="153"/>
      <c r="OOZ159" s="153"/>
      <c r="OPA159" s="153"/>
      <c r="OPB159" s="153"/>
      <c r="OPC159" s="153"/>
      <c r="OPD159" s="153"/>
      <c r="OPE159" s="153"/>
      <c r="OPF159" s="153"/>
      <c r="OPG159" s="153"/>
      <c r="OPH159" s="153"/>
      <c r="OPI159" s="153"/>
      <c r="OPJ159" s="153"/>
      <c r="OPK159" s="153"/>
      <c r="OPL159" s="153"/>
      <c r="OPM159" s="153"/>
      <c r="OPN159" s="153"/>
      <c r="OPO159" s="153"/>
      <c r="OPP159" s="153"/>
      <c r="OPQ159" s="153"/>
      <c r="OPR159" s="153"/>
      <c r="OPS159" s="153"/>
      <c r="OPT159" s="153"/>
      <c r="OPU159" s="153"/>
      <c r="OPV159" s="153"/>
      <c r="OPW159" s="153"/>
      <c r="OPX159" s="153"/>
      <c r="OPY159" s="153"/>
      <c r="OPZ159" s="153"/>
      <c r="OQA159" s="153"/>
      <c r="OQB159" s="153"/>
      <c r="OQC159" s="153"/>
      <c r="OQD159" s="153"/>
      <c r="OQE159" s="153"/>
      <c r="OQF159" s="153"/>
      <c r="OQG159" s="153"/>
      <c r="OQH159" s="153"/>
      <c r="OQI159" s="153"/>
      <c r="OQJ159" s="153"/>
      <c r="OQK159" s="153"/>
      <c r="OQL159" s="153"/>
      <c r="OQM159" s="153"/>
      <c r="OQN159" s="153"/>
      <c r="OQO159" s="153"/>
      <c r="OQP159" s="153"/>
      <c r="OQQ159" s="153"/>
      <c r="OQR159" s="153"/>
      <c r="OQS159" s="153"/>
      <c r="OQT159" s="153"/>
      <c r="OQU159" s="153"/>
      <c r="OQV159" s="153"/>
      <c r="OQW159" s="153"/>
      <c r="OQX159" s="153"/>
      <c r="OQY159" s="153"/>
      <c r="OQZ159" s="153"/>
      <c r="ORA159" s="153"/>
      <c r="ORB159" s="153"/>
      <c r="ORC159" s="153"/>
      <c r="ORD159" s="153"/>
      <c r="ORE159" s="153"/>
      <c r="ORF159" s="153"/>
      <c r="ORG159" s="153"/>
      <c r="ORH159" s="153"/>
      <c r="ORI159" s="153"/>
      <c r="ORJ159" s="153"/>
      <c r="ORK159" s="153"/>
      <c r="ORL159" s="153"/>
      <c r="ORM159" s="153"/>
      <c r="ORN159" s="153"/>
      <c r="ORO159" s="153"/>
      <c r="ORP159" s="153"/>
      <c r="ORQ159" s="153"/>
      <c r="ORR159" s="153"/>
      <c r="ORS159" s="153"/>
      <c r="ORT159" s="153"/>
      <c r="ORU159" s="153"/>
      <c r="ORV159" s="153"/>
      <c r="ORW159" s="153"/>
      <c r="ORX159" s="153"/>
      <c r="ORY159" s="153"/>
      <c r="ORZ159" s="153"/>
      <c r="OSA159" s="153"/>
      <c r="OSB159" s="153"/>
      <c r="OSC159" s="153"/>
      <c r="OSD159" s="153"/>
      <c r="OSE159" s="153"/>
      <c r="OSF159" s="153"/>
      <c r="OSG159" s="153"/>
      <c r="OSH159" s="153"/>
      <c r="OSI159" s="153"/>
      <c r="OSJ159" s="153"/>
      <c r="OSK159" s="153"/>
      <c r="OSL159" s="153"/>
      <c r="OSM159" s="153"/>
      <c r="OSN159" s="153"/>
      <c r="OSO159" s="153"/>
      <c r="OSP159" s="153"/>
      <c r="OSQ159" s="153"/>
      <c r="OSR159" s="153"/>
      <c r="OSS159" s="153"/>
      <c r="OST159" s="153"/>
      <c r="OSU159" s="153"/>
      <c r="OSV159" s="153"/>
      <c r="OSW159" s="153"/>
      <c r="OSX159" s="153"/>
      <c r="OSY159" s="153"/>
      <c r="OSZ159" s="153"/>
      <c r="OTA159" s="153"/>
      <c r="OTB159" s="153"/>
      <c r="OTC159" s="153"/>
      <c r="OTD159" s="153"/>
      <c r="OTE159" s="153"/>
      <c r="OTF159" s="153"/>
      <c r="OTG159" s="153"/>
      <c r="OTH159" s="153"/>
      <c r="OTI159" s="153"/>
      <c r="OTJ159" s="153"/>
      <c r="OTK159" s="153"/>
      <c r="OTL159" s="153"/>
      <c r="OTM159" s="153"/>
      <c r="OTN159" s="153"/>
      <c r="OTO159" s="153"/>
      <c r="OTP159" s="153"/>
      <c r="OTQ159" s="153"/>
      <c r="OTR159" s="153"/>
      <c r="OTS159" s="153"/>
      <c r="OTT159" s="153"/>
      <c r="OTU159" s="153"/>
      <c r="OTV159" s="153"/>
      <c r="OTW159" s="153"/>
      <c r="OTX159" s="153"/>
      <c r="OTY159" s="153"/>
      <c r="OTZ159" s="153"/>
      <c r="OUA159" s="153"/>
      <c r="OUB159" s="153"/>
      <c r="OUC159" s="153"/>
      <c r="OUD159" s="153"/>
      <c r="OUE159" s="153"/>
      <c r="OUF159" s="153"/>
      <c r="OUG159" s="153"/>
      <c r="OUH159" s="153"/>
      <c r="OUI159" s="153"/>
      <c r="OUJ159" s="153"/>
      <c r="OUK159" s="153"/>
      <c r="OUL159" s="153"/>
      <c r="OUM159" s="153"/>
      <c r="OUN159" s="153"/>
      <c r="OUO159" s="153"/>
      <c r="OUP159" s="153"/>
      <c r="OUQ159" s="153"/>
      <c r="OUR159" s="153"/>
      <c r="OUS159" s="153"/>
      <c r="OUT159" s="153"/>
      <c r="OUU159" s="153"/>
      <c r="OUV159" s="153"/>
      <c r="OUW159" s="153"/>
      <c r="OUX159" s="153"/>
      <c r="OUY159" s="153"/>
      <c r="OUZ159" s="153"/>
      <c r="OVA159" s="153"/>
      <c r="OVB159" s="153"/>
      <c r="OVC159" s="153"/>
      <c r="OVD159" s="153"/>
      <c r="OVE159" s="153"/>
      <c r="OVF159" s="153"/>
      <c r="OVG159" s="153"/>
      <c r="OVH159" s="153"/>
      <c r="OVI159" s="153"/>
      <c r="OVJ159" s="153"/>
      <c r="OVK159" s="153"/>
      <c r="OVL159" s="153"/>
      <c r="OVM159" s="153"/>
      <c r="OVN159" s="153"/>
      <c r="OVO159" s="153"/>
      <c r="OVP159" s="153"/>
      <c r="OVQ159" s="153"/>
      <c r="OVR159" s="153"/>
      <c r="OVS159" s="153"/>
      <c r="OVT159" s="153"/>
      <c r="OVU159" s="153"/>
      <c r="OVV159" s="153"/>
      <c r="OVW159" s="153"/>
      <c r="OVX159" s="153"/>
      <c r="OVY159" s="153"/>
      <c r="OVZ159" s="153"/>
      <c r="OWA159" s="153"/>
      <c r="OWB159" s="153"/>
      <c r="OWC159" s="153"/>
      <c r="OWD159" s="153"/>
      <c r="OWE159" s="153"/>
      <c r="OWF159" s="153"/>
      <c r="OWG159" s="153"/>
      <c r="OWH159" s="153"/>
      <c r="OWI159" s="153"/>
      <c r="OWJ159" s="153"/>
      <c r="OWK159" s="153"/>
      <c r="OWL159" s="153"/>
      <c r="OWM159" s="153"/>
      <c r="OWN159" s="153"/>
      <c r="OWO159" s="153"/>
      <c r="OWP159" s="153"/>
      <c r="OWQ159" s="153"/>
      <c r="OWR159" s="153"/>
      <c r="OWS159" s="153"/>
      <c r="OWT159" s="153"/>
      <c r="OWU159" s="153"/>
      <c r="OWV159" s="153"/>
      <c r="OWW159" s="153"/>
      <c r="OWX159" s="153"/>
      <c r="OWY159" s="153"/>
      <c r="OWZ159" s="153"/>
      <c r="OXA159" s="153"/>
      <c r="OXB159" s="153"/>
      <c r="OXC159" s="153"/>
      <c r="OXD159" s="153"/>
      <c r="OXE159" s="153"/>
      <c r="OXF159" s="153"/>
      <c r="OXG159" s="153"/>
      <c r="OXH159" s="153"/>
      <c r="OXI159" s="153"/>
      <c r="OXJ159" s="153"/>
      <c r="OXK159" s="153"/>
      <c r="OXL159" s="153"/>
      <c r="OXM159" s="153"/>
      <c r="OXN159" s="153"/>
      <c r="OXO159" s="153"/>
      <c r="OXP159" s="153"/>
      <c r="OXQ159" s="153"/>
      <c r="OXR159" s="153"/>
      <c r="OXS159" s="153"/>
      <c r="OXT159" s="153"/>
      <c r="OXU159" s="153"/>
      <c r="OXV159" s="153"/>
      <c r="OXW159" s="153"/>
      <c r="OXX159" s="153"/>
      <c r="OXY159" s="153"/>
      <c r="OXZ159" s="153"/>
      <c r="OYA159" s="153"/>
      <c r="OYB159" s="153"/>
      <c r="OYC159" s="153"/>
      <c r="OYD159" s="153"/>
      <c r="OYE159" s="153"/>
      <c r="OYF159" s="153"/>
      <c r="OYG159" s="153"/>
      <c r="OYH159" s="153"/>
      <c r="OYI159" s="153"/>
      <c r="OYJ159" s="153"/>
      <c r="OYK159" s="153"/>
      <c r="OYL159" s="153"/>
      <c r="OYM159" s="153"/>
      <c r="OYN159" s="153"/>
      <c r="OYO159" s="153"/>
      <c r="OYP159" s="153"/>
      <c r="OYQ159" s="153"/>
      <c r="OYR159" s="153"/>
      <c r="OYS159" s="153"/>
      <c r="OYT159" s="153"/>
      <c r="OYU159" s="153"/>
      <c r="OYV159" s="153"/>
      <c r="OYW159" s="153"/>
      <c r="OYX159" s="153"/>
      <c r="OYY159" s="153"/>
      <c r="OYZ159" s="153"/>
      <c r="OZA159" s="153"/>
      <c r="OZB159" s="153"/>
      <c r="OZC159" s="153"/>
      <c r="OZD159" s="153"/>
      <c r="OZE159" s="153"/>
      <c r="OZF159" s="153"/>
      <c r="OZG159" s="153"/>
      <c r="OZH159" s="153"/>
      <c r="OZI159" s="153"/>
      <c r="OZJ159" s="153"/>
      <c r="OZK159" s="153"/>
      <c r="OZL159" s="153"/>
      <c r="OZM159" s="153"/>
      <c r="OZN159" s="153"/>
      <c r="OZO159" s="153"/>
      <c r="OZP159" s="153"/>
      <c r="OZQ159" s="153"/>
      <c r="OZR159" s="153"/>
      <c r="OZS159" s="153"/>
      <c r="OZT159" s="153"/>
      <c r="OZU159" s="153"/>
      <c r="OZV159" s="153"/>
      <c r="OZW159" s="153"/>
      <c r="OZX159" s="153"/>
      <c r="OZY159" s="153"/>
      <c r="OZZ159" s="153"/>
      <c r="PAA159" s="153"/>
      <c r="PAB159" s="153"/>
      <c r="PAC159" s="153"/>
      <c r="PAD159" s="153"/>
      <c r="PAE159" s="153"/>
      <c r="PAF159" s="153"/>
      <c r="PAG159" s="153"/>
      <c r="PAH159" s="153"/>
      <c r="PAI159" s="153"/>
      <c r="PAJ159" s="153"/>
      <c r="PAK159" s="153"/>
      <c r="PAL159" s="153"/>
      <c r="PAM159" s="153"/>
      <c r="PAN159" s="153"/>
      <c r="PAO159" s="153"/>
      <c r="PAP159" s="153"/>
      <c r="PAQ159" s="153"/>
      <c r="PAR159" s="153"/>
      <c r="PAS159" s="153"/>
      <c r="PAT159" s="153"/>
      <c r="PAU159" s="153"/>
      <c r="PAV159" s="153"/>
      <c r="PAW159" s="153"/>
      <c r="PAX159" s="153"/>
      <c r="PAY159" s="153"/>
      <c r="PAZ159" s="153"/>
      <c r="PBA159" s="153"/>
      <c r="PBB159" s="153"/>
      <c r="PBC159" s="153"/>
      <c r="PBD159" s="153"/>
      <c r="PBE159" s="153"/>
      <c r="PBF159" s="153"/>
      <c r="PBG159" s="153"/>
      <c r="PBH159" s="153"/>
      <c r="PBI159" s="153"/>
      <c r="PBJ159" s="153"/>
      <c r="PBK159" s="153"/>
      <c r="PBL159" s="153"/>
      <c r="PBM159" s="153"/>
      <c r="PBN159" s="153"/>
      <c r="PBO159" s="153"/>
      <c r="PBP159" s="153"/>
      <c r="PBQ159" s="153"/>
      <c r="PBR159" s="153"/>
      <c r="PBS159" s="153"/>
      <c r="PBT159" s="153"/>
      <c r="PBU159" s="153"/>
      <c r="PBV159" s="153"/>
      <c r="PBW159" s="153"/>
      <c r="PBX159" s="153"/>
      <c r="PBY159" s="153"/>
      <c r="PBZ159" s="153"/>
      <c r="PCA159" s="153"/>
      <c r="PCB159" s="153"/>
      <c r="PCC159" s="153"/>
      <c r="PCD159" s="153"/>
      <c r="PCE159" s="153"/>
      <c r="PCF159" s="153"/>
      <c r="PCG159" s="153"/>
      <c r="PCH159" s="153"/>
      <c r="PCI159" s="153"/>
      <c r="PCJ159" s="153"/>
      <c r="PCK159" s="153"/>
      <c r="PCL159" s="153"/>
      <c r="PCM159" s="153"/>
      <c r="PCN159" s="153"/>
      <c r="PCO159" s="153"/>
      <c r="PCP159" s="153"/>
      <c r="PCQ159" s="153"/>
      <c r="PCR159" s="153"/>
      <c r="PCS159" s="153"/>
      <c r="PCT159" s="153"/>
      <c r="PCU159" s="153"/>
      <c r="PCV159" s="153"/>
      <c r="PCW159" s="153"/>
      <c r="PCX159" s="153"/>
      <c r="PCY159" s="153"/>
      <c r="PCZ159" s="153"/>
      <c r="PDA159" s="153"/>
      <c r="PDB159" s="153"/>
      <c r="PDC159" s="153"/>
      <c r="PDD159" s="153"/>
      <c r="PDE159" s="153"/>
      <c r="PDF159" s="153"/>
      <c r="PDG159" s="153"/>
      <c r="PDH159" s="153"/>
      <c r="PDI159" s="153"/>
      <c r="PDJ159" s="153"/>
      <c r="PDK159" s="153"/>
      <c r="PDL159" s="153"/>
      <c r="PDM159" s="153"/>
      <c r="PDN159" s="153"/>
      <c r="PDO159" s="153"/>
      <c r="PDP159" s="153"/>
      <c r="PDQ159" s="153"/>
      <c r="PDR159" s="153"/>
      <c r="PDS159" s="153"/>
      <c r="PDT159" s="153"/>
      <c r="PDU159" s="153"/>
      <c r="PDV159" s="153"/>
      <c r="PDW159" s="153"/>
      <c r="PDX159" s="153"/>
      <c r="PDY159" s="153"/>
      <c r="PDZ159" s="153"/>
      <c r="PEA159" s="153"/>
      <c r="PEB159" s="153"/>
      <c r="PEC159" s="153"/>
      <c r="PED159" s="153"/>
      <c r="PEE159" s="153"/>
      <c r="PEF159" s="153"/>
      <c r="PEG159" s="153"/>
      <c r="PEH159" s="153"/>
      <c r="PEI159" s="153"/>
      <c r="PEJ159" s="153"/>
      <c r="PEK159" s="153"/>
      <c r="PEL159" s="153"/>
      <c r="PEM159" s="153"/>
      <c r="PEN159" s="153"/>
      <c r="PEO159" s="153"/>
      <c r="PEP159" s="153"/>
      <c r="PEQ159" s="153"/>
      <c r="PER159" s="153"/>
      <c r="PES159" s="153"/>
      <c r="PET159" s="153"/>
      <c r="PEU159" s="153"/>
      <c r="PEV159" s="153"/>
      <c r="PEW159" s="153"/>
      <c r="PEX159" s="153"/>
      <c r="PEY159" s="153"/>
      <c r="PEZ159" s="153"/>
      <c r="PFA159" s="153"/>
      <c r="PFB159" s="153"/>
      <c r="PFC159" s="153"/>
      <c r="PFD159" s="153"/>
      <c r="PFE159" s="153"/>
      <c r="PFF159" s="153"/>
      <c r="PFG159" s="153"/>
      <c r="PFH159" s="153"/>
      <c r="PFI159" s="153"/>
      <c r="PFJ159" s="153"/>
      <c r="PFK159" s="153"/>
      <c r="PFL159" s="153"/>
      <c r="PFM159" s="153"/>
      <c r="PFN159" s="153"/>
      <c r="PFO159" s="153"/>
      <c r="PFP159" s="153"/>
      <c r="PFQ159" s="153"/>
      <c r="PFR159" s="153"/>
      <c r="PFS159" s="153"/>
      <c r="PFT159" s="153"/>
      <c r="PFU159" s="153"/>
      <c r="PFV159" s="153"/>
      <c r="PFW159" s="153"/>
      <c r="PFX159" s="153"/>
      <c r="PFY159" s="153"/>
      <c r="PFZ159" s="153"/>
      <c r="PGA159" s="153"/>
      <c r="PGB159" s="153"/>
      <c r="PGC159" s="153"/>
      <c r="PGD159" s="153"/>
      <c r="PGE159" s="153"/>
      <c r="PGF159" s="153"/>
      <c r="PGG159" s="153"/>
      <c r="PGH159" s="153"/>
      <c r="PGI159" s="153"/>
      <c r="PGJ159" s="153"/>
      <c r="PGK159" s="153"/>
      <c r="PGL159" s="153"/>
      <c r="PGM159" s="153"/>
      <c r="PGN159" s="153"/>
      <c r="PGO159" s="153"/>
      <c r="PGP159" s="153"/>
      <c r="PGQ159" s="153"/>
      <c r="PGR159" s="153"/>
      <c r="PGS159" s="153"/>
      <c r="PGT159" s="153"/>
      <c r="PGU159" s="153"/>
      <c r="PGV159" s="153"/>
      <c r="PGW159" s="153"/>
      <c r="PGX159" s="153"/>
      <c r="PGY159" s="153"/>
      <c r="PGZ159" s="153"/>
      <c r="PHA159" s="153"/>
      <c r="PHB159" s="153"/>
      <c r="PHC159" s="153"/>
      <c r="PHD159" s="153"/>
      <c r="PHE159" s="153"/>
      <c r="PHF159" s="153"/>
      <c r="PHG159" s="153"/>
      <c r="PHH159" s="153"/>
      <c r="PHI159" s="153"/>
      <c r="PHJ159" s="153"/>
      <c r="PHK159" s="153"/>
      <c r="PHL159" s="153"/>
      <c r="PHM159" s="153"/>
      <c r="PHN159" s="153"/>
      <c r="PHO159" s="153"/>
      <c r="PHP159" s="153"/>
      <c r="PHQ159" s="153"/>
      <c r="PHR159" s="153"/>
      <c r="PHS159" s="153"/>
      <c r="PHT159" s="153"/>
      <c r="PHU159" s="153"/>
      <c r="PHV159" s="153"/>
      <c r="PHW159" s="153"/>
      <c r="PHX159" s="153"/>
      <c r="PHY159" s="153"/>
      <c r="PHZ159" s="153"/>
      <c r="PIA159" s="153"/>
      <c r="PIB159" s="153"/>
      <c r="PIC159" s="153"/>
      <c r="PID159" s="153"/>
      <c r="PIE159" s="153"/>
      <c r="PIF159" s="153"/>
      <c r="PIG159" s="153"/>
      <c r="PIH159" s="153"/>
      <c r="PII159" s="153"/>
      <c r="PIJ159" s="153"/>
      <c r="PIK159" s="153"/>
      <c r="PIL159" s="153"/>
      <c r="PIM159" s="153"/>
      <c r="PIN159" s="153"/>
      <c r="PIO159" s="153"/>
      <c r="PIP159" s="153"/>
      <c r="PIQ159" s="153"/>
      <c r="PIR159" s="153"/>
      <c r="PIS159" s="153"/>
      <c r="PIT159" s="153"/>
      <c r="PIU159" s="153"/>
      <c r="PIV159" s="153"/>
      <c r="PIW159" s="153"/>
      <c r="PIX159" s="153"/>
      <c r="PIY159" s="153"/>
      <c r="PIZ159" s="153"/>
      <c r="PJA159" s="153"/>
      <c r="PJB159" s="153"/>
      <c r="PJC159" s="153"/>
      <c r="PJD159" s="153"/>
      <c r="PJE159" s="153"/>
      <c r="PJF159" s="153"/>
      <c r="PJG159" s="153"/>
      <c r="PJH159" s="153"/>
      <c r="PJI159" s="153"/>
      <c r="PJJ159" s="153"/>
      <c r="PJK159" s="153"/>
      <c r="PJL159" s="153"/>
      <c r="PJM159" s="153"/>
      <c r="PJN159" s="153"/>
      <c r="PJO159" s="153"/>
      <c r="PJP159" s="153"/>
      <c r="PJQ159" s="153"/>
      <c r="PJR159" s="153"/>
      <c r="PJS159" s="153"/>
      <c r="PJT159" s="153"/>
      <c r="PJU159" s="153"/>
      <c r="PJV159" s="153"/>
      <c r="PJW159" s="153"/>
      <c r="PJX159" s="153"/>
      <c r="PJY159" s="153"/>
      <c r="PJZ159" s="153"/>
      <c r="PKA159" s="153"/>
      <c r="PKB159" s="153"/>
      <c r="PKC159" s="153"/>
      <c r="PKD159" s="153"/>
      <c r="PKE159" s="153"/>
      <c r="PKF159" s="153"/>
      <c r="PKG159" s="153"/>
      <c r="PKH159" s="153"/>
      <c r="PKI159" s="153"/>
      <c r="PKJ159" s="153"/>
      <c r="PKK159" s="153"/>
      <c r="PKL159" s="153"/>
      <c r="PKM159" s="153"/>
      <c r="PKN159" s="153"/>
      <c r="PKO159" s="153"/>
      <c r="PKP159" s="153"/>
      <c r="PKQ159" s="153"/>
      <c r="PKR159" s="153"/>
      <c r="PKS159" s="153"/>
      <c r="PKT159" s="153"/>
      <c r="PKU159" s="153"/>
      <c r="PKV159" s="153"/>
      <c r="PKW159" s="153"/>
      <c r="PKX159" s="153"/>
      <c r="PKY159" s="153"/>
      <c r="PKZ159" s="153"/>
      <c r="PLA159" s="153"/>
      <c r="PLB159" s="153"/>
      <c r="PLC159" s="153"/>
      <c r="PLD159" s="153"/>
      <c r="PLE159" s="153"/>
      <c r="PLF159" s="153"/>
      <c r="PLG159" s="153"/>
      <c r="PLH159" s="153"/>
      <c r="PLI159" s="153"/>
      <c r="PLJ159" s="153"/>
      <c r="PLK159" s="153"/>
      <c r="PLL159" s="153"/>
      <c r="PLM159" s="153"/>
      <c r="PLN159" s="153"/>
      <c r="PLO159" s="153"/>
      <c r="PLP159" s="153"/>
      <c r="PLQ159" s="153"/>
      <c r="PLR159" s="153"/>
      <c r="PLS159" s="153"/>
      <c r="PLT159" s="153"/>
      <c r="PLU159" s="153"/>
      <c r="PLV159" s="153"/>
      <c r="PLW159" s="153"/>
      <c r="PLX159" s="153"/>
      <c r="PLY159" s="153"/>
      <c r="PLZ159" s="153"/>
      <c r="PMA159" s="153"/>
      <c r="PMB159" s="153"/>
      <c r="PMC159" s="153"/>
      <c r="PMD159" s="153"/>
      <c r="PME159" s="153"/>
      <c r="PMF159" s="153"/>
      <c r="PMG159" s="153"/>
      <c r="PMH159" s="153"/>
      <c r="PMI159" s="153"/>
      <c r="PMJ159" s="153"/>
      <c r="PMK159" s="153"/>
      <c r="PML159" s="153"/>
      <c r="PMM159" s="153"/>
      <c r="PMN159" s="153"/>
      <c r="PMO159" s="153"/>
      <c r="PMP159" s="153"/>
      <c r="PMQ159" s="153"/>
      <c r="PMR159" s="153"/>
      <c r="PMS159" s="153"/>
      <c r="PMT159" s="153"/>
      <c r="PMU159" s="153"/>
      <c r="PMV159" s="153"/>
      <c r="PMW159" s="153"/>
      <c r="PMX159" s="153"/>
      <c r="PMY159" s="153"/>
      <c r="PMZ159" s="153"/>
      <c r="PNA159" s="153"/>
      <c r="PNB159" s="153"/>
      <c r="PNC159" s="153"/>
      <c r="PND159" s="153"/>
      <c r="PNE159" s="153"/>
      <c r="PNF159" s="153"/>
      <c r="PNG159" s="153"/>
      <c r="PNH159" s="153"/>
      <c r="PNI159" s="153"/>
      <c r="PNJ159" s="153"/>
      <c r="PNK159" s="153"/>
      <c r="PNL159" s="153"/>
      <c r="PNM159" s="153"/>
      <c r="PNN159" s="153"/>
      <c r="PNO159" s="153"/>
      <c r="PNP159" s="153"/>
      <c r="PNQ159" s="153"/>
      <c r="PNR159" s="153"/>
      <c r="PNS159" s="153"/>
      <c r="PNT159" s="153"/>
      <c r="PNU159" s="153"/>
      <c r="PNV159" s="153"/>
      <c r="PNW159" s="153"/>
      <c r="PNX159" s="153"/>
      <c r="PNY159" s="153"/>
      <c r="PNZ159" s="153"/>
      <c r="POA159" s="153"/>
      <c r="POB159" s="153"/>
      <c r="POC159" s="153"/>
      <c r="POD159" s="153"/>
      <c r="POE159" s="153"/>
      <c r="POF159" s="153"/>
      <c r="POG159" s="153"/>
      <c r="POH159" s="153"/>
      <c r="POI159" s="153"/>
      <c r="POJ159" s="153"/>
      <c r="POK159" s="153"/>
      <c r="POL159" s="153"/>
      <c r="POM159" s="153"/>
      <c r="PON159" s="153"/>
      <c r="POO159" s="153"/>
      <c r="POP159" s="153"/>
      <c r="POQ159" s="153"/>
      <c r="POR159" s="153"/>
      <c r="POS159" s="153"/>
      <c r="POT159" s="153"/>
      <c r="POU159" s="153"/>
      <c r="POV159" s="153"/>
      <c r="POW159" s="153"/>
      <c r="POX159" s="153"/>
      <c r="POY159" s="153"/>
      <c r="POZ159" s="153"/>
      <c r="PPA159" s="153"/>
      <c r="PPB159" s="153"/>
      <c r="PPC159" s="153"/>
      <c r="PPD159" s="153"/>
      <c r="PPE159" s="153"/>
      <c r="PPF159" s="153"/>
      <c r="PPG159" s="153"/>
      <c r="PPH159" s="153"/>
      <c r="PPI159" s="153"/>
      <c r="PPJ159" s="153"/>
      <c r="PPK159" s="153"/>
      <c r="PPL159" s="153"/>
      <c r="PPM159" s="153"/>
      <c r="PPN159" s="153"/>
      <c r="PPO159" s="153"/>
      <c r="PPP159" s="153"/>
      <c r="PPQ159" s="153"/>
      <c r="PPR159" s="153"/>
      <c r="PPS159" s="153"/>
      <c r="PPT159" s="153"/>
      <c r="PPU159" s="153"/>
      <c r="PPV159" s="153"/>
      <c r="PPW159" s="153"/>
      <c r="PPX159" s="153"/>
      <c r="PPY159" s="153"/>
      <c r="PPZ159" s="153"/>
      <c r="PQA159" s="153"/>
      <c r="PQB159" s="153"/>
      <c r="PQC159" s="153"/>
      <c r="PQD159" s="153"/>
      <c r="PQE159" s="153"/>
      <c r="PQF159" s="153"/>
      <c r="PQG159" s="153"/>
      <c r="PQH159" s="153"/>
      <c r="PQI159" s="153"/>
      <c r="PQJ159" s="153"/>
      <c r="PQK159" s="153"/>
      <c r="PQL159" s="153"/>
      <c r="PQM159" s="153"/>
      <c r="PQN159" s="153"/>
      <c r="PQO159" s="153"/>
      <c r="PQP159" s="153"/>
      <c r="PQQ159" s="153"/>
      <c r="PQR159" s="153"/>
      <c r="PQS159" s="153"/>
      <c r="PQT159" s="153"/>
      <c r="PQU159" s="153"/>
      <c r="PQV159" s="153"/>
      <c r="PQW159" s="153"/>
      <c r="PQX159" s="153"/>
      <c r="PQY159" s="153"/>
      <c r="PQZ159" s="153"/>
      <c r="PRA159" s="153"/>
      <c r="PRB159" s="153"/>
      <c r="PRC159" s="153"/>
      <c r="PRD159" s="153"/>
      <c r="PRE159" s="153"/>
      <c r="PRF159" s="153"/>
      <c r="PRG159" s="153"/>
      <c r="PRH159" s="153"/>
      <c r="PRI159" s="153"/>
      <c r="PRJ159" s="153"/>
      <c r="PRK159" s="153"/>
      <c r="PRL159" s="153"/>
      <c r="PRM159" s="153"/>
      <c r="PRN159" s="153"/>
      <c r="PRO159" s="153"/>
      <c r="PRP159" s="153"/>
      <c r="PRQ159" s="153"/>
      <c r="PRR159" s="153"/>
      <c r="PRS159" s="153"/>
      <c r="PRT159" s="153"/>
      <c r="PRU159" s="153"/>
      <c r="PRV159" s="153"/>
      <c r="PRW159" s="153"/>
      <c r="PRX159" s="153"/>
      <c r="PRY159" s="153"/>
      <c r="PRZ159" s="153"/>
      <c r="PSA159" s="153"/>
      <c r="PSB159" s="153"/>
      <c r="PSC159" s="153"/>
      <c r="PSD159" s="153"/>
      <c r="PSE159" s="153"/>
      <c r="PSF159" s="153"/>
      <c r="PSG159" s="153"/>
      <c r="PSH159" s="153"/>
      <c r="PSI159" s="153"/>
      <c r="PSJ159" s="153"/>
      <c r="PSK159" s="153"/>
      <c r="PSL159" s="153"/>
      <c r="PSM159" s="153"/>
      <c r="PSN159" s="153"/>
      <c r="PSO159" s="153"/>
      <c r="PSP159" s="153"/>
      <c r="PSQ159" s="153"/>
      <c r="PSR159" s="153"/>
      <c r="PSS159" s="153"/>
      <c r="PST159" s="153"/>
      <c r="PSU159" s="153"/>
      <c r="PSV159" s="153"/>
      <c r="PSW159" s="153"/>
      <c r="PSX159" s="153"/>
      <c r="PSY159" s="153"/>
      <c r="PSZ159" s="153"/>
      <c r="PTA159" s="153"/>
      <c r="PTB159" s="153"/>
      <c r="PTC159" s="153"/>
      <c r="PTD159" s="153"/>
      <c r="PTE159" s="153"/>
      <c r="PTF159" s="153"/>
      <c r="PTG159" s="153"/>
      <c r="PTH159" s="153"/>
      <c r="PTI159" s="153"/>
      <c r="PTJ159" s="153"/>
      <c r="PTK159" s="153"/>
      <c r="PTL159" s="153"/>
      <c r="PTM159" s="153"/>
      <c r="PTN159" s="153"/>
      <c r="PTO159" s="153"/>
      <c r="PTP159" s="153"/>
      <c r="PTQ159" s="153"/>
      <c r="PTR159" s="153"/>
      <c r="PTS159" s="153"/>
      <c r="PTT159" s="153"/>
      <c r="PTU159" s="153"/>
      <c r="PTV159" s="153"/>
      <c r="PTW159" s="153"/>
      <c r="PTX159" s="153"/>
      <c r="PTY159" s="153"/>
      <c r="PTZ159" s="153"/>
      <c r="PUA159" s="153"/>
      <c r="PUB159" s="153"/>
      <c r="PUC159" s="153"/>
      <c r="PUD159" s="153"/>
      <c r="PUE159" s="153"/>
      <c r="PUF159" s="153"/>
      <c r="PUG159" s="153"/>
      <c r="PUH159" s="153"/>
      <c r="PUI159" s="153"/>
      <c r="PUJ159" s="153"/>
      <c r="PUK159" s="153"/>
      <c r="PUL159" s="153"/>
      <c r="PUM159" s="153"/>
      <c r="PUN159" s="153"/>
      <c r="PUO159" s="153"/>
      <c r="PUP159" s="153"/>
      <c r="PUQ159" s="153"/>
      <c r="PUR159" s="153"/>
      <c r="PUS159" s="153"/>
      <c r="PUT159" s="153"/>
      <c r="PUU159" s="153"/>
      <c r="PUV159" s="153"/>
      <c r="PUW159" s="153"/>
      <c r="PUX159" s="153"/>
      <c r="PUY159" s="153"/>
      <c r="PUZ159" s="153"/>
      <c r="PVA159" s="153"/>
      <c r="PVB159" s="153"/>
      <c r="PVC159" s="153"/>
      <c r="PVD159" s="153"/>
      <c r="PVE159" s="153"/>
      <c r="PVF159" s="153"/>
      <c r="PVG159" s="153"/>
      <c r="PVH159" s="153"/>
      <c r="PVI159" s="153"/>
      <c r="PVJ159" s="153"/>
      <c r="PVK159" s="153"/>
      <c r="PVL159" s="153"/>
      <c r="PVM159" s="153"/>
      <c r="PVN159" s="153"/>
      <c r="PVO159" s="153"/>
      <c r="PVP159" s="153"/>
      <c r="PVQ159" s="153"/>
      <c r="PVR159" s="153"/>
      <c r="PVS159" s="153"/>
      <c r="PVT159" s="153"/>
      <c r="PVU159" s="153"/>
      <c r="PVV159" s="153"/>
      <c r="PVW159" s="153"/>
      <c r="PVX159" s="153"/>
      <c r="PVY159" s="153"/>
      <c r="PVZ159" s="153"/>
      <c r="PWA159" s="153"/>
      <c r="PWB159" s="153"/>
      <c r="PWC159" s="153"/>
      <c r="PWD159" s="153"/>
      <c r="PWE159" s="153"/>
      <c r="PWF159" s="153"/>
      <c r="PWG159" s="153"/>
      <c r="PWH159" s="153"/>
      <c r="PWI159" s="153"/>
      <c r="PWJ159" s="153"/>
      <c r="PWK159" s="153"/>
      <c r="PWL159" s="153"/>
      <c r="PWM159" s="153"/>
      <c r="PWN159" s="153"/>
      <c r="PWO159" s="153"/>
      <c r="PWP159" s="153"/>
      <c r="PWQ159" s="153"/>
      <c r="PWR159" s="153"/>
      <c r="PWS159" s="153"/>
      <c r="PWT159" s="153"/>
      <c r="PWU159" s="153"/>
      <c r="PWV159" s="153"/>
      <c r="PWW159" s="153"/>
      <c r="PWX159" s="153"/>
      <c r="PWY159" s="153"/>
      <c r="PWZ159" s="153"/>
      <c r="PXA159" s="153"/>
      <c r="PXB159" s="153"/>
      <c r="PXC159" s="153"/>
      <c r="PXD159" s="153"/>
      <c r="PXE159" s="153"/>
      <c r="PXF159" s="153"/>
      <c r="PXG159" s="153"/>
      <c r="PXH159" s="153"/>
      <c r="PXI159" s="153"/>
      <c r="PXJ159" s="153"/>
      <c r="PXK159" s="153"/>
      <c r="PXL159" s="153"/>
      <c r="PXM159" s="153"/>
      <c r="PXN159" s="153"/>
      <c r="PXO159" s="153"/>
      <c r="PXP159" s="153"/>
      <c r="PXQ159" s="153"/>
      <c r="PXR159" s="153"/>
      <c r="PXS159" s="153"/>
      <c r="PXT159" s="153"/>
      <c r="PXU159" s="153"/>
      <c r="PXV159" s="153"/>
      <c r="PXW159" s="153"/>
      <c r="PXX159" s="153"/>
      <c r="PXY159" s="153"/>
      <c r="PXZ159" s="153"/>
      <c r="PYA159" s="153"/>
      <c r="PYB159" s="153"/>
      <c r="PYC159" s="153"/>
      <c r="PYD159" s="153"/>
      <c r="PYE159" s="153"/>
      <c r="PYF159" s="153"/>
      <c r="PYG159" s="153"/>
      <c r="PYH159" s="153"/>
      <c r="PYI159" s="153"/>
      <c r="PYJ159" s="153"/>
      <c r="PYK159" s="153"/>
      <c r="PYL159" s="153"/>
      <c r="PYM159" s="153"/>
      <c r="PYN159" s="153"/>
      <c r="PYO159" s="153"/>
      <c r="PYP159" s="153"/>
      <c r="PYQ159" s="153"/>
      <c r="PYR159" s="153"/>
      <c r="PYS159" s="153"/>
      <c r="PYT159" s="153"/>
      <c r="PYU159" s="153"/>
      <c r="PYV159" s="153"/>
      <c r="PYW159" s="153"/>
      <c r="PYX159" s="153"/>
      <c r="PYY159" s="153"/>
      <c r="PYZ159" s="153"/>
      <c r="PZA159" s="153"/>
      <c r="PZB159" s="153"/>
      <c r="PZC159" s="153"/>
      <c r="PZD159" s="153"/>
      <c r="PZE159" s="153"/>
      <c r="PZF159" s="153"/>
      <c r="PZG159" s="153"/>
      <c r="PZH159" s="153"/>
      <c r="PZI159" s="153"/>
      <c r="PZJ159" s="153"/>
      <c r="PZK159" s="153"/>
      <c r="PZL159" s="153"/>
      <c r="PZM159" s="153"/>
      <c r="PZN159" s="153"/>
      <c r="PZO159" s="153"/>
      <c r="PZP159" s="153"/>
      <c r="PZQ159" s="153"/>
      <c r="PZR159" s="153"/>
      <c r="PZS159" s="153"/>
      <c r="PZT159" s="153"/>
      <c r="PZU159" s="153"/>
      <c r="PZV159" s="153"/>
      <c r="PZW159" s="153"/>
      <c r="PZX159" s="153"/>
      <c r="PZY159" s="153"/>
      <c r="PZZ159" s="153"/>
      <c r="QAA159" s="153"/>
      <c r="QAB159" s="153"/>
      <c r="QAC159" s="153"/>
      <c r="QAD159" s="153"/>
      <c r="QAE159" s="153"/>
      <c r="QAF159" s="153"/>
      <c r="QAG159" s="153"/>
      <c r="QAH159" s="153"/>
      <c r="QAI159" s="153"/>
      <c r="QAJ159" s="153"/>
      <c r="QAK159" s="153"/>
      <c r="QAL159" s="153"/>
      <c r="QAM159" s="153"/>
      <c r="QAN159" s="153"/>
      <c r="QAO159" s="153"/>
      <c r="QAP159" s="153"/>
      <c r="QAQ159" s="153"/>
      <c r="QAR159" s="153"/>
      <c r="QAS159" s="153"/>
      <c r="QAT159" s="153"/>
      <c r="QAU159" s="153"/>
      <c r="QAV159" s="153"/>
      <c r="QAW159" s="153"/>
      <c r="QAX159" s="153"/>
      <c r="QAY159" s="153"/>
      <c r="QAZ159" s="153"/>
      <c r="QBA159" s="153"/>
      <c r="QBB159" s="153"/>
      <c r="QBC159" s="153"/>
      <c r="QBD159" s="153"/>
      <c r="QBE159" s="153"/>
      <c r="QBF159" s="153"/>
      <c r="QBG159" s="153"/>
      <c r="QBH159" s="153"/>
      <c r="QBI159" s="153"/>
      <c r="QBJ159" s="153"/>
      <c r="QBK159" s="153"/>
      <c r="QBL159" s="153"/>
      <c r="QBM159" s="153"/>
      <c r="QBN159" s="153"/>
      <c r="QBO159" s="153"/>
      <c r="QBP159" s="153"/>
      <c r="QBQ159" s="153"/>
      <c r="QBR159" s="153"/>
      <c r="QBS159" s="153"/>
      <c r="QBT159" s="153"/>
      <c r="QBU159" s="153"/>
      <c r="QBV159" s="153"/>
      <c r="QBW159" s="153"/>
      <c r="QBX159" s="153"/>
      <c r="QBY159" s="153"/>
      <c r="QBZ159" s="153"/>
      <c r="QCA159" s="153"/>
      <c r="QCB159" s="153"/>
      <c r="QCC159" s="153"/>
      <c r="QCD159" s="153"/>
      <c r="QCE159" s="153"/>
      <c r="QCF159" s="153"/>
      <c r="QCG159" s="153"/>
      <c r="QCH159" s="153"/>
      <c r="QCI159" s="153"/>
      <c r="QCJ159" s="153"/>
      <c r="QCK159" s="153"/>
      <c r="QCL159" s="153"/>
      <c r="QCM159" s="153"/>
      <c r="QCN159" s="153"/>
      <c r="QCO159" s="153"/>
      <c r="QCP159" s="153"/>
      <c r="QCQ159" s="153"/>
      <c r="QCR159" s="153"/>
      <c r="QCS159" s="153"/>
      <c r="QCT159" s="153"/>
      <c r="QCU159" s="153"/>
      <c r="QCV159" s="153"/>
      <c r="QCW159" s="153"/>
      <c r="QCX159" s="153"/>
      <c r="QCY159" s="153"/>
      <c r="QCZ159" s="153"/>
      <c r="QDA159" s="153"/>
      <c r="QDB159" s="153"/>
      <c r="QDC159" s="153"/>
      <c r="QDD159" s="153"/>
      <c r="QDE159" s="153"/>
      <c r="QDF159" s="153"/>
      <c r="QDG159" s="153"/>
      <c r="QDH159" s="153"/>
      <c r="QDI159" s="153"/>
      <c r="QDJ159" s="153"/>
      <c r="QDK159" s="153"/>
      <c r="QDL159" s="153"/>
      <c r="QDM159" s="153"/>
      <c r="QDN159" s="153"/>
      <c r="QDO159" s="153"/>
      <c r="QDP159" s="153"/>
      <c r="QDQ159" s="153"/>
      <c r="QDR159" s="153"/>
      <c r="QDS159" s="153"/>
      <c r="QDT159" s="153"/>
      <c r="QDU159" s="153"/>
      <c r="QDV159" s="153"/>
      <c r="QDW159" s="153"/>
      <c r="QDX159" s="153"/>
      <c r="QDY159" s="153"/>
      <c r="QDZ159" s="153"/>
      <c r="QEA159" s="153"/>
      <c r="QEB159" s="153"/>
      <c r="QEC159" s="153"/>
      <c r="QED159" s="153"/>
      <c r="QEE159" s="153"/>
      <c r="QEF159" s="153"/>
      <c r="QEG159" s="153"/>
      <c r="QEH159" s="153"/>
      <c r="QEI159" s="153"/>
      <c r="QEJ159" s="153"/>
      <c r="QEK159" s="153"/>
      <c r="QEL159" s="153"/>
      <c r="QEM159" s="153"/>
      <c r="QEN159" s="153"/>
      <c r="QEO159" s="153"/>
      <c r="QEP159" s="153"/>
      <c r="QEQ159" s="153"/>
      <c r="QER159" s="153"/>
      <c r="QES159" s="153"/>
      <c r="QET159" s="153"/>
      <c r="QEU159" s="153"/>
      <c r="QEV159" s="153"/>
      <c r="QEW159" s="153"/>
      <c r="QEX159" s="153"/>
      <c r="QEY159" s="153"/>
      <c r="QEZ159" s="153"/>
      <c r="QFA159" s="153"/>
      <c r="QFB159" s="153"/>
      <c r="QFC159" s="153"/>
      <c r="QFD159" s="153"/>
      <c r="QFE159" s="153"/>
      <c r="QFF159" s="153"/>
      <c r="QFG159" s="153"/>
      <c r="QFH159" s="153"/>
      <c r="QFI159" s="153"/>
      <c r="QFJ159" s="153"/>
      <c r="QFK159" s="153"/>
      <c r="QFL159" s="153"/>
      <c r="QFM159" s="153"/>
      <c r="QFN159" s="153"/>
      <c r="QFO159" s="153"/>
      <c r="QFP159" s="153"/>
      <c r="QFQ159" s="153"/>
      <c r="QFR159" s="153"/>
      <c r="QFS159" s="153"/>
      <c r="QFT159" s="153"/>
      <c r="QFU159" s="153"/>
      <c r="QFV159" s="153"/>
      <c r="QFW159" s="153"/>
      <c r="QFX159" s="153"/>
      <c r="QFY159" s="153"/>
      <c r="QFZ159" s="153"/>
      <c r="QGA159" s="153"/>
      <c r="QGB159" s="153"/>
      <c r="QGC159" s="153"/>
      <c r="QGD159" s="153"/>
      <c r="QGE159" s="153"/>
      <c r="QGF159" s="153"/>
      <c r="QGG159" s="153"/>
      <c r="QGH159" s="153"/>
      <c r="QGI159" s="153"/>
      <c r="QGJ159" s="153"/>
      <c r="QGK159" s="153"/>
      <c r="QGL159" s="153"/>
      <c r="QGM159" s="153"/>
      <c r="QGN159" s="153"/>
      <c r="QGO159" s="153"/>
      <c r="QGP159" s="153"/>
      <c r="QGQ159" s="153"/>
      <c r="QGR159" s="153"/>
      <c r="QGS159" s="153"/>
      <c r="QGT159" s="153"/>
      <c r="QGU159" s="153"/>
      <c r="QGV159" s="153"/>
      <c r="QGW159" s="153"/>
      <c r="QGX159" s="153"/>
      <c r="QGY159" s="153"/>
      <c r="QGZ159" s="153"/>
      <c r="QHA159" s="153"/>
      <c r="QHB159" s="153"/>
      <c r="QHC159" s="153"/>
      <c r="QHD159" s="153"/>
      <c r="QHE159" s="153"/>
      <c r="QHF159" s="153"/>
      <c r="QHG159" s="153"/>
      <c r="QHH159" s="153"/>
      <c r="QHI159" s="153"/>
      <c r="QHJ159" s="153"/>
      <c r="QHK159" s="153"/>
      <c r="QHL159" s="153"/>
      <c r="QHM159" s="153"/>
      <c r="QHN159" s="153"/>
      <c r="QHO159" s="153"/>
      <c r="QHP159" s="153"/>
      <c r="QHQ159" s="153"/>
      <c r="QHR159" s="153"/>
      <c r="QHS159" s="153"/>
      <c r="QHT159" s="153"/>
      <c r="QHU159" s="153"/>
      <c r="QHV159" s="153"/>
      <c r="QHW159" s="153"/>
      <c r="QHX159" s="153"/>
      <c r="QHY159" s="153"/>
      <c r="QHZ159" s="153"/>
      <c r="QIA159" s="153"/>
      <c r="QIB159" s="153"/>
      <c r="QIC159" s="153"/>
      <c r="QID159" s="153"/>
      <c r="QIE159" s="153"/>
      <c r="QIF159" s="153"/>
      <c r="QIG159" s="153"/>
      <c r="QIH159" s="153"/>
      <c r="QII159" s="153"/>
      <c r="QIJ159" s="153"/>
      <c r="QIK159" s="153"/>
      <c r="QIL159" s="153"/>
      <c r="QIM159" s="153"/>
      <c r="QIN159" s="153"/>
      <c r="QIO159" s="153"/>
      <c r="QIP159" s="153"/>
      <c r="QIQ159" s="153"/>
      <c r="QIR159" s="153"/>
      <c r="QIS159" s="153"/>
      <c r="QIT159" s="153"/>
      <c r="QIU159" s="153"/>
      <c r="QIV159" s="153"/>
      <c r="QIW159" s="153"/>
      <c r="QIX159" s="153"/>
      <c r="QIY159" s="153"/>
      <c r="QIZ159" s="153"/>
      <c r="QJA159" s="153"/>
      <c r="QJB159" s="153"/>
      <c r="QJC159" s="153"/>
      <c r="QJD159" s="153"/>
      <c r="QJE159" s="153"/>
      <c r="QJF159" s="153"/>
      <c r="QJG159" s="153"/>
      <c r="QJH159" s="153"/>
      <c r="QJI159" s="153"/>
      <c r="QJJ159" s="153"/>
      <c r="QJK159" s="153"/>
      <c r="QJL159" s="153"/>
      <c r="QJM159" s="153"/>
      <c r="QJN159" s="153"/>
      <c r="QJO159" s="153"/>
      <c r="QJP159" s="153"/>
      <c r="QJQ159" s="153"/>
      <c r="QJR159" s="153"/>
      <c r="QJS159" s="153"/>
      <c r="QJT159" s="153"/>
      <c r="QJU159" s="153"/>
      <c r="QJV159" s="153"/>
      <c r="QJW159" s="153"/>
      <c r="QJX159" s="153"/>
      <c r="QJY159" s="153"/>
      <c r="QJZ159" s="153"/>
      <c r="QKA159" s="153"/>
      <c r="QKB159" s="153"/>
      <c r="QKC159" s="153"/>
      <c r="QKD159" s="153"/>
      <c r="QKE159" s="153"/>
      <c r="QKF159" s="153"/>
      <c r="QKG159" s="153"/>
      <c r="QKH159" s="153"/>
      <c r="QKI159" s="153"/>
      <c r="QKJ159" s="153"/>
      <c r="QKK159" s="153"/>
      <c r="QKL159" s="153"/>
      <c r="QKM159" s="153"/>
      <c r="QKN159" s="153"/>
      <c r="QKO159" s="153"/>
      <c r="QKP159" s="153"/>
      <c r="QKQ159" s="153"/>
      <c r="QKR159" s="153"/>
      <c r="QKS159" s="153"/>
      <c r="QKT159" s="153"/>
      <c r="QKU159" s="153"/>
      <c r="QKV159" s="153"/>
      <c r="QKW159" s="153"/>
      <c r="QKX159" s="153"/>
      <c r="QKY159" s="153"/>
      <c r="QKZ159" s="153"/>
      <c r="QLA159" s="153"/>
      <c r="QLB159" s="153"/>
      <c r="QLC159" s="153"/>
      <c r="QLD159" s="153"/>
      <c r="QLE159" s="153"/>
      <c r="QLF159" s="153"/>
      <c r="QLG159" s="153"/>
      <c r="QLH159" s="153"/>
      <c r="QLI159" s="153"/>
      <c r="QLJ159" s="153"/>
      <c r="QLK159" s="153"/>
      <c r="QLL159" s="153"/>
      <c r="QLM159" s="153"/>
      <c r="QLN159" s="153"/>
      <c r="QLO159" s="153"/>
      <c r="QLP159" s="153"/>
      <c r="QLQ159" s="153"/>
      <c r="QLR159" s="153"/>
      <c r="QLS159" s="153"/>
      <c r="QLT159" s="153"/>
      <c r="QLU159" s="153"/>
      <c r="QLV159" s="153"/>
      <c r="QLW159" s="153"/>
      <c r="QLX159" s="153"/>
      <c r="QLY159" s="153"/>
      <c r="QLZ159" s="153"/>
      <c r="QMA159" s="153"/>
      <c r="QMB159" s="153"/>
      <c r="QMC159" s="153"/>
      <c r="QMD159" s="153"/>
      <c r="QME159" s="153"/>
      <c r="QMF159" s="153"/>
      <c r="QMG159" s="153"/>
      <c r="QMH159" s="153"/>
      <c r="QMI159" s="153"/>
      <c r="QMJ159" s="153"/>
      <c r="QMK159" s="153"/>
      <c r="QML159" s="153"/>
      <c r="QMM159" s="153"/>
      <c r="QMN159" s="153"/>
      <c r="QMO159" s="153"/>
      <c r="QMP159" s="153"/>
      <c r="QMQ159" s="153"/>
      <c r="QMR159" s="153"/>
      <c r="QMS159" s="153"/>
      <c r="QMT159" s="153"/>
      <c r="QMU159" s="153"/>
      <c r="QMV159" s="153"/>
      <c r="QMW159" s="153"/>
      <c r="QMX159" s="153"/>
      <c r="QMY159" s="153"/>
      <c r="QMZ159" s="153"/>
      <c r="QNA159" s="153"/>
      <c r="QNB159" s="153"/>
      <c r="QNC159" s="153"/>
      <c r="QND159" s="153"/>
      <c r="QNE159" s="153"/>
      <c r="QNF159" s="153"/>
      <c r="QNG159" s="153"/>
      <c r="QNH159" s="153"/>
      <c r="QNI159" s="153"/>
      <c r="QNJ159" s="153"/>
      <c r="QNK159" s="153"/>
      <c r="QNL159" s="153"/>
      <c r="QNM159" s="153"/>
      <c r="QNN159" s="153"/>
      <c r="QNO159" s="153"/>
      <c r="QNP159" s="153"/>
      <c r="QNQ159" s="153"/>
      <c r="QNR159" s="153"/>
      <c r="QNS159" s="153"/>
      <c r="QNT159" s="153"/>
      <c r="QNU159" s="153"/>
      <c r="QNV159" s="153"/>
      <c r="QNW159" s="153"/>
      <c r="QNX159" s="153"/>
      <c r="QNY159" s="153"/>
      <c r="QNZ159" s="153"/>
      <c r="QOA159" s="153"/>
      <c r="QOB159" s="153"/>
      <c r="QOC159" s="153"/>
      <c r="QOD159" s="153"/>
      <c r="QOE159" s="153"/>
      <c r="QOF159" s="153"/>
      <c r="QOG159" s="153"/>
      <c r="QOH159" s="153"/>
      <c r="QOI159" s="153"/>
      <c r="QOJ159" s="153"/>
      <c r="QOK159" s="153"/>
      <c r="QOL159" s="153"/>
      <c r="QOM159" s="153"/>
      <c r="QON159" s="153"/>
      <c r="QOO159" s="153"/>
      <c r="QOP159" s="153"/>
      <c r="QOQ159" s="153"/>
      <c r="QOR159" s="153"/>
      <c r="QOS159" s="153"/>
      <c r="QOT159" s="153"/>
      <c r="QOU159" s="153"/>
      <c r="QOV159" s="153"/>
      <c r="QOW159" s="153"/>
      <c r="QOX159" s="153"/>
      <c r="QOY159" s="153"/>
      <c r="QOZ159" s="153"/>
      <c r="QPA159" s="153"/>
      <c r="QPB159" s="153"/>
      <c r="QPC159" s="153"/>
      <c r="QPD159" s="153"/>
      <c r="QPE159" s="153"/>
      <c r="QPF159" s="153"/>
      <c r="QPG159" s="153"/>
      <c r="QPH159" s="153"/>
      <c r="QPI159" s="153"/>
      <c r="QPJ159" s="153"/>
      <c r="QPK159" s="153"/>
      <c r="QPL159" s="153"/>
      <c r="QPM159" s="153"/>
      <c r="QPN159" s="153"/>
      <c r="QPO159" s="153"/>
      <c r="QPP159" s="153"/>
      <c r="QPQ159" s="153"/>
      <c r="QPR159" s="153"/>
      <c r="QPS159" s="153"/>
      <c r="QPT159" s="153"/>
      <c r="QPU159" s="153"/>
      <c r="QPV159" s="153"/>
      <c r="QPW159" s="153"/>
      <c r="QPX159" s="153"/>
      <c r="QPY159" s="153"/>
      <c r="QPZ159" s="153"/>
      <c r="QQA159" s="153"/>
      <c r="QQB159" s="153"/>
      <c r="QQC159" s="153"/>
      <c r="QQD159" s="153"/>
      <c r="QQE159" s="153"/>
      <c r="QQF159" s="153"/>
      <c r="QQG159" s="153"/>
      <c r="QQH159" s="153"/>
      <c r="QQI159" s="153"/>
      <c r="QQJ159" s="153"/>
      <c r="QQK159" s="153"/>
      <c r="QQL159" s="153"/>
      <c r="QQM159" s="153"/>
      <c r="QQN159" s="153"/>
      <c r="QQO159" s="153"/>
      <c r="QQP159" s="153"/>
      <c r="QQQ159" s="153"/>
      <c r="QQR159" s="153"/>
      <c r="QQS159" s="153"/>
      <c r="QQT159" s="153"/>
      <c r="QQU159" s="153"/>
      <c r="QQV159" s="153"/>
      <c r="QQW159" s="153"/>
      <c r="QQX159" s="153"/>
      <c r="QQY159" s="153"/>
      <c r="QQZ159" s="153"/>
      <c r="QRA159" s="153"/>
      <c r="QRB159" s="153"/>
      <c r="QRC159" s="153"/>
      <c r="QRD159" s="153"/>
      <c r="QRE159" s="153"/>
      <c r="QRF159" s="153"/>
      <c r="QRG159" s="153"/>
      <c r="QRH159" s="153"/>
      <c r="QRI159" s="153"/>
      <c r="QRJ159" s="153"/>
      <c r="QRK159" s="153"/>
      <c r="QRL159" s="153"/>
      <c r="QRM159" s="153"/>
      <c r="QRN159" s="153"/>
      <c r="QRO159" s="153"/>
      <c r="QRP159" s="153"/>
      <c r="QRQ159" s="153"/>
      <c r="QRR159" s="153"/>
      <c r="QRS159" s="153"/>
      <c r="QRT159" s="153"/>
      <c r="QRU159" s="153"/>
      <c r="QRV159" s="153"/>
      <c r="QRW159" s="153"/>
      <c r="QRX159" s="153"/>
      <c r="QRY159" s="153"/>
      <c r="QRZ159" s="153"/>
      <c r="QSA159" s="153"/>
      <c r="QSB159" s="153"/>
      <c r="QSC159" s="153"/>
      <c r="QSD159" s="153"/>
      <c r="QSE159" s="153"/>
      <c r="QSF159" s="153"/>
      <c r="QSG159" s="153"/>
      <c r="QSH159" s="153"/>
      <c r="QSI159" s="153"/>
      <c r="QSJ159" s="153"/>
      <c r="QSK159" s="153"/>
      <c r="QSL159" s="153"/>
      <c r="QSM159" s="153"/>
      <c r="QSN159" s="153"/>
      <c r="QSO159" s="153"/>
      <c r="QSP159" s="153"/>
      <c r="QSQ159" s="153"/>
      <c r="QSR159" s="153"/>
      <c r="QSS159" s="153"/>
      <c r="QST159" s="153"/>
      <c r="QSU159" s="153"/>
      <c r="QSV159" s="153"/>
      <c r="QSW159" s="153"/>
      <c r="QSX159" s="153"/>
      <c r="QSY159" s="153"/>
      <c r="QSZ159" s="153"/>
      <c r="QTA159" s="153"/>
      <c r="QTB159" s="153"/>
      <c r="QTC159" s="153"/>
      <c r="QTD159" s="153"/>
      <c r="QTE159" s="153"/>
      <c r="QTF159" s="153"/>
      <c r="QTG159" s="153"/>
      <c r="QTH159" s="153"/>
      <c r="QTI159" s="153"/>
      <c r="QTJ159" s="153"/>
      <c r="QTK159" s="153"/>
      <c r="QTL159" s="153"/>
      <c r="QTM159" s="153"/>
      <c r="QTN159" s="153"/>
      <c r="QTO159" s="153"/>
      <c r="QTP159" s="153"/>
      <c r="QTQ159" s="153"/>
      <c r="QTR159" s="153"/>
      <c r="QTS159" s="153"/>
      <c r="QTT159" s="153"/>
      <c r="QTU159" s="153"/>
      <c r="QTV159" s="153"/>
      <c r="QTW159" s="153"/>
      <c r="QTX159" s="153"/>
      <c r="QTY159" s="153"/>
      <c r="QTZ159" s="153"/>
      <c r="QUA159" s="153"/>
      <c r="QUB159" s="153"/>
      <c r="QUC159" s="153"/>
      <c r="QUD159" s="153"/>
      <c r="QUE159" s="153"/>
      <c r="QUF159" s="153"/>
      <c r="QUG159" s="153"/>
      <c r="QUH159" s="153"/>
      <c r="QUI159" s="153"/>
      <c r="QUJ159" s="153"/>
      <c r="QUK159" s="153"/>
      <c r="QUL159" s="153"/>
      <c r="QUM159" s="153"/>
      <c r="QUN159" s="153"/>
      <c r="QUO159" s="153"/>
      <c r="QUP159" s="153"/>
      <c r="QUQ159" s="153"/>
      <c r="QUR159" s="153"/>
      <c r="QUS159" s="153"/>
      <c r="QUT159" s="153"/>
      <c r="QUU159" s="153"/>
      <c r="QUV159" s="153"/>
      <c r="QUW159" s="153"/>
      <c r="QUX159" s="153"/>
      <c r="QUY159" s="153"/>
      <c r="QUZ159" s="153"/>
      <c r="QVA159" s="153"/>
      <c r="QVB159" s="153"/>
      <c r="QVC159" s="153"/>
      <c r="QVD159" s="153"/>
      <c r="QVE159" s="153"/>
      <c r="QVF159" s="153"/>
      <c r="QVG159" s="153"/>
      <c r="QVH159" s="153"/>
      <c r="QVI159" s="153"/>
      <c r="QVJ159" s="153"/>
      <c r="QVK159" s="153"/>
      <c r="QVL159" s="153"/>
      <c r="QVM159" s="153"/>
      <c r="QVN159" s="153"/>
      <c r="QVO159" s="153"/>
      <c r="QVP159" s="153"/>
      <c r="QVQ159" s="153"/>
      <c r="QVR159" s="153"/>
      <c r="QVS159" s="153"/>
      <c r="QVT159" s="153"/>
      <c r="QVU159" s="153"/>
      <c r="QVV159" s="153"/>
      <c r="QVW159" s="153"/>
      <c r="QVX159" s="153"/>
      <c r="QVY159" s="153"/>
      <c r="QVZ159" s="153"/>
      <c r="QWA159" s="153"/>
      <c r="QWB159" s="153"/>
      <c r="QWC159" s="153"/>
      <c r="QWD159" s="153"/>
      <c r="QWE159" s="153"/>
      <c r="QWF159" s="153"/>
      <c r="QWG159" s="153"/>
      <c r="QWH159" s="153"/>
      <c r="QWI159" s="153"/>
      <c r="QWJ159" s="153"/>
      <c r="QWK159" s="153"/>
      <c r="QWL159" s="153"/>
      <c r="QWM159" s="153"/>
      <c r="QWN159" s="153"/>
      <c r="QWO159" s="153"/>
      <c r="QWP159" s="153"/>
      <c r="QWQ159" s="153"/>
      <c r="QWR159" s="153"/>
      <c r="QWS159" s="153"/>
      <c r="QWT159" s="153"/>
      <c r="QWU159" s="153"/>
      <c r="QWV159" s="153"/>
      <c r="QWW159" s="153"/>
      <c r="QWX159" s="153"/>
      <c r="QWY159" s="153"/>
      <c r="QWZ159" s="153"/>
      <c r="QXA159" s="153"/>
      <c r="QXB159" s="153"/>
      <c r="QXC159" s="153"/>
      <c r="QXD159" s="153"/>
      <c r="QXE159" s="153"/>
      <c r="QXF159" s="153"/>
      <c r="QXG159" s="153"/>
      <c r="QXH159" s="153"/>
      <c r="QXI159" s="153"/>
      <c r="QXJ159" s="153"/>
      <c r="QXK159" s="153"/>
      <c r="QXL159" s="153"/>
      <c r="QXM159" s="153"/>
      <c r="QXN159" s="153"/>
      <c r="QXO159" s="153"/>
      <c r="QXP159" s="153"/>
      <c r="QXQ159" s="153"/>
      <c r="QXR159" s="153"/>
      <c r="QXS159" s="153"/>
      <c r="QXT159" s="153"/>
      <c r="QXU159" s="153"/>
      <c r="QXV159" s="153"/>
      <c r="QXW159" s="153"/>
      <c r="QXX159" s="153"/>
      <c r="QXY159" s="153"/>
      <c r="QXZ159" s="153"/>
      <c r="QYA159" s="153"/>
      <c r="QYB159" s="153"/>
      <c r="QYC159" s="153"/>
      <c r="QYD159" s="153"/>
      <c r="QYE159" s="153"/>
      <c r="QYF159" s="153"/>
      <c r="QYG159" s="153"/>
      <c r="QYH159" s="153"/>
      <c r="QYI159" s="153"/>
      <c r="QYJ159" s="153"/>
      <c r="QYK159" s="153"/>
      <c r="QYL159" s="153"/>
      <c r="QYM159" s="153"/>
      <c r="QYN159" s="153"/>
      <c r="QYO159" s="153"/>
      <c r="QYP159" s="153"/>
      <c r="QYQ159" s="153"/>
      <c r="QYR159" s="153"/>
      <c r="QYS159" s="153"/>
      <c r="QYT159" s="153"/>
      <c r="QYU159" s="153"/>
      <c r="QYV159" s="153"/>
      <c r="QYW159" s="153"/>
      <c r="QYX159" s="153"/>
      <c r="QYY159" s="153"/>
      <c r="QYZ159" s="153"/>
      <c r="QZA159" s="153"/>
      <c r="QZB159" s="153"/>
      <c r="QZC159" s="153"/>
      <c r="QZD159" s="153"/>
      <c r="QZE159" s="153"/>
      <c r="QZF159" s="153"/>
      <c r="QZG159" s="153"/>
      <c r="QZH159" s="153"/>
      <c r="QZI159" s="153"/>
      <c r="QZJ159" s="153"/>
      <c r="QZK159" s="153"/>
      <c r="QZL159" s="153"/>
      <c r="QZM159" s="153"/>
      <c r="QZN159" s="153"/>
      <c r="QZO159" s="153"/>
      <c r="QZP159" s="153"/>
      <c r="QZQ159" s="153"/>
      <c r="QZR159" s="153"/>
      <c r="QZS159" s="153"/>
      <c r="QZT159" s="153"/>
      <c r="QZU159" s="153"/>
      <c r="QZV159" s="153"/>
      <c r="QZW159" s="153"/>
      <c r="QZX159" s="153"/>
      <c r="QZY159" s="153"/>
      <c r="QZZ159" s="153"/>
      <c r="RAA159" s="153"/>
      <c r="RAB159" s="153"/>
      <c r="RAC159" s="153"/>
      <c r="RAD159" s="153"/>
      <c r="RAE159" s="153"/>
      <c r="RAF159" s="153"/>
      <c r="RAG159" s="153"/>
      <c r="RAH159" s="153"/>
      <c r="RAI159" s="153"/>
      <c r="RAJ159" s="153"/>
      <c r="RAK159" s="153"/>
      <c r="RAL159" s="153"/>
      <c r="RAM159" s="153"/>
      <c r="RAN159" s="153"/>
      <c r="RAO159" s="153"/>
      <c r="RAP159" s="153"/>
      <c r="RAQ159" s="153"/>
      <c r="RAR159" s="153"/>
      <c r="RAS159" s="153"/>
      <c r="RAT159" s="153"/>
      <c r="RAU159" s="153"/>
      <c r="RAV159" s="153"/>
      <c r="RAW159" s="153"/>
      <c r="RAX159" s="153"/>
      <c r="RAY159" s="153"/>
      <c r="RAZ159" s="153"/>
      <c r="RBA159" s="153"/>
      <c r="RBB159" s="153"/>
      <c r="RBC159" s="153"/>
      <c r="RBD159" s="153"/>
      <c r="RBE159" s="153"/>
      <c r="RBF159" s="153"/>
      <c r="RBG159" s="153"/>
      <c r="RBH159" s="153"/>
      <c r="RBI159" s="153"/>
      <c r="RBJ159" s="153"/>
      <c r="RBK159" s="153"/>
      <c r="RBL159" s="153"/>
      <c r="RBM159" s="153"/>
      <c r="RBN159" s="153"/>
      <c r="RBO159" s="153"/>
      <c r="RBP159" s="153"/>
      <c r="RBQ159" s="153"/>
      <c r="RBR159" s="153"/>
      <c r="RBS159" s="153"/>
      <c r="RBT159" s="153"/>
      <c r="RBU159" s="153"/>
      <c r="RBV159" s="153"/>
      <c r="RBW159" s="153"/>
      <c r="RBX159" s="153"/>
      <c r="RBY159" s="153"/>
      <c r="RBZ159" s="153"/>
      <c r="RCA159" s="153"/>
      <c r="RCB159" s="153"/>
      <c r="RCC159" s="153"/>
      <c r="RCD159" s="153"/>
      <c r="RCE159" s="153"/>
      <c r="RCF159" s="153"/>
      <c r="RCG159" s="153"/>
      <c r="RCH159" s="153"/>
      <c r="RCI159" s="153"/>
      <c r="RCJ159" s="153"/>
      <c r="RCK159" s="153"/>
      <c r="RCL159" s="153"/>
      <c r="RCM159" s="153"/>
      <c r="RCN159" s="153"/>
      <c r="RCO159" s="153"/>
      <c r="RCP159" s="153"/>
      <c r="RCQ159" s="153"/>
      <c r="RCR159" s="153"/>
      <c r="RCS159" s="153"/>
      <c r="RCT159" s="153"/>
      <c r="RCU159" s="153"/>
      <c r="RCV159" s="153"/>
      <c r="RCW159" s="153"/>
      <c r="RCX159" s="153"/>
      <c r="RCY159" s="153"/>
      <c r="RCZ159" s="153"/>
      <c r="RDA159" s="153"/>
      <c r="RDB159" s="153"/>
      <c r="RDC159" s="153"/>
      <c r="RDD159" s="153"/>
      <c r="RDE159" s="153"/>
      <c r="RDF159" s="153"/>
      <c r="RDG159" s="153"/>
      <c r="RDH159" s="153"/>
      <c r="RDI159" s="153"/>
      <c r="RDJ159" s="153"/>
      <c r="RDK159" s="153"/>
      <c r="RDL159" s="153"/>
      <c r="RDM159" s="153"/>
      <c r="RDN159" s="153"/>
      <c r="RDO159" s="153"/>
      <c r="RDP159" s="153"/>
      <c r="RDQ159" s="153"/>
      <c r="RDR159" s="153"/>
      <c r="RDS159" s="153"/>
      <c r="RDT159" s="153"/>
      <c r="RDU159" s="153"/>
      <c r="RDV159" s="153"/>
      <c r="RDW159" s="153"/>
      <c r="RDX159" s="153"/>
      <c r="RDY159" s="153"/>
      <c r="RDZ159" s="153"/>
      <c r="REA159" s="153"/>
      <c r="REB159" s="153"/>
      <c r="REC159" s="153"/>
      <c r="RED159" s="153"/>
      <c r="REE159" s="153"/>
      <c r="REF159" s="153"/>
      <c r="REG159" s="153"/>
      <c r="REH159" s="153"/>
      <c r="REI159" s="153"/>
      <c r="REJ159" s="153"/>
      <c r="REK159" s="153"/>
      <c r="REL159" s="153"/>
      <c r="REM159" s="153"/>
      <c r="REN159" s="153"/>
      <c r="REO159" s="153"/>
      <c r="REP159" s="153"/>
      <c r="REQ159" s="153"/>
      <c r="RER159" s="153"/>
      <c r="RES159" s="153"/>
      <c r="RET159" s="153"/>
      <c r="REU159" s="153"/>
      <c r="REV159" s="153"/>
      <c r="REW159" s="153"/>
      <c r="REX159" s="153"/>
      <c r="REY159" s="153"/>
      <c r="REZ159" s="153"/>
      <c r="RFA159" s="153"/>
      <c r="RFB159" s="153"/>
      <c r="RFC159" s="153"/>
      <c r="RFD159" s="153"/>
      <c r="RFE159" s="153"/>
      <c r="RFF159" s="153"/>
      <c r="RFG159" s="153"/>
      <c r="RFH159" s="153"/>
      <c r="RFI159" s="153"/>
      <c r="RFJ159" s="153"/>
      <c r="RFK159" s="153"/>
      <c r="RFL159" s="153"/>
      <c r="RFM159" s="153"/>
      <c r="RFN159" s="153"/>
      <c r="RFO159" s="153"/>
      <c r="RFP159" s="153"/>
      <c r="RFQ159" s="153"/>
      <c r="RFR159" s="153"/>
      <c r="RFS159" s="153"/>
      <c r="RFT159" s="153"/>
      <c r="RFU159" s="153"/>
      <c r="RFV159" s="153"/>
      <c r="RFW159" s="153"/>
      <c r="RFX159" s="153"/>
      <c r="RFY159" s="153"/>
      <c r="RFZ159" s="153"/>
      <c r="RGA159" s="153"/>
      <c r="RGB159" s="153"/>
      <c r="RGC159" s="153"/>
      <c r="RGD159" s="153"/>
      <c r="RGE159" s="153"/>
      <c r="RGF159" s="153"/>
      <c r="RGG159" s="153"/>
      <c r="RGH159" s="153"/>
      <c r="RGI159" s="153"/>
      <c r="RGJ159" s="153"/>
      <c r="RGK159" s="153"/>
      <c r="RGL159" s="153"/>
      <c r="RGM159" s="153"/>
      <c r="RGN159" s="153"/>
      <c r="RGO159" s="153"/>
      <c r="RGP159" s="153"/>
      <c r="RGQ159" s="153"/>
      <c r="RGR159" s="153"/>
      <c r="RGS159" s="153"/>
      <c r="RGT159" s="153"/>
      <c r="RGU159" s="153"/>
      <c r="RGV159" s="153"/>
      <c r="RGW159" s="153"/>
      <c r="RGX159" s="153"/>
      <c r="RGY159" s="153"/>
      <c r="RGZ159" s="153"/>
      <c r="RHA159" s="153"/>
      <c r="RHB159" s="153"/>
      <c r="RHC159" s="153"/>
      <c r="RHD159" s="153"/>
      <c r="RHE159" s="153"/>
      <c r="RHF159" s="153"/>
      <c r="RHG159" s="153"/>
      <c r="RHH159" s="153"/>
      <c r="RHI159" s="153"/>
      <c r="RHJ159" s="153"/>
      <c r="RHK159" s="153"/>
      <c r="RHL159" s="153"/>
      <c r="RHM159" s="153"/>
      <c r="RHN159" s="153"/>
      <c r="RHO159" s="153"/>
      <c r="RHP159" s="153"/>
      <c r="RHQ159" s="153"/>
      <c r="RHR159" s="153"/>
      <c r="RHS159" s="153"/>
      <c r="RHT159" s="153"/>
      <c r="RHU159" s="153"/>
      <c r="RHV159" s="153"/>
      <c r="RHW159" s="153"/>
      <c r="RHX159" s="153"/>
      <c r="RHY159" s="153"/>
      <c r="RHZ159" s="153"/>
      <c r="RIA159" s="153"/>
      <c r="RIB159" s="153"/>
      <c r="RIC159" s="153"/>
      <c r="RID159" s="153"/>
      <c r="RIE159" s="153"/>
      <c r="RIF159" s="153"/>
      <c r="RIG159" s="153"/>
      <c r="RIH159" s="153"/>
      <c r="RII159" s="153"/>
      <c r="RIJ159" s="153"/>
      <c r="RIK159" s="153"/>
      <c r="RIL159" s="153"/>
      <c r="RIM159" s="153"/>
      <c r="RIN159" s="153"/>
      <c r="RIO159" s="153"/>
      <c r="RIP159" s="153"/>
      <c r="RIQ159" s="153"/>
      <c r="RIR159" s="153"/>
      <c r="RIS159" s="153"/>
      <c r="RIT159" s="153"/>
      <c r="RIU159" s="153"/>
      <c r="RIV159" s="153"/>
      <c r="RIW159" s="153"/>
      <c r="RIX159" s="153"/>
      <c r="RIY159" s="153"/>
      <c r="RIZ159" s="153"/>
      <c r="RJA159" s="153"/>
      <c r="RJB159" s="153"/>
      <c r="RJC159" s="153"/>
      <c r="RJD159" s="153"/>
      <c r="RJE159" s="153"/>
      <c r="RJF159" s="153"/>
      <c r="RJG159" s="153"/>
      <c r="RJH159" s="153"/>
      <c r="RJI159" s="153"/>
      <c r="RJJ159" s="153"/>
      <c r="RJK159" s="153"/>
      <c r="RJL159" s="153"/>
      <c r="RJM159" s="153"/>
      <c r="RJN159" s="153"/>
      <c r="RJO159" s="153"/>
      <c r="RJP159" s="153"/>
      <c r="RJQ159" s="153"/>
      <c r="RJR159" s="153"/>
      <c r="RJS159" s="153"/>
      <c r="RJT159" s="153"/>
      <c r="RJU159" s="153"/>
      <c r="RJV159" s="153"/>
      <c r="RJW159" s="153"/>
      <c r="RJX159" s="153"/>
      <c r="RJY159" s="153"/>
      <c r="RJZ159" s="153"/>
      <c r="RKA159" s="153"/>
      <c r="RKB159" s="153"/>
      <c r="RKC159" s="153"/>
      <c r="RKD159" s="153"/>
      <c r="RKE159" s="153"/>
      <c r="RKF159" s="153"/>
      <c r="RKG159" s="153"/>
      <c r="RKH159" s="153"/>
      <c r="RKI159" s="153"/>
      <c r="RKJ159" s="153"/>
      <c r="RKK159" s="153"/>
      <c r="RKL159" s="153"/>
      <c r="RKM159" s="153"/>
      <c r="RKN159" s="153"/>
      <c r="RKO159" s="153"/>
      <c r="RKP159" s="153"/>
      <c r="RKQ159" s="153"/>
      <c r="RKR159" s="153"/>
      <c r="RKS159" s="153"/>
      <c r="RKT159" s="153"/>
      <c r="RKU159" s="153"/>
      <c r="RKV159" s="153"/>
      <c r="RKW159" s="153"/>
      <c r="RKX159" s="153"/>
      <c r="RKY159" s="153"/>
      <c r="RKZ159" s="153"/>
      <c r="RLA159" s="153"/>
      <c r="RLB159" s="153"/>
      <c r="RLC159" s="153"/>
      <c r="RLD159" s="153"/>
      <c r="RLE159" s="153"/>
      <c r="RLF159" s="153"/>
      <c r="RLG159" s="153"/>
      <c r="RLH159" s="153"/>
      <c r="RLI159" s="153"/>
      <c r="RLJ159" s="153"/>
      <c r="RLK159" s="153"/>
      <c r="RLL159" s="153"/>
      <c r="RLM159" s="153"/>
      <c r="RLN159" s="153"/>
      <c r="RLO159" s="153"/>
      <c r="RLP159" s="153"/>
      <c r="RLQ159" s="153"/>
      <c r="RLR159" s="153"/>
      <c r="RLS159" s="153"/>
      <c r="RLT159" s="153"/>
      <c r="RLU159" s="153"/>
      <c r="RLV159" s="153"/>
      <c r="RLW159" s="153"/>
      <c r="RLX159" s="153"/>
      <c r="RLY159" s="153"/>
      <c r="RLZ159" s="153"/>
      <c r="RMA159" s="153"/>
      <c r="RMB159" s="153"/>
      <c r="RMC159" s="153"/>
      <c r="RMD159" s="153"/>
      <c r="RME159" s="153"/>
      <c r="RMF159" s="153"/>
      <c r="RMG159" s="153"/>
      <c r="RMH159" s="153"/>
      <c r="RMI159" s="153"/>
      <c r="RMJ159" s="153"/>
      <c r="RMK159" s="153"/>
      <c r="RML159" s="153"/>
      <c r="RMM159" s="153"/>
      <c r="RMN159" s="153"/>
      <c r="RMO159" s="153"/>
      <c r="RMP159" s="153"/>
      <c r="RMQ159" s="153"/>
      <c r="RMR159" s="153"/>
      <c r="RMS159" s="153"/>
      <c r="RMT159" s="153"/>
      <c r="RMU159" s="153"/>
      <c r="RMV159" s="153"/>
      <c r="RMW159" s="153"/>
      <c r="RMX159" s="153"/>
      <c r="RMY159" s="153"/>
      <c r="RMZ159" s="153"/>
      <c r="RNA159" s="153"/>
      <c r="RNB159" s="153"/>
      <c r="RNC159" s="153"/>
      <c r="RND159" s="153"/>
      <c r="RNE159" s="153"/>
      <c r="RNF159" s="153"/>
      <c r="RNG159" s="153"/>
      <c r="RNH159" s="153"/>
      <c r="RNI159" s="153"/>
      <c r="RNJ159" s="153"/>
      <c r="RNK159" s="153"/>
      <c r="RNL159" s="153"/>
      <c r="RNM159" s="153"/>
      <c r="RNN159" s="153"/>
      <c r="RNO159" s="153"/>
      <c r="RNP159" s="153"/>
      <c r="RNQ159" s="153"/>
      <c r="RNR159" s="153"/>
      <c r="RNS159" s="153"/>
      <c r="RNT159" s="153"/>
      <c r="RNU159" s="153"/>
      <c r="RNV159" s="153"/>
      <c r="RNW159" s="153"/>
      <c r="RNX159" s="153"/>
      <c r="RNY159" s="153"/>
      <c r="RNZ159" s="153"/>
      <c r="ROA159" s="153"/>
      <c r="ROB159" s="153"/>
      <c r="ROC159" s="153"/>
      <c r="ROD159" s="153"/>
      <c r="ROE159" s="153"/>
      <c r="ROF159" s="153"/>
      <c r="ROG159" s="153"/>
      <c r="ROH159" s="153"/>
      <c r="ROI159" s="153"/>
      <c r="ROJ159" s="153"/>
      <c r="ROK159" s="153"/>
      <c r="ROL159" s="153"/>
      <c r="ROM159" s="153"/>
      <c r="RON159" s="153"/>
      <c r="ROO159" s="153"/>
      <c r="ROP159" s="153"/>
      <c r="ROQ159" s="153"/>
      <c r="ROR159" s="153"/>
      <c r="ROS159" s="153"/>
      <c r="ROT159" s="153"/>
      <c r="ROU159" s="153"/>
      <c r="ROV159" s="153"/>
      <c r="ROW159" s="153"/>
      <c r="ROX159" s="153"/>
      <c r="ROY159" s="153"/>
      <c r="ROZ159" s="153"/>
      <c r="RPA159" s="153"/>
      <c r="RPB159" s="153"/>
      <c r="RPC159" s="153"/>
      <c r="RPD159" s="153"/>
      <c r="RPE159" s="153"/>
      <c r="RPF159" s="153"/>
      <c r="RPG159" s="153"/>
      <c r="RPH159" s="153"/>
      <c r="RPI159" s="153"/>
      <c r="RPJ159" s="153"/>
      <c r="RPK159" s="153"/>
      <c r="RPL159" s="153"/>
      <c r="RPM159" s="153"/>
      <c r="RPN159" s="153"/>
      <c r="RPO159" s="153"/>
      <c r="RPP159" s="153"/>
      <c r="RPQ159" s="153"/>
      <c r="RPR159" s="153"/>
      <c r="RPS159" s="153"/>
      <c r="RPT159" s="153"/>
      <c r="RPU159" s="153"/>
      <c r="RPV159" s="153"/>
      <c r="RPW159" s="153"/>
      <c r="RPX159" s="153"/>
      <c r="RPY159" s="153"/>
      <c r="RPZ159" s="153"/>
      <c r="RQA159" s="153"/>
      <c r="RQB159" s="153"/>
      <c r="RQC159" s="153"/>
      <c r="RQD159" s="153"/>
      <c r="RQE159" s="153"/>
      <c r="RQF159" s="153"/>
      <c r="RQG159" s="153"/>
      <c r="RQH159" s="153"/>
      <c r="RQI159" s="153"/>
      <c r="RQJ159" s="153"/>
      <c r="RQK159" s="153"/>
      <c r="RQL159" s="153"/>
      <c r="RQM159" s="153"/>
      <c r="RQN159" s="153"/>
      <c r="RQO159" s="153"/>
      <c r="RQP159" s="153"/>
      <c r="RQQ159" s="153"/>
      <c r="RQR159" s="153"/>
      <c r="RQS159" s="153"/>
      <c r="RQT159" s="153"/>
      <c r="RQU159" s="153"/>
      <c r="RQV159" s="153"/>
      <c r="RQW159" s="153"/>
      <c r="RQX159" s="153"/>
      <c r="RQY159" s="153"/>
      <c r="RQZ159" s="153"/>
      <c r="RRA159" s="153"/>
      <c r="RRB159" s="153"/>
      <c r="RRC159" s="153"/>
      <c r="RRD159" s="153"/>
      <c r="RRE159" s="153"/>
      <c r="RRF159" s="153"/>
      <c r="RRG159" s="153"/>
      <c r="RRH159" s="153"/>
      <c r="RRI159" s="153"/>
      <c r="RRJ159" s="153"/>
      <c r="RRK159" s="153"/>
      <c r="RRL159" s="153"/>
      <c r="RRM159" s="153"/>
      <c r="RRN159" s="153"/>
      <c r="RRO159" s="153"/>
      <c r="RRP159" s="153"/>
      <c r="RRQ159" s="153"/>
      <c r="RRR159" s="153"/>
      <c r="RRS159" s="153"/>
      <c r="RRT159" s="153"/>
      <c r="RRU159" s="153"/>
      <c r="RRV159" s="153"/>
      <c r="RRW159" s="153"/>
      <c r="RRX159" s="153"/>
      <c r="RRY159" s="153"/>
      <c r="RRZ159" s="153"/>
      <c r="RSA159" s="153"/>
      <c r="RSB159" s="153"/>
      <c r="RSC159" s="153"/>
      <c r="RSD159" s="153"/>
      <c r="RSE159" s="153"/>
      <c r="RSF159" s="153"/>
      <c r="RSG159" s="153"/>
      <c r="RSH159" s="153"/>
      <c r="RSI159" s="153"/>
      <c r="RSJ159" s="153"/>
      <c r="RSK159" s="153"/>
      <c r="RSL159" s="153"/>
      <c r="RSM159" s="153"/>
      <c r="RSN159" s="153"/>
      <c r="RSO159" s="153"/>
      <c r="RSP159" s="153"/>
      <c r="RSQ159" s="153"/>
      <c r="RSR159" s="153"/>
      <c r="RSS159" s="153"/>
      <c r="RST159" s="153"/>
      <c r="RSU159" s="153"/>
      <c r="RSV159" s="153"/>
      <c r="RSW159" s="153"/>
      <c r="RSX159" s="153"/>
      <c r="RSY159" s="153"/>
      <c r="RSZ159" s="153"/>
      <c r="RTA159" s="153"/>
      <c r="RTB159" s="153"/>
      <c r="RTC159" s="153"/>
      <c r="RTD159" s="153"/>
      <c r="RTE159" s="153"/>
      <c r="RTF159" s="153"/>
      <c r="RTG159" s="153"/>
      <c r="RTH159" s="153"/>
      <c r="RTI159" s="153"/>
      <c r="RTJ159" s="153"/>
      <c r="RTK159" s="153"/>
      <c r="RTL159" s="153"/>
      <c r="RTM159" s="153"/>
      <c r="RTN159" s="153"/>
      <c r="RTO159" s="153"/>
      <c r="RTP159" s="153"/>
      <c r="RTQ159" s="153"/>
      <c r="RTR159" s="153"/>
      <c r="RTS159" s="153"/>
      <c r="RTT159" s="153"/>
      <c r="RTU159" s="153"/>
      <c r="RTV159" s="153"/>
      <c r="RTW159" s="153"/>
      <c r="RTX159" s="153"/>
      <c r="RTY159" s="153"/>
      <c r="RTZ159" s="153"/>
      <c r="RUA159" s="153"/>
      <c r="RUB159" s="153"/>
      <c r="RUC159" s="153"/>
      <c r="RUD159" s="153"/>
      <c r="RUE159" s="153"/>
      <c r="RUF159" s="153"/>
      <c r="RUG159" s="153"/>
      <c r="RUH159" s="153"/>
      <c r="RUI159" s="153"/>
      <c r="RUJ159" s="153"/>
      <c r="RUK159" s="153"/>
      <c r="RUL159" s="153"/>
      <c r="RUM159" s="153"/>
      <c r="RUN159" s="153"/>
      <c r="RUO159" s="153"/>
      <c r="RUP159" s="153"/>
      <c r="RUQ159" s="153"/>
      <c r="RUR159" s="153"/>
      <c r="RUS159" s="153"/>
      <c r="RUT159" s="153"/>
      <c r="RUU159" s="153"/>
      <c r="RUV159" s="153"/>
      <c r="RUW159" s="153"/>
      <c r="RUX159" s="153"/>
      <c r="RUY159" s="153"/>
      <c r="RUZ159" s="153"/>
      <c r="RVA159" s="153"/>
      <c r="RVB159" s="153"/>
      <c r="RVC159" s="153"/>
      <c r="RVD159" s="153"/>
      <c r="RVE159" s="153"/>
      <c r="RVF159" s="153"/>
      <c r="RVG159" s="153"/>
      <c r="RVH159" s="153"/>
      <c r="RVI159" s="153"/>
      <c r="RVJ159" s="153"/>
      <c r="RVK159" s="153"/>
      <c r="RVL159" s="153"/>
      <c r="RVM159" s="153"/>
      <c r="RVN159" s="153"/>
      <c r="RVO159" s="153"/>
      <c r="RVP159" s="153"/>
      <c r="RVQ159" s="153"/>
      <c r="RVR159" s="153"/>
      <c r="RVS159" s="153"/>
      <c r="RVT159" s="153"/>
      <c r="RVU159" s="153"/>
      <c r="RVV159" s="153"/>
      <c r="RVW159" s="153"/>
      <c r="RVX159" s="153"/>
      <c r="RVY159" s="153"/>
      <c r="RVZ159" s="153"/>
      <c r="RWA159" s="153"/>
      <c r="RWB159" s="153"/>
      <c r="RWC159" s="153"/>
      <c r="RWD159" s="153"/>
      <c r="RWE159" s="153"/>
      <c r="RWF159" s="153"/>
      <c r="RWG159" s="153"/>
      <c r="RWH159" s="153"/>
      <c r="RWI159" s="153"/>
      <c r="RWJ159" s="153"/>
      <c r="RWK159" s="153"/>
      <c r="RWL159" s="153"/>
      <c r="RWM159" s="153"/>
      <c r="RWN159" s="153"/>
      <c r="RWO159" s="153"/>
      <c r="RWP159" s="153"/>
      <c r="RWQ159" s="153"/>
      <c r="RWR159" s="153"/>
      <c r="RWS159" s="153"/>
      <c r="RWT159" s="153"/>
      <c r="RWU159" s="153"/>
      <c r="RWV159" s="153"/>
      <c r="RWW159" s="153"/>
      <c r="RWX159" s="153"/>
      <c r="RWY159" s="153"/>
      <c r="RWZ159" s="153"/>
      <c r="RXA159" s="153"/>
      <c r="RXB159" s="153"/>
      <c r="RXC159" s="153"/>
      <c r="RXD159" s="153"/>
      <c r="RXE159" s="153"/>
      <c r="RXF159" s="153"/>
      <c r="RXG159" s="153"/>
      <c r="RXH159" s="153"/>
      <c r="RXI159" s="153"/>
      <c r="RXJ159" s="153"/>
      <c r="RXK159" s="153"/>
      <c r="RXL159" s="153"/>
      <c r="RXM159" s="153"/>
      <c r="RXN159" s="153"/>
      <c r="RXO159" s="153"/>
      <c r="RXP159" s="153"/>
      <c r="RXQ159" s="153"/>
      <c r="RXR159" s="153"/>
      <c r="RXS159" s="153"/>
      <c r="RXT159" s="153"/>
      <c r="RXU159" s="153"/>
      <c r="RXV159" s="153"/>
      <c r="RXW159" s="153"/>
      <c r="RXX159" s="153"/>
      <c r="RXY159" s="153"/>
      <c r="RXZ159" s="153"/>
      <c r="RYA159" s="153"/>
      <c r="RYB159" s="153"/>
      <c r="RYC159" s="153"/>
      <c r="RYD159" s="153"/>
      <c r="RYE159" s="153"/>
      <c r="RYF159" s="153"/>
      <c r="RYG159" s="153"/>
      <c r="RYH159" s="153"/>
      <c r="RYI159" s="153"/>
      <c r="RYJ159" s="153"/>
      <c r="RYK159" s="153"/>
      <c r="RYL159" s="153"/>
      <c r="RYM159" s="153"/>
      <c r="RYN159" s="153"/>
      <c r="RYO159" s="153"/>
      <c r="RYP159" s="153"/>
      <c r="RYQ159" s="153"/>
      <c r="RYR159" s="153"/>
      <c r="RYS159" s="153"/>
      <c r="RYT159" s="153"/>
      <c r="RYU159" s="153"/>
      <c r="RYV159" s="153"/>
      <c r="RYW159" s="153"/>
      <c r="RYX159" s="153"/>
      <c r="RYY159" s="153"/>
      <c r="RYZ159" s="153"/>
      <c r="RZA159" s="153"/>
      <c r="RZB159" s="153"/>
      <c r="RZC159" s="153"/>
      <c r="RZD159" s="153"/>
      <c r="RZE159" s="153"/>
      <c r="RZF159" s="153"/>
      <c r="RZG159" s="153"/>
      <c r="RZH159" s="153"/>
      <c r="RZI159" s="153"/>
      <c r="RZJ159" s="153"/>
      <c r="RZK159" s="153"/>
      <c r="RZL159" s="153"/>
      <c r="RZM159" s="153"/>
      <c r="RZN159" s="153"/>
      <c r="RZO159" s="153"/>
      <c r="RZP159" s="153"/>
      <c r="RZQ159" s="153"/>
      <c r="RZR159" s="153"/>
      <c r="RZS159" s="153"/>
      <c r="RZT159" s="153"/>
      <c r="RZU159" s="153"/>
      <c r="RZV159" s="153"/>
      <c r="RZW159" s="153"/>
      <c r="RZX159" s="153"/>
      <c r="RZY159" s="153"/>
      <c r="RZZ159" s="153"/>
      <c r="SAA159" s="153"/>
      <c r="SAB159" s="153"/>
      <c r="SAC159" s="153"/>
      <c r="SAD159" s="153"/>
      <c r="SAE159" s="153"/>
      <c r="SAF159" s="153"/>
      <c r="SAG159" s="153"/>
      <c r="SAH159" s="153"/>
      <c r="SAI159" s="153"/>
      <c r="SAJ159" s="153"/>
      <c r="SAK159" s="153"/>
      <c r="SAL159" s="153"/>
      <c r="SAM159" s="153"/>
      <c r="SAN159" s="153"/>
      <c r="SAO159" s="153"/>
      <c r="SAP159" s="153"/>
      <c r="SAQ159" s="153"/>
      <c r="SAR159" s="153"/>
      <c r="SAS159" s="153"/>
      <c r="SAT159" s="153"/>
      <c r="SAU159" s="153"/>
      <c r="SAV159" s="153"/>
      <c r="SAW159" s="153"/>
      <c r="SAX159" s="153"/>
      <c r="SAY159" s="153"/>
      <c r="SAZ159" s="153"/>
      <c r="SBA159" s="153"/>
      <c r="SBB159" s="153"/>
      <c r="SBC159" s="153"/>
      <c r="SBD159" s="153"/>
      <c r="SBE159" s="153"/>
      <c r="SBF159" s="153"/>
      <c r="SBG159" s="153"/>
      <c r="SBH159" s="153"/>
      <c r="SBI159" s="153"/>
      <c r="SBJ159" s="153"/>
      <c r="SBK159" s="153"/>
      <c r="SBL159" s="153"/>
      <c r="SBM159" s="153"/>
      <c r="SBN159" s="153"/>
      <c r="SBO159" s="153"/>
      <c r="SBP159" s="153"/>
      <c r="SBQ159" s="153"/>
      <c r="SBR159" s="153"/>
      <c r="SBS159" s="153"/>
      <c r="SBT159" s="153"/>
      <c r="SBU159" s="153"/>
      <c r="SBV159" s="153"/>
      <c r="SBW159" s="153"/>
      <c r="SBX159" s="153"/>
      <c r="SBY159" s="153"/>
      <c r="SBZ159" s="153"/>
      <c r="SCA159" s="153"/>
      <c r="SCB159" s="153"/>
      <c r="SCC159" s="153"/>
      <c r="SCD159" s="153"/>
      <c r="SCE159" s="153"/>
      <c r="SCF159" s="153"/>
      <c r="SCG159" s="153"/>
      <c r="SCH159" s="153"/>
      <c r="SCI159" s="153"/>
      <c r="SCJ159" s="153"/>
      <c r="SCK159" s="153"/>
      <c r="SCL159" s="153"/>
      <c r="SCM159" s="153"/>
      <c r="SCN159" s="153"/>
      <c r="SCO159" s="153"/>
      <c r="SCP159" s="153"/>
      <c r="SCQ159" s="153"/>
      <c r="SCR159" s="153"/>
      <c r="SCS159" s="153"/>
      <c r="SCT159" s="153"/>
      <c r="SCU159" s="153"/>
      <c r="SCV159" s="153"/>
      <c r="SCW159" s="153"/>
      <c r="SCX159" s="153"/>
      <c r="SCY159" s="153"/>
      <c r="SCZ159" s="153"/>
      <c r="SDA159" s="153"/>
      <c r="SDB159" s="153"/>
      <c r="SDC159" s="153"/>
      <c r="SDD159" s="153"/>
      <c r="SDE159" s="153"/>
      <c r="SDF159" s="153"/>
      <c r="SDG159" s="153"/>
      <c r="SDH159" s="153"/>
      <c r="SDI159" s="153"/>
      <c r="SDJ159" s="153"/>
      <c r="SDK159" s="153"/>
      <c r="SDL159" s="153"/>
      <c r="SDM159" s="153"/>
      <c r="SDN159" s="153"/>
      <c r="SDO159" s="153"/>
      <c r="SDP159" s="153"/>
      <c r="SDQ159" s="153"/>
      <c r="SDR159" s="153"/>
      <c r="SDS159" s="153"/>
      <c r="SDT159" s="153"/>
      <c r="SDU159" s="153"/>
      <c r="SDV159" s="153"/>
      <c r="SDW159" s="153"/>
      <c r="SDX159" s="153"/>
      <c r="SDY159" s="153"/>
      <c r="SDZ159" s="153"/>
      <c r="SEA159" s="153"/>
      <c r="SEB159" s="153"/>
      <c r="SEC159" s="153"/>
      <c r="SED159" s="153"/>
      <c r="SEE159" s="153"/>
      <c r="SEF159" s="153"/>
      <c r="SEG159" s="153"/>
      <c r="SEH159" s="153"/>
      <c r="SEI159" s="153"/>
      <c r="SEJ159" s="153"/>
      <c r="SEK159" s="153"/>
      <c r="SEL159" s="153"/>
      <c r="SEM159" s="153"/>
      <c r="SEN159" s="153"/>
      <c r="SEO159" s="153"/>
      <c r="SEP159" s="153"/>
      <c r="SEQ159" s="153"/>
      <c r="SER159" s="153"/>
      <c r="SES159" s="153"/>
      <c r="SET159" s="153"/>
      <c r="SEU159" s="153"/>
      <c r="SEV159" s="153"/>
      <c r="SEW159" s="153"/>
      <c r="SEX159" s="153"/>
      <c r="SEY159" s="153"/>
      <c r="SEZ159" s="153"/>
      <c r="SFA159" s="153"/>
      <c r="SFB159" s="153"/>
      <c r="SFC159" s="153"/>
      <c r="SFD159" s="153"/>
      <c r="SFE159" s="153"/>
      <c r="SFF159" s="153"/>
      <c r="SFG159" s="153"/>
      <c r="SFH159" s="153"/>
      <c r="SFI159" s="153"/>
      <c r="SFJ159" s="153"/>
      <c r="SFK159" s="153"/>
      <c r="SFL159" s="153"/>
      <c r="SFM159" s="153"/>
      <c r="SFN159" s="153"/>
      <c r="SFO159" s="153"/>
      <c r="SFP159" s="153"/>
      <c r="SFQ159" s="153"/>
      <c r="SFR159" s="153"/>
      <c r="SFS159" s="153"/>
      <c r="SFT159" s="153"/>
      <c r="SFU159" s="153"/>
      <c r="SFV159" s="153"/>
      <c r="SFW159" s="153"/>
      <c r="SFX159" s="153"/>
      <c r="SFY159" s="153"/>
      <c r="SFZ159" s="153"/>
      <c r="SGA159" s="153"/>
      <c r="SGB159" s="153"/>
      <c r="SGC159" s="153"/>
      <c r="SGD159" s="153"/>
      <c r="SGE159" s="153"/>
      <c r="SGF159" s="153"/>
      <c r="SGG159" s="153"/>
      <c r="SGH159" s="153"/>
      <c r="SGI159" s="153"/>
      <c r="SGJ159" s="153"/>
      <c r="SGK159" s="153"/>
      <c r="SGL159" s="153"/>
      <c r="SGM159" s="153"/>
      <c r="SGN159" s="153"/>
      <c r="SGO159" s="153"/>
      <c r="SGP159" s="153"/>
      <c r="SGQ159" s="153"/>
      <c r="SGR159" s="153"/>
      <c r="SGS159" s="153"/>
      <c r="SGT159" s="153"/>
      <c r="SGU159" s="153"/>
      <c r="SGV159" s="153"/>
      <c r="SGW159" s="153"/>
      <c r="SGX159" s="153"/>
      <c r="SGY159" s="153"/>
      <c r="SGZ159" s="153"/>
      <c r="SHA159" s="153"/>
      <c r="SHB159" s="153"/>
      <c r="SHC159" s="153"/>
      <c r="SHD159" s="153"/>
      <c r="SHE159" s="153"/>
      <c r="SHF159" s="153"/>
      <c r="SHG159" s="153"/>
      <c r="SHH159" s="153"/>
      <c r="SHI159" s="153"/>
      <c r="SHJ159" s="153"/>
      <c r="SHK159" s="153"/>
      <c r="SHL159" s="153"/>
      <c r="SHM159" s="153"/>
      <c r="SHN159" s="153"/>
      <c r="SHO159" s="153"/>
      <c r="SHP159" s="153"/>
      <c r="SHQ159" s="153"/>
      <c r="SHR159" s="153"/>
      <c r="SHS159" s="153"/>
      <c r="SHT159" s="153"/>
      <c r="SHU159" s="153"/>
      <c r="SHV159" s="153"/>
      <c r="SHW159" s="153"/>
      <c r="SHX159" s="153"/>
      <c r="SHY159" s="153"/>
      <c r="SHZ159" s="153"/>
      <c r="SIA159" s="153"/>
      <c r="SIB159" s="153"/>
      <c r="SIC159" s="153"/>
      <c r="SID159" s="153"/>
      <c r="SIE159" s="153"/>
      <c r="SIF159" s="153"/>
      <c r="SIG159" s="153"/>
      <c r="SIH159" s="153"/>
      <c r="SII159" s="153"/>
      <c r="SIJ159" s="153"/>
      <c r="SIK159" s="153"/>
      <c r="SIL159" s="153"/>
      <c r="SIM159" s="153"/>
      <c r="SIN159" s="153"/>
      <c r="SIO159" s="153"/>
      <c r="SIP159" s="153"/>
      <c r="SIQ159" s="153"/>
      <c r="SIR159" s="153"/>
      <c r="SIS159" s="153"/>
      <c r="SIT159" s="153"/>
      <c r="SIU159" s="153"/>
      <c r="SIV159" s="153"/>
      <c r="SIW159" s="153"/>
      <c r="SIX159" s="153"/>
      <c r="SIY159" s="153"/>
      <c r="SIZ159" s="153"/>
      <c r="SJA159" s="153"/>
      <c r="SJB159" s="153"/>
      <c r="SJC159" s="153"/>
      <c r="SJD159" s="153"/>
      <c r="SJE159" s="153"/>
      <c r="SJF159" s="153"/>
      <c r="SJG159" s="153"/>
      <c r="SJH159" s="153"/>
      <c r="SJI159" s="153"/>
      <c r="SJJ159" s="153"/>
      <c r="SJK159" s="153"/>
      <c r="SJL159" s="153"/>
      <c r="SJM159" s="153"/>
      <c r="SJN159" s="153"/>
      <c r="SJO159" s="153"/>
      <c r="SJP159" s="153"/>
      <c r="SJQ159" s="153"/>
      <c r="SJR159" s="153"/>
      <c r="SJS159" s="153"/>
      <c r="SJT159" s="153"/>
      <c r="SJU159" s="153"/>
      <c r="SJV159" s="153"/>
      <c r="SJW159" s="153"/>
      <c r="SJX159" s="153"/>
      <c r="SJY159" s="153"/>
      <c r="SJZ159" s="153"/>
      <c r="SKA159" s="153"/>
      <c r="SKB159" s="153"/>
      <c r="SKC159" s="153"/>
      <c r="SKD159" s="153"/>
      <c r="SKE159" s="153"/>
      <c r="SKF159" s="153"/>
      <c r="SKG159" s="153"/>
      <c r="SKH159" s="153"/>
      <c r="SKI159" s="153"/>
      <c r="SKJ159" s="153"/>
      <c r="SKK159" s="153"/>
      <c r="SKL159" s="153"/>
      <c r="SKM159" s="153"/>
      <c r="SKN159" s="153"/>
      <c r="SKO159" s="153"/>
      <c r="SKP159" s="153"/>
      <c r="SKQ159" s="153"/>
      <c r="SKR159" s="153"/>
      <c r="SKS159" s="153"/>
      <c r="SKT159" s="153"/>
      <c r="SKU159" s="153"/>
      <c r="SKV159" s="153"/>
      <c r="SKW159" s="153"/>
      <c r="SKX159" s="153"/>
      <c r="SKY159" s="153"/>
      <c r="SKZ159" s="153"/>
      <c r="SLA159" s="153"/>
      <c r="SLB159" s="153"/>
      <c r="SLC159" s="153"/>
      <c r="SLD159" s="153"/>
      <c r="SLE159" s="153"/>
      <c r="SLF159" s="153"/>
      <c r="SLG159" s="153"/>
      <c r="SLH159" s="153"/>
      <c r="SLI159" s="153"/>
      <c r="SLJ159" s="153"/>
      <c r="SLK159" s="153"/>
      <c r="SLL159" s="153"/>
      <c r="SLM159" s="153"/>
      <c r="SLN159" s="153"/>
      <c r="SLO159" s="153"/>
      <c r="SLP159" s="153"/>
      <c r="SLQ159" s="153"/>
      <c r="SLR159" s="153"/>
      <c r="SLS159" s="153"/>
      <c r="SLT159" s="153"/>
      <c r="SLU159" s="153"/>
      <c r="SLV159" s="153"/>
      <c r="SLW159" s="153"/>
      <c r="SLX159" s="153"/>
      <c r="SLY159" s="153"/>
      <c r="SLZ159" s="153"/>
      <c r="SMA159" s="153"/>
      <c r="SMB159" s="153"/>
      <c r="SMC159" s="153"/>
      <c r="SMD159" s="153"/>
      <c r="SME159" s="153"/>
      <c r="SMF159" s="153"/>
      <c r="SMG159" s="153"/>
      <c r="SMH159" s="153"/>
      <c r="SMI159" s="153"/>
      <c r="SMJ159" s="153"/>
      <c r="SMK159" s="153"/>
      <c r="SML159" s="153"/>
      <c r="SMM159" s="153"/>
      <c r="SMN159" s="153"/>
      <c r="SMO159" s="153"/>
      <c r="SMP159" s="153"/>
      <c r="SMQ159" s="153"/>
      <c r="SMR159" s="153"/>
      <c r="SMS159" s="153"/>
      <c r="SMT159" s="153"/>
      <c r="SMU159" s="153"/>
      <c r="SMV159" s="153"/>
      <c r="SMW159" s="153"/>
      <c r="SMX159" s="153"/>
      <c r="SMY159" s="153"/>
      <c r="SMZ159" s="153"/>
      <c r="SNA159" s="153"/>
      <c r="SNB159" s="153"/>
      <c r="SNC159" s="153"/>
      <c r="SND159" s="153"/>
      <c r="SNE159" s="153"/>
      <c r="SNF159" s="153"/>
      <c r="SNG159" s="153"/>
      <c r="SNH159" s="153"/>
      <c r="SNI159" s="153"/>
      <c r="SNJ159" s="153"/>
      <c r="SNK159" s="153"/>
      <c r="SNL159" s="153"/>
      <c r="SNM159" s="153"/>
      <c r="SNN159" s="153"/>
      <c r="SNO159" s="153"/>
      <c r="SNP159" s="153"/>
      <c r="SNQ159" s="153"/>
      <c r="SNR159" s="153"/>
      <c r="SNS159" s="153"/>
      <c r="SNT159" s="153"/>
      <c r="SNU159" s="153"/>
      <c r="SNV159" s="153"/>
      <c r="SNW159" s="153"/>
      <c r="SNX159" s="153"/>
      <c r="SNY159" s="153"/>
      <c r="SNZ159" s="153"/>
      <c r="SOA159" s="153"/>
      <c r="SOB159" s="153"/>
      <c r="SOC159" s="153"/>
      <c r="SOD159" s="153"/>
      <c r="SOE159" s="153"/>
      <c r="SOF159" s="153"/>
      <c r="SOG159" s="153"/>
      <c r="SOH159" s="153"/>
      <c r="SOI159" s="153"/>
      <c r="SOJ159" s="153"/>
      <c r="SOK159" s="153"/>
      <c r="SOL159" s="153"/>
      <c r="SOM159" s="153"/>
      <c r="SON159" s="153"/>
      <c r="SOO159" s="153"/>
      <c r="SOP159" s="153"/>
      <c r="SOQ159" s="153"/>
      <c r="SOR159" s="153"/>
      <c r="SOS159" s="153"/>
      <c r="SOT159" s="153"/>
      <c r="SOU159" s="153"/>
      <c r="SOV159" s="153"/>
      <c r="SOW159" s="153"/>
      <c r="SOX159" s="153"/>
      <c r="SOY159" s="153"/>
      <c r="SOZ159" s="153"/>
      <c r="SPA159" s="153"/>
      <c r="SPB159" s="153"/>
      <c r="SPC159" s="153"/>
      <c r="SPD159" s="153"/>
      <c r="SPE159" s="153"/>
      <c r="SPF159" s="153"/>
      <c r="SPG159" s="153"/>
      <c r="SPH159" s="153"/>
      <c r="SPI159" s="153"/>
      <c r="SPJ159" s="153"/>
      <c r="SPK159" s="153"/>
      <c r="SPL159" s="153"/>
      <c r="SPM159" s="153"/>
      <c r="SPN159" s="153"/>
      <c r="SPO159" s="153"/>
      <c r="SPP159" s="153"/>
      <c r="SPQ159" s="153"/>
      <c r="SPR159" s="153"/>
      <c r="SPS159" s="153"/>
      <c r="SPT159" s="153"/>
      <c r="SPU159" s="153"/>
      <c r="SPV159" s="153"/>
      <c r="SPW159" s="153"/>
      <c r="SPX159" s="153"/>
      <c r="SPY159" s="153"/>
      <c r="SPZ159" s="153"/>
      <c r="SQA159" s="153"/>
      <c r="SQB159" s="153"/>
      <c r="SQC159" s="153"/>
      <c r="SQD159" s="153"/>
      <c r="SQE159" s="153"/>
      <c r="SQF159" s="153"/>
      <c r="SQG159" s="153"/>
      <c r="SQH159" s="153"/>
      <c r="SQI159" s="153"/>
      <c r="SQJ159" s="153"/>
      <c r="SQK159" s="153"/>
      <c r="SQL159" s="153"/>
      <c r="SQM159" s="153"/>
      <c r="SQN159" s="153"/>
      <c r="SQO159" s="153"/>
      <c r="SQP159" s="153"/>
      <c r="SQQ159" s="153"/>
      <c r="SQR159" s="153"/>
      <c r="SQS159" s="153"/>
      <c r="SQT159" s="153"/>
      <c r="SQU159" s="153"/>
      <c r="SQV159" s="153"/>
      <c r="SQW159" s="153"/>
      <c r="SQX159" s="153"/>
      <c r="SQY159" s="153"/>
      <c r="SQZ159" s="153"/>
      <c r="SRA159" s="153"/>
      <c r="SRB159" s="153"/>
      <c r="SRC159" s="153"/>
      <c r="SRD159" s="153"/>
      <c r="SRE159" s="153"/>
      <c r="SRF159" s="153"/>
      <c r="SRG159" s="153"/>
      <c r="SRH159" s="153"/>
      <c r="SRI159" s="153"/>
      <c r="SRJ159" s="153"/>
      <c r="SRK159" s="153"/>
      <c r="SRL159" s="153"/>
      <c r="SRM159" s="153"/>
      <c r="SRN159" s="153"/>
      <c r="SRO159" s="153"/>
      <c r="SRP159" s="153"/>
      <c r="SRQ159" s="153"/>
      <c r="SRR159" s="153"/>
      <c r="SRS159" s="153"/>
      <c r="SRT159" s="153"/>
      <c r="SRU159" s="153"/>
      <c r="SRV159" s="153"/>
      <c r="SRW159" s="153"/>
      <c r="SRX159" s="153"/>
      <c r="SRY159" s="153"/>
      <c r="SRZ159" s="153"/>
      <c r="SSA159" s="153"/>
      <c r="SSB159" s="153"/>
      <c r="SSC159" s="153"/>
      <c r="SSD159" s="153"/>
      <c r="SSE159" s="153"/>
      <c r="SSF159" s="153"/>
      <c r="SSG159" s="153"/>
      <c r="SSH159" s="153"/>
      <c r="SSI159" s="153"/>
      <c r="SSJ159" s="153"/>
      <c r="SSK159" s="153"/>
      <c r="SSL159" s="153"/>
      <c r="SSM159" s="153"/>
      <c r="SSN159" s="153"/>
      <c r="SSO159" s="153"/>
      <c r="SSP159" s="153"/>
      <c r="SSQ159" s="153"/>
      <c r="SSR159" s="153"/>
      <c r="SSS159" s="153"/>
      <c r="SST159" s="153"/>
      <c r="SSU159" s="153"/>
      <c r="SSV159" s="153"/>
      <c r="SSW159" s="153"/>
      <c r="SSX159" s="153"/>
      <c r="SSY159" s="153"/>
      <c r="SSZ159" s="153"/>
      <c r="STA159" s="153"/>
      <c r="STB159" s="153"/>
      <c r="STC159" s="153"/>
      <c r="STD159" s="153"/>
      <c r="STE159" s="153"/>
      <c r="STF159" s="153"/>
      <c r="STG159" s="153"/>
      <c r="STH159" s="153"/>
      <c r="STI159" s="153"/>
      <c r="STJ159" s="153"/>
      <c r="STK159" s="153"/>
      <c r="STL159" s="153"/>
      <c r="STM159" s="153"/>
      <c r="STN159" s="153"/>
      <c r="STO159" s="153"/>
      <c r="STP159" s="153"/>
      <c r="STQ159" s="153"/>
      <c r="STR159" s="153"/>
      <c r="STS159" s="153"/>
      <c r="STT159" s="153"/>
      <c r="STU159" s="153"/>
      <c r="STV159" s="153"/>
      <c r="STW159" s="153"/>
      <c r="STX159" s="153"/>
      <c r="STY159" s="153"/>
      <c r="STZ159" s="153"/>
      <c r="SUA159" s="153"/>
      <c r="SUB159" s="153"/>
      <c r="SUC159" s="153"/>
      <c r="SUD159" s="153"/>
      <c r="SUE159" s="153"/>
      <c r="SUF159" s="153"/>
      <c r="SUG159" s="153"/>
      <c r="SUH159" s="153"/>
      <c r="SUI159" s="153"/>
      <c r="SUJ159" s="153"/>
      <c r="SUK159" s="153"/>
      <c r="SUL159" s="153"/>
      <c r="SUM159" s="153"/>
      <c r="SUN159" s="153"/>
      <c r="SUO159" s="153"/>
      <c r="SUP159" s="153"/>
      <c r="SUQ159" s="153"/>
      <c r="SUR159" s="153"/>
      <c r="SUS159" s="153"/>
      <c r="SUT159" s="153"/>
      <c r="SUU159" s="153"/>
      <c r="SUV159" s="153"/>
      <c r="SUW159" s="153"/>
      <c r="SUX159" s="153"/>
      <c r="SUY159" s="153"/>
      <c r="SUZ159" s="153"/>
      <c r="SVA159" s="153"/>
      <c r="SVB159" s="153"/>
      <c r="SVC159" s="153"/>
      <c r="SVD159" s="153"/>
      <c r="SVE159" s="153"/>
      <c r="SVF159" s="153"/>
      <c r="SVG159" s="153"/>
      <c r="SVH159" s="153"/>
      <c r="SVI159" s="153"/>
      <c r="SVJ159" s="153"/>
      <c r="SVK159" s="153"/>
      <c r="SVL159" s="153"/>
      <c r="SVM159" s="153"/>
      <c r="SVN159" s="153"/>
      <c r="SVO159" s="153"/>
      <c r="SVP159" s="153"/>
      <c r="SVQ159" s="153"/>
      <c r="SVR159" s="153"/>
      <c r="SVS159" s="153"/>
      <c r="SVT159" s="153"/>
      <c r="SVU159" s="153"/>
      <c r="SVV159" s="153"/>
      <c r="SVW159" s="153"/>
      <c r="SVX159" s="153"/>
      <c r="SVY159" s="153"/>
      <c r="SVZ159" s="153"/>
      <c r="SWA159" s="153"/>
      <c r="SWB159" s="153"/>
      <c r="SWC159" s="153"/>
      <c r="SWD159" s="153"/>
      <c r="SWE159" s="153"/>
      <c r="SWF159" s="153"/>
      <c r="SWG159" s="153"/>
      <c r="SWH159" s="153"/>
      <c r="SWI159" s="153"/>
      <c r="SWJ159" s="153"/>
      <c r="SWK159" s="153"/>
      <c r="SWL159" s="153"/>
      <c r="SWM159" s="153"/>
      <c r="SWN159" s="153"/>
      <c r="SWO159" s="153"/>
      <c r="SWP159" s="153"/>
      <c r="SWQ159" s="153"/>
      <c r="SWR159" s="153"/>
      <c r="SWS159" s="153"/>
      <c r="SWT159" s="153"/>
      <c r="SWU159" s="153"/>
      <c r="SWV159" s="153"/>
      <c r="SWW159" s="153"/>
      <c r="SWX159" s="153"/>
      <c r="SWY159" s="153"/>
      <c r="SWZ159" s="153"/>
      <c r="SXA159" s="153"/>
      <c r="SXB159" s="153"/>
      <c r="SXC159" s="153"/>
      <c r="SXD159" s="153"/>
      <c r="SXE159" s="153"/>
      <c r="SXF159" s="153"/>
      <c r="SXG159" s="153"/>
      <c r="SXH159" s="153"/>
      <c r="SXI159" s="153"/>
      <c r="SXJ159" s="153"/>
      <c r="SXK159" s="153"/>
      <c r="SXL159" s="153"/>
      <c r="SXM159" s="153"/>
      <c r="SXN159" s="153"/>
      <c r="SXO159" s="153"/>
      <c r="SXP159" s="153"/>
      <c r="SXQ159" s="153"/>
      <c r="SXR159" s="153"/>
      <c r="SXS159" s="153"/>
      <c r="SXT159" s="153"/>
      <c r="SXU159" s="153"/>
      <c r="SXV159" s="153"/>
      <c r="SXW159" s="153"/>
      <c r="SXX159" s="153"/>
      <c r="SXY159" s="153"/>
      <c r="SXZ159" s="153"/>
      <c r="SYA159" s="153"/>
      <c r="SYB159" s="153"/>
      <c r="SYC159" s="153"/>
      <c r="SYD159" s="153"/>
      <c r="SYE159" s="153"/>
      <c r="SYF159" s="153"/>
      <c r="SYG159" s="153"/>
      <c r="SYH159" s="153"/>
      <c r="SYI159" s="153"/>
      <c r="SYJ159" s="153"/>
      <c r="SYK159" s="153"/>
      <c r="SYL159" s="153"/>
      <c r="SYM159" s="153"/>
      <c r="SYN159" s="153"/>
      <c r="SYO159" s="153"/>
      <c r="SYP159" s="153"/>
      <c r="SYQ159" s="153"/>
      <c r="SYR159" s="153"/>
      <c r="SYS159" s="153"/>
      <c r="SYT159" s="153"/>
      <c r="SYU159" s="153"/>
      <c r="SYV159" s="153"/>
      <c r="SYW159" s="153"/>
      <c r="SYX159" s="153"/>
      <c r="SYY159" s="153"/>
      <c r="SYZ159" s="153"/>
      <c r="SZA159" s="153"/>
      <c r="SZB159" s="153"/>
      <c r="SZC159" s="153"/>
      <c r="SZD159" s="153"/>
      <c r="SZE159" s="153"/>
      <c r="SZF159" s="153"/>
      <c r="SZG159" s="153"/>
      <c r="SZH159" s="153"/>
      <c r="SZI159" s="153"/>
      <c r="SZJ159" s="153"/>
      <c r="SZK159" s="153"/>
      <c r="SZL159" s="153"/>
      <c r="SZM159" s="153"/>
      <c r="SZN159" s="153"/>
      <c r="SZO159" s="153"/>
      <c r="SZP159" s="153"/>
      <c r="SZQ159" s="153"/>
      <c r="SZR159" s="153"/>
      <c r="SZS159" s="153"/>
      <c r="SZT159" s="153"/>
      <c r="SZU159" s="153"/>
      <c r="SZV159" s="153"/>
      <c r="SZW159" s="153"/>
      <c r="SZX159" s="153"/>
      <c r="SZY159" s="153"/>
      <c r="SZZ159" s="153"/>
      <c r="TAA159" s="153"/>
      <c r="TAB159" s="153"/>
      <c r="TAC159" s="153"/>
      <c r="TAD159" s="153"/>
      <c r="TAE159" s="153"/>
      <c r="TAF159" s="153"/>
      <c r="TAG159" s="153"/>
      <c r="TAH159" s="153"/>
      <c r="TAI159" s="153"/>
      <c r="TAJ159" s="153"/>
      <c r="TAK159" s="153"/>
      <c r="TAL159" s="153"/>
      <c r="TAM159" s="153"/>
      <c r="TAN159" s="153"/>
      <c r="TAO159" s="153"/>
      <c r="TAP159" s="153"/>
      <c r="TAQ159" s="153"/>
      <c r="TAR159" s="153"/>
      <c r="TAS159" s="153"/>
      <c r="TAT159" s="153"/>
      <c r="TAU159" s="153"/>
      <c r="TAV159" s="153"/>
      <c r="TAW159" s="153"/>
      <c r="TAX159" s="153"/>
      <c r="TAY159" s="153"/>
      <c r="TAZ159" s="153"/>
      <c r="TBA159" s="153"/>
      <c r="TBB159" s="153"/>
      <c r="TBC159" s="153"/>
      <c r="TBD159" s="153"/>
      <c r="TBE159" s="153"/>
      <c r="TBF159" s="153"/>
      <c r="TBG159" s="153"/>
      <c r="TBH159" s="153"/>
      <c r="TBI159" s="153"/>
      <c r="TBJ159" s="153"/>
      <c r="TBK159" s="153"/>
      <c r="TBL159" s="153"/>
      <c r="TBM159" s="153"/>
      <c r="TBN159" s="153"/>
      <c r="TBO159" s="153"/>
      <c r="TBP159" s="153"/>
      <c r="TBQ159" s="153"/>
      <c r="TBR159" s="153"/>
      <c r="TBS159" s="153"/>
      <c r="TBT159" s="153"/>
      <c r="TBU159" s="153"/>
      <c r="TBV159" s="153"/>
      <c r="TBW159" s="153"/>
      <c r="TBX159" s="153"/>
      <c r="TBY159" s="153"/>
      <c r="TBZ159" s="153"/>
      <c r="TCA159" s="153"/>
      <c r="TCB159" s="153"/>
      <c r="TCC159" s="153"/>
      <c r="TCD159" s="153"/>
      <c r="TCE159" s="153"/>
      <c r="TCF159" s="153"/>
      <c r="TCG159" s="153"/>
      <c r="TCH159" s="153"/>
      <c r="TCI159" s="153"/>
      <c r="TCJ159" s="153"/>
      <c r="TCK159" s="153"/>
      <c r="TCL159" s="153"/>
      <c r="TCM159" s="153"/>
      <c r="TCN159" s="153"/>
      <c r="TCO159" s="153"/>
      <c r="TCP159" s="153"/>
      <c r="TCQ159" s="153"/>
      <c r="TCR159" s="153"/>
      <c r="TCS159" s="153"/>
      <c r="TCT159" s="153"/>
      <c r="TCU159" s="153"/>
      <c r="TCV159" s="153"/>
      <c r="TCW159" s="153"/>
      <c r="TCX159" s="153"/>
      <c r="TCY159" s="153"/>
      <c r="TCZ159" s="153"/>
      <c r="TDA159" s="153"/>
      <c r="TDB159" s="153"/>
      <c r="TDC159" s="153"/>
      <c r="TDD159" s="153"/>
      <c r="TDE159" s="153"/>
      <c r="TDF159" s="153"/>
      <c r="TDG159" s="153"/>
      <c r="TDH159" s="153"/>
      <c r="TDI159" s="153"/>
      <c r="TDJ159" s="153"/>
      <c r="TDK159" s="153"/>
      <c r="TDL159" s="153"/>
      <c r="TDM159" s="153"/>
      <c r="TDN159" s="153"/>
      <c r="TDO159" s="153"/>
      <c r="TDP159" s="153"/>
      <c r="TDQ159" s="153"/>
      <c r="TDR159" s="153"/>
      <c r="TDS159" s="153"/>
      <c r="TDT159" s="153"/>
      <c r="TDU159" s="153"/>
      <c r="TDV159" s="153"/>
      <c r="TDW159" s="153"/>
      <c r="TDX159" s="153"/>
      <c r="TDY159" s="153"/>
      <c r="TDZ159" s="153"/>
      <c r="TEA159" s="153"/>
      <c r="TEB159" s="153"/>
      <c r="TEC159" s="153"/>
      <c r="TED159" s="153"/>
      <c r="TEE159" s="153"/>
      <c r="TEF159" s="153"/>
      <c r="TEG159" s="153"/>
      <c r="TEH159" s="153"/>
      <c r="TEI159" s="153"/>
      <c r="TEJ159" s="153"/>
      <c r="TEK159" s="153"/>
      <c r="TEL159" s="153"/>
      <c r="TEM159" s="153"/>
      <c r="TEN159" s="153"/>
      <c r="TEO159" s="153"/>
      <c r="TEP159" s="153"/>
      <c r="TEQ159" s="153"/>
      <c r="TER159" s="153"/>
      <c r="TES159" s="153"/>
      <c r="TET159" s="153"/>
      <c r="TEU159" s="153"/>
      <c r="TEV159" s="153"/>
      <c r="TEW159" s="153"/>
      <c r="TEX159" s="153"/>
      <c r="TEY159" s="153"/>
      <c r="TEZ159" s="153"/>
      <c r="TFA159" s="153"/>
      <c r="TFB159" s="153"/>
      <c r="TFC159" s="153"/>
      <c r="TFD159" s="153"/>
      <c r="TFE159" s="153"/>
      <c r="TFF159" s="153"/>
      <c r="TFG159" s="153"/>
      <c r="TFH159" s="153"/>
      <c r="TFI159" s="153"/>
      <c r="TFJ159" s="153"/>
      <c r="TFK159" s="153"/>
      <c r="TFL159" s="153"/>
      <c r="TFM159" s="153"/>
      <c r="TFN159" s="153"/>
      <c r="TFO159" s="153"/>
      <c r="TFP159" s="153"/>
      <c r="TFQ159" s="153"/>
      <c r="TFR159" s="153"/>
      <c r="TFS159" s="153"/>
      <c r="TFT159" s="153"/>
      <c r="TFU159" s="153"/>
      <c r="TFV159" s="153"/>
      <c r="TFW159" s="153"/>
      <c r="TFX159" s="153"/>
      <c r="TFY159" s="153"/>
      <c r="TFZ159" s="153"/>
      <c r="TGA159" s="153"/>
      <c r="TGB159" s="153"/>
      <c r="TGC159" s="153"/>
      <c r="TGD159" s="153"/>
      <c r="TGE159" s="153"/>
      <c r="TGF159" s="153"/>
      <c r="TGG159" s="153"/>
      <c r="TGH159" s="153"/>
      <c r="TGI159" s="153"/>
      <c r="TGJ159" s="153"/>
      <c r="TGK159" s="153"/>
      <c r="TGL159" s="153"/>
      <c r="TGM159" s="153"/>
      <c r="TGN159" s="153"/>
      <c r="TGO159" s="153"/>
      <c r="TGP159" s="153"/>
      <c r="TGQ159" s="153"/>
      <c r="TGR159" s="153"/>
      <c r="TGS159" s="153"/>
      <c r="TGT159" s="153"/>
      <c r="TGU159" s="153"/>
      <c r="TGV159" s="153"/>
      <c r="TGW159" s="153"/>
      <c r="TGX159" s="153"/>
      <c r="TGY159" s="153"/>
      <c r="TGZ159" s="153"/>
      <c r="THA159" s="153"/>
      <c r="THB159" s="153"/>
      <c r="THC159" s="153"/>
      <c r="THD159" s="153"/>
      <c r="THE159" s="153"/>
      <c r="THF159" s="153"/>
      <c r="THG159" s="153"/>
      <c r="THH159" s="153"/>
      <c r="THI159" s="153"/>
      <c r="THJ159" s="153"/>
      <c r="THK159" s="153"/>
      <c r="THL159" s="153"/>
      <c r="THM159" s="153"/>
      <c r="THN159" s="153"/>
      <c r="THO159" s="153"/>
      <c r="THP159" s="153"/>
      <c r="THQ159" s="153"/>
      <c r="THR159" s="153"/>
      <c r="THS159" s="153"/>
      <c r="THT159" s="153"/>
      <c r="THU159" s="153"/>
      <c r="THV159" s="153"/>
      <c r="THW159" s="153"/>
      <c r="THX159" s="153"/>
      <c r="THY159" s="153"/>
      <c r="THZ159" s="153"/>
      <c r="TIA159" s="153"/>
      <c r="TIB159" s="153"/>
      <c r="TIC159" s="153"/>
      <c r="TID159" s="153"/>
      <c r="TIE159" s="153"/>
      <c r="TIF159" s="153"/>
      <c r="TIG159" s="153"/>
      <c r="TIH159" s="153"/>
      <c r="TII159" s="153"/>
      <c r="TIJ159" s="153"/>
      <c r="TIK159" s="153"/>
      <c r="TIL159" s="153"/>
      <c r="TIM159" s="153"/>
      <c r="TIN159" s="153"/>
      <c r="TIO159" s="153"/>
      <c r="TIP159" s="153"/>
      <c r="TIQ159" s="153"/>
      <c r="TIR159" s="153"/>
      <c r="TIS159" s="153"/>
      <c r="TIT159" s="153"/>
      <c r="TIU159" s="153"/>
      <c r="TIV159" s="153"/>
      <c r="TIW159" s="153"/>
      <c r="TIX159" s="153"/>
      <c r="TIY159" s="153"/>
      <c r="TIZ159" s="153"/>
      <c r="TJA159" s="153"/>
      <c r="TJB159" s="153"/>
      <c r="TJC159" s="153"/>
      <c r="TJD159" s="153"/>
      <c r="TJE159" s="153"/>
      <c r="TJF159" s="153"/>
      <c r="TJG159" s="153"/>
      <c r="TJH159" s="153"/>
      <c r="TJI159" s="153"/>
      <c r="TJJ159" s="153"/>
      <c r="TJK159" s="153"/>
      <c r="TJL159" s="153"/>
      <c r="TJM159" s="153"/>
      <c r="TJN159" s="153"/>
      <c r="TJO159" s="153"/>
      <c r="TJP159" s="153"/>
      <c r="TJQ159" s="153"/>
      <c r="TJR159" s="153"/>
      <c r="TJS159" s="153"/>
      <c r="TJT159" s="153"/>
      <c r="TJU159" s="153"/>
      <c r="TJV159" s="153"/>
      <c r="TJW159" s="153"/>
      <c r="TJX159" s="153"/>
      <c r="TJY159" s="153"/>
      <c r="TJZ159" s="153"/>
      <c r="TKA159" s="153"/>
      <c r="TKB159" s="153"/>
      <c r="TKC159" s="153"/>
      <c r="TKD159" s="153"/>
      <c r="TKE159" s="153"/>
      <c r="TKF159" s="153"/>
      <c r="TKG159" s="153"/>
      <c r="TKH159" s="153"/>
      <c r="TKI159" s="153"/>
      <c r="TKJ159" s="153"/>
      <c r="TKK159" s="153"/>
      <c r="TKL159" s="153"/>
      <c r="TKM159" s="153"/>
      <c r="TKN159" s="153"/>
      <c r="TKO159" s="153"/>
      <c r="TKP159" s="153"/>
      <c r="TKQ159" s="153"/>
      <c r="TKR159" s="153"/>
      <c r="TKS159" s="153"/>
      <c r="TKT159" s="153"/>
      <c r="TKU159" s="153"/>
      <c r="TKV159" s="153"/>
      <c r="TKW159" s="153"/>
      <c r="TKX159" s="153"/>
      <c r="TKY159" s="153"/>
      <c r="TKZ159" s="153"/>
      <c r="TLA159" s="153"/>
      <c r="TLB159" s="153"/>
      <c r="TLC159" s="153"/>
      <c r="TLD159" s="153"/>
      <c r="TLE159" s="153"/>
      <c r="TLF159" s="153"/>
      <c r="TLG159" s="153"/>
      <c r="TLH159" s="153"/>
      <c r="TLI159" s="153"/>
      <c r="TLJ159" s="153"/>
      <c r="TLK159" s="153"/>
      <c r="TLL159" s="153"/>
      <c r="TLM159" s="153"/>
      <c r="TLN159" s="153"/>
      <c r="TLO159" s="153"/>
      <c r="TLP159" s="153"/>
      <c r="TLQ159" s="153"/>
      <c r="TLR159" s="153"/>
      <c r="TLS159" s="153"/>
      <c r="TLT159" s="153"/>
      <c r="TLU159" s="153"/>
      <c r="TLV159" s="153"/>
      <c r="TLW159" s="153"/>
      <c r="TLX159" s="153"/>
      <c r="TLY159" s="153"/>
      <c r="TLZ159" s="153"/>
      <c r="TMA159" s="153"/>
      <c r="TMB159" s="153"/>
      <c r="TMC159" s="153"/>
      <c r="TMD159" s="153"/>
      <c r="TME159" s="153"/>
      <c r="TMF159" s="153"/>
      <c r="TMG159" s="153"/>
      <c r="TMH159" s="153"/>
      <c r="TMI159" s="153"/>
      <c r="TMJ159" s="153"/>
      <c r="TMK159" s="153"/>
      <c r="TML159" s="153"/>
      <c r="TMM159" s="153"/>
      <c r="TMN159" s="153"/>
      <c r="TMO159" s="153"/>
      <c r="TMP159" s="153"/>
      <c r="TMQ159" s="153"/>
      <c r="TMR159" s="153"/>
      <c r="TMS159" s="153"/>
      <c r="TMT159" s="153"/>
      <c r="TMU159" s="153"/>
      <c r="TMV159" s="153"/>
      <c r="TMW159" s="153"/>
      <c r="TMX159" s="153"/>
      <c r="TMY159" s="153"/>
      <c r="TMZ159" s="153"/>
      <c r="TNA159" s="153"/>
      <c r="TNB159" s="153"/>
      <c r="TNC159" s="153"/>
      <c r="TND159" s="153"/>
      <c r="TNE159" s="153"/>
      <c r="TNF159" s="153"/>
      <c r="TNG159" s="153"/>
      <c r="TNH159" s="153"/>
      <c r="TNI159" s="153"/>
      <c r="TNJ159" s="153"/>
      <c r="TNK159" s="153"/>
      <c r="TNL159" s="153"/>
      <c r="TNM159" s="153"/>
      <c r="TNN159" s="153"/>
      <c r="TNO159" s="153"/>
      <c r="TNP159" s="153"/>
      <c r="TNQ159" s="153"/>
      <c r="TNR159" s="153"/>
      <c r="TNS159" s="153"/>
      <c r="TNT159" s="153"/>
      <c r="TNU159" s="153"/>
      <c r="TNV159" s="153"/>
      <c r="TNW159" s="153"/>
      <c r="TNX159" s="153"/>
      <c r="TNY159" s="153"/>
      <c r="TNZ159" s="153"/>
      <c r="TOA159" s="153"/>
      <c r="TOB159" s="153"/>
      <c r="TOC159" s="153"/>
      <c r="TOD159" s="153"/>
      <c r="TOE159" s="153"/>
      <c r="TOF159" s="153"/>
      <c r="TOG159" s="153"/>
      <c r="TOH159" s="153"/>
      <c r="TOI159" s="153"/>
      <c r="TOJ159" s="153"/>
      <c r="TOK159" s="153"/>
      <c r="TOL159" s="153"/>
      <c r="TOM159" s="153"/>
      <c r="TON159" s="153"/>
      <c r="TOO159" s="153"/>
      <c r="TOP159" s="153"/>
      <c r="TOQ159" s="153"/>
      <c r="TOR159" s="153"/>
      <c r="TOS159" s="153"/>
      <c r="TOT159" s="153"/>
      <c r="TOU159" s="153"/>
      <c r="TOV159" s="153"/>
      <c r="TOW159" s="153"/>
      <c r="TOX159" s="153"/>
      <c r="TOY159" s="153"/>
      <c r="TOZ159" s="153"/>
      <c r="TPA159" s="153"/>
      <c r="TPB159" s="153"/>
      <c r="TPC159" s="153"/>
      <c r="TPD159" s="153"/>
      <c r="TPE159" s="153"/>
      <c r="TPF159" s="153"/>
      <c r="TPG159" s="153"/>
      <c r="TPH159" s="153"/>
      <c r="TPI159" s="153"/>
      <c r="TPJ159" s="153"/>
      <c r="TPK159" s="153"/>
      <c r="TPL159" s="153"/>
      <c r="TPM159" s="153"/>
      <c r="TPN159" s="153"/>
      <c r="TPO159" s="153"/>
      <c r="TPP159" s="153"/>
      <c r="TPQ159" s="153"/>
      <c r="TPR159" s="153"/>
      <c r="TPS159" s="153"/>
      <c r="TPT159" s="153"/>
      <c r="TPU159" s="153"/>
      <c r="TPV159" s="153"/>
      <c r="TPW159" s="153"/>
      <c r="TPX159" s="153"/>
      <c r="TPY159" s="153"/>
      <c r="TPZ159" s="153"/>
      <c r="TQA159" s="153"/>
      <c r="TQB159" s="153"/>
      <c r="TQC159" s="153"/>
      <c r="TQD159" s="153"/>
      <c r="TQE159" s="153"/>
      <c r="TQF159" s="153"/>
      <c r="TQG159" s="153"/>
      <c r="TQH159" s="153"/>
      <c r="TQI159" s="153"/>
      <c r="TQJ159" s="153"/>
      <c r="TQK159" s="153"/>
      <c r="TQL159" s="153"/>
      <c r="TQM159" s="153"/>
      <c r="TQN159" s="153"/>
      <c r="TQO159" s="153"/>
      <c r="TQP159" s="153"/>
      <c r="TQQ159" s="153"/>
      <c r="TQR159" s="153"/>
      <c r="TQS159" s="153"/>
      <c r="TQT159" s="153"/>
      <c r="TQU159" s="153"/>
      <c r="TQV159" s="153"/>
      <c r="TQW159" s="153"/>
      <c r="TQX159" s="153"/>
      <c r="TQY159" s="153"/>
      <c r="TQZ159" s="153"/>
      <c r="TRA159" s="153"/>
      <c r="TRB159" s="153"/>
      <c r="TRC159" s="153"/>
      <c r="TRD159" s="153"/>
      <c r="TRE159" s="153"/>
      <c r="TRF159" s="153"/>
      <c r="TRG159" s="153"/>
      <c r="TRH159" s="153"/>
      <c r="TRI159" s="153"/>
      <c r="TRJ159" s="153"/>
      <c r="TRK159" s="153"/>
      <c r="TRL159" s="153"/>
      <c r="TRM159" s="153"/>
      <c r="TRN159" s="153"/>
      <c r="TRO159" s="153"/>
      <c r="TRP159" s="153"/>
      <c r="TRQ159" s="153"/>
      <c r="TRR159" s="153"/>
      <c r="TRS159" s="153"/>
      <c r="TRT159" s="153"/>
      <c r="TRU159" s="153"/>
      <c r="TRV159" s="153"/>
      <c r="TRW159" s="153"/>
      <c r="TRX159" s="153"/>
      <c r="TRY159" s="153"/>
      <c r="TRZ159" s="153"/>
      <c r="TSA159" s="153"/>
      <c r="TSB159" s="153"/>
      <c r="TSC159" s="153"/>
      <c r="TSD159" s="153"/>
      <c r="TSE159" s="153"/>
      <c r="TSF159" s="153"/>
      <c r="TSG159" s="153"/>
      <c r="TSH159" s="153"/>
      <c r="TSI159" s="153"/>
      <c r="TSJ159" s="153"/>
      <c r="TSK159" s="153"/>
      <c r="TSL159" s="153"/>
      <c r="TSM159" s="153"/>
      <c r="TSN159" s="153"/>
      <c r="TSO159" s="153"/>
      <c r="TSP159" s="153"/>
      <c r="TSQ159" s="153"/>
      <c r="TSR159" s="153"/>
      <c r="TSS159" s="153"/>
      <c r="TST159" s="153"/>
      <c r="TSU159" s="153"/>
      <c r="TSV159" s="153"/>
      <c r="TSW159" s="153"/>
      <c r="TSX159" s="153"/>
      <c r="TSY159" s="153"/>
      <c r="TSZ159" s="153"/>
      <c r="TTA159" s="153"/>
      <c r="TTB159" s="153"/>
      <c r="TTC159" s="153"/>
      <c r="TTD159" s="153"/>
      <c r="TTE159" s="153"/>
      <c r="TTF159" s="153"/>
      <c r="TTG159" s="153"/>
      <c r="TTH159" s="153"/>
      <c r="TTI159" s="153"/>
      <c r="TTJ159" s="153"/>
      <c r="TTK159" s="153"/>
      <c r="TTL159" s="153"/>
      <c r="TTM159" s="153"/>
      <c r="TTN159" s="153"/>
      <c r="TTO159" s="153"/>
      <c r="TTP159" s="153"/>
      <c r="TTQ159" s="153"/>
      <c r="TTR159" s="153"/>
      <c r="TTS159" s="153"/>
      <c r="TTT159" s="153"/>
      <c r="TTU159" s="153"/>
      <c r="TTV159" s="153"/>
      <c r="TTW159" s="153"/>
      <c r="TTX159" s="153"/>
      <c r="TTY159" s="153"/>
      <c r="TTZ159" s="153"/>
      <c r="TUA159" s="153"/>
      <c r="TUB159" s="153"/>
      <c r="TUC159" s="153"/>
      <c r="TUD159" s="153"/>
      <c r="TUE159" s="153"/>
      <c r="TUF159" s="153"/>
      <c r="TUG159" s="153"/>
      <c r="TUH159" s="153"/>
      <c r="TUI159" s="153"/>
      <c r="TUJ159" s="153"/>
      <c r="TUK159" s="153"/>
      <c r="TUL159" s="153"/>
      <c r="TUM159" s="153"/>
      <c r="TUN159" s="153"/>
      <c r="TUO159" s="153"/>
      <c r="TUP159" s="153"/>
      <c r="TUQ159" s="153"/>
      <c r="TUR159" s="153"/>
      <c r="TUS159" s="153"/>
      <c r="TUT159" s="153"/>
      <c r="TUU159" s="153"/>
      <c r="TUV159" s="153"/>
      <c r="TUW159" s="153"/>
      <c r="TUX159" s="153"/>
      <c r="TUY159" s="153"/>
      <c r="TUZ159" s="153"/>
      <c r="TVA159" s="153"/>
      <c r="TVB159" s="153"/>
      <c r="TVC159" s="153"/>
      <c r="TVD159" s="153"/>
      <c r="TVE159" s="153"/>
      <c r="TVF159" s="153"/>
      <c r="TVG159" s="153"/>
      <c r="TVH159" s="153"/>
      <c r="TVI159" s="153"/>
      <c r="TVJ159" s="153"/>
      <c r="TVK159" s="153"/>
      <c r="TVL159" s="153"/>
      <c r="TVM159" s="153"/>
      <c r="TVN159" s="153"/>
      <c r="TVO159" s="153"/>
      <c r="TVP159" s="153"/>
      <c r="TVQ159" s="153"/>
      <c r="TVR159" s="153"/>
      <c r="TVS159" s="153"/>
      <c r="TVT159" s="153"/>
      <c r="TVU159" s="153"/>
      <c r="TVV159" s="153"/>
      <c r="TVW159" s="153"/>
      <c r="TVX159" s="153"/>
      <c r="TVY159" s="153"/>
      <c r="TVZ159" s="153"/>
      <c r="TWA159" s="153"/>
      <c r="TWB159" s="153"/>
      <c r="TWC159" s="153"/>
      <c r="TWD159" s="153"/>
      <c r="TWE159" s="153"/>
      <c r="TWF159" s="153"/>
      <c r="TWG159" s="153"/>
      <c r="TWH159" s="153"/>
      <c r="TWI159" s="153"/>
      <c r="TWJ159" s="153"/>
      <c r="TWK159" s="153"/>
      <c r="TWL159" s="153"/>
      <c r="TWM159" s="153"/>
      <c r="TWN159" s="153"/>
      <c r="TWO159" s="153"/>
      <c r="TWP159" s="153"/>
      <c r="TWQ159" s="153"/>
      <c r="TWR159" s="153"/>
      <c r="TWS159" s="153"/>
      <c r="TWT159" s="153"/>
      <c r="TWU159" s="153"/>
      <c r="TWV159" s="153"/>
      <c r="TWW159" s="153"/>
      <c r="TWX159" s="153"/>
      <c r="TWY159" s="153"/>
      <c r="TWZ159" s="153"/>
      <c r="TXA159" s="153"/>
      <c r="TXB159" s="153"/>
      <c r="TXC159" s="153"/>
      <c r="TXD159" s="153"/>
      <c r="TXE159" s="153"/>
      <c r="TXF159" s="153"/>
      <c r="TXG159" s="153"/>
      <c r="TXH159" s="153"/>
      <c r="TXI159" s="153"/>
      <c r="TXJ159" s="153"/>
      <c r="TXK159" s="153"/>
      <c r="TXL159" s="153"/>
      <c r="TXM159" s="153"/>
      <c r="TXN159" s="153"/>
      <c r="TXO159" s="153"/>
      <c r="TXP159" s="153"/>
      <c r="TXQ159" s="153"/>
      <c r="TXR159" s="153"/>
      <c r="TXS159" s="153"/>
      <c r="TXT159" s="153"/>
      <c r="TXU159" s="153"/>
      <c r="TXV159" s="153"/>
      <c r="TXW159" s="153"/>
      <c r="TXX159" s="153"/>
      <c r="TXY159" s="153"/>
      <c r="TXZ159" s="153"/>
      <c r="TYA159" s="153"/>
      <c r="TYB159" s="153"/>
      <c r="TYC159" s="153"/>
      <c r="TYD159" s="153"/>
      <c r="TYE159" s="153"/>
      <c r="TYF159" s="153"/>
      <c r="TYG159" s="153"/>
      <c r="TYH159" s="153"/>
      <c r="TYI159" s="153"/>
      <c r="TYJ159" s="153"/>
      <c r="TYK159" s="153"/>
      <c r="TYL159" s="153"/>
      <c r="TYM159" s="153"/>
      <c r="TYN159" s="153"/>
      <c r="TYO159" s="153"/>
      <c r="TYP159" s="153"/>
      <c r="TYQ159" s="153"/>
      <c r="TYR159" s="153"/>
      <c r="TYS159" s="153"/>
      <c r="TYT159" s="153"/>
      <c r="TYU159" s="153"/>
      <c r="TYV159" s="153"/>
      <c r="TYW159" s="153"/>
      <c r="TYX159" s="153"/>
      <c r="TYY159" s="153"/>
      <c r="TYZ159" s="153"/>
      <c r="TZA159" s="153"/>
      <c r="TZB159" s="153"/>
      <c r="TZC159" s="153"/>
      <c r="TZD159" s="153"/>
      <c r="TZE159" s="153"/>
      <c r="TZF159" s="153"/>
      <c r="TZG159" s="153"/>
      <c r="TZH159" s="153"/>
      <c r="TZI159" s="153"/>
      <c r="TZJ159" s="153"/>
      <c r="TZK159" s="153"/>
      <c r="TZL159" s="153"/>
      <c r="TZM159" s="153"/>
      <c r="TZN159" s="153"/>
      <c r="TZO159" s="153"/>
      <c r="TZP159" s="153"/>
      <c r="TZQ159" s="153"/>
      <c r="TZR159" s="153"/>
      <c r="TZS159" s="153"/>
      <c r="TZT159" s="153"/>
      <c r="TZU159" s="153"/>
      <c r="TZV159" s="153"/>
      <c r="TZW159" s="153"/>
      <c r="TZX159" s="153"/>
      <c r="TZY159" s="153"/>
      <c r="TZZ159" s="153"/>
      <c r="UAA159" s="153"/>
      <c r="UAB159" s="153"/>
      <c r="UAC159" s="153"/>
      <c r="UAD159" s="153"/>
      <c r="UAE159" s="153"/>
      <c r="UAF159" s="153"/>
      <c r="UAG159" s="153"/>
      <c r="UAH159" s="153"/>
      <c r="UAI159" s="153"/>
      <c r="UAJ159" s="153"/>
      <c r="UAK159" s="153"/>
      <c r="UAL159" s="153"/>
      <c r="UAM159" s="153"/>
      <c r="UAN159" s="153"/>
      <c r="UAO159" s="153"/>
      <c r="UAP159" s="153"/>
      <c r="UAQ159" s="153"/>
      <c r="UAR159" s="153"/>
      <c r="UAS159" s="153"/>
      <c r="UAT159" s="153"/>
      <c r="UAU159" s="153"/>
      <c r="UAV159" s="153"/>
      <c r="UAW159" s="153"/>
      <c r="UAX159" s="153"/>
      <c r="UAY159" s="153"/>
      <c r="UAZ159" s="153"/>
      <c r="UBA159" s="153"/>
      <c r="UBB159" s="153"/>
      <c r="UBC159" s="153"/>
      <c r="UBD159" s="153"/>
      <c r="UBE159" s="153"/>
      <c r="UBF159" s="153"/>
      <c r="UBG159" s="153"/>
      <c r="UBH159" s="153"/>
      <c r="UBI159" s="153"/>
      <c r="UBJ159" s="153"/>
      <c r="UBK159" s="153"/>
      <c r="UBL159" s="153"/>
      <c r="UBM159" s="153"/>
      <c r="UBN159" s="153"/>
      <c r="UBO159" s="153"/>
      <c r="UBP159" s="153"/>
      <c r="UBQ159" s="153"/>
      <c r="UBR159" s="153"/>
      <c r="UBS159" s="153"/>
      <c r="UBT159" s="153"/>
      <c r="UBU159" s="153"/>
      <c r="UBV159" s="153"/>
      <c r="UBW159" s="153"/>
      <c r="UBX159" s="153"/>
      <c r="UBY159" s="153"/>
      <c r="UBZ159" s="153"/>
      <c r="UCA159" s="153"/>
      <c r="UCB159" s="153"/>
      <c r="UCC159" s="153"/>
      <c r="UCD159" s="153"/>
      <c r="UCE159" s="153"/>
      <c r="UCF159" s="153"/>
      <c r="UCG159" s="153"/>
      <c r="UCH159" s="153"/>
      <c r="UCI159" s="153"/>
      <c r="UCJ159" s="153"/>
      <c r="UCK159" s="153"/>
      <c r="UCL159" s="153"/>
      <c r="UCM159" s="153"/>
      <c r="UCN159" s="153"/>
      <c r="UCO159" s="153"/>
      <c r="UCP159" s="153"/>
      <c r="UCQ159" s="153"/>
      <c r="UCR159" s="153"/>
      <c r="UCS159" s="153"/>
      <c r="UCT159" s="153"/>
      <c r="UCU159" s="153"/>
      <c r="UCV159" s="153"/>
      <c r="UCW159" s="153"/>
      <c r="UCX159" s="153"/>
      <c r="UCY159" s="153"/>
      <c r="UCZ159" s="153"/>
      <c r="UDA159" s="153"/>
      <c r="UDB159" s="153"/>
      <c r="UDC159" s="153"/>
      <c r="UDD159" s="153"/>
      <c r="UDE159" s="153"/>
      <c r="UDF159" s="153"/>
      <c r="UDG159" s="153"/>
      <c r="UDH159" s="153"/>
      <c r="UDI159" s="153"/>
      <c r="UDJ159" s="153"/>
      <c r="UDK159" s="153"/>
      <c r="UDL159" s="153"/>
      <c r="UDM159" s="153"/>
      <c r="UDN159" s="153"/>
      <c r="UDO159" s="153"/>
      <c r="UDP159" s="153"/>
      <c r="UDQ159" s="153"/>
      <c r="UDR159" s="153"/>
      <c r="UDS159" s="153"/>
      <c r="UDT159" s="153"/>
      <c r="UDU159" s="153"/>
      <c r="UDV159" s="153"/>
      <c r="UDW159" s="153"/>
      <c r="UDX159" s="153"/>
      <c r="UDY159" s="153"/>
      <c r="UDZ159" s="153"/>
      <c r="UEA159" s="153"/>
      <c r="UEB159" s="153"/>
      <c r="UEC159" s="153"/>
      <c r="UED159" s="153"/>
      <c r="UEE159" s="153"/>
      <c r="UEF159" s="153"/>
      <c r="UEG159" s="153"/>
      <c r="UEH159" s="153"/>
      <c r="UEI159" s="153"/>
      <c r="UEJ159" s="153"/>
      <c r="UEK159" s="153"/>
      <c r="UEL159" s="153"/>
      <c r="UEM159" s="153"/>
      <c r="UEN159" s="153"/>
      <c r="UEO159" s="153"/>
      <c r="UEP159" s="153"/>
      <c r="UEQ159" s="153"/>
      <c r="UER159" s="153"/>
      <c r="UES159" s="153"/>
      <c r="UET159" s="153"/>
      <c r="UEU159" s="153"/>
      <c r="UEV159" s="153"/>
      <c r="UEW159" s="153"/>
      <c r="UEX159" s="153"/>
      <c r="UEY159" s="153"/>
      <c r="UEZ159" s="153"/>
      <c r="UFA159" s="153"/>
      <c r="UFB159" s="153"/>
      <c r="UFC159" s="153"/>
      <c r="UFD159" s="153"/>
      <c r="UFE159" s="153"/>
      <c r="UFF159" s="153"/>
      <c r="UFG159" s="153"/>
      <c r="UFH159" s="153"/>
      <c r="UFI159" s="153"/>
      <c r="UFJ159" s="153"/>
      <c r="UFK159" s="153"/>
      <c r="UFL159" s="153"/>
      <c r="UFM159" s="153"/>
      <c r="UFN159" s="153"/>
      <c r="UFO159" s="153"/>
      <c r="UFP159" s="153"/>
      <c r="UFQ159" s="153"/>
      <c r="UFR159" s="153"/>
      <c r="UFS159" s="153"/>
      <c r="UFT159" s="153"/>
      <c r="UFU159" s="153"/>
      <c r="UFV159" s="153"/>
      <c r="UFW159" s="153"/>
      <c r="UFX159" s="153"/>
      <c r="UFY159" s="153"/>
      <c r="UFZ159" s="153"/>
      <c r="UGA159" s="153"/>
      <c r="UGB159" s="153"/>
      <c r="UGC159" s="153"/>
      <c r="UGD159" s="153"/>
      <c r="UGE159" s="153"/>
      <c r="UGF159" s="153"/>
      <c r="UGG159" s="153"/>
      <c r="UGH159" s="153"/>
      <c r="UGI159" s="153"/>
      <c r="UGJ159" s="153"/>
      <c r="UGK159" s="153"/>
      <c r="UGL159" s="153"/>
      <c r="UGM159" s="153"/>
      <c r="UGN159" s="153"/>
      <c r="UGO159" s="153"/>
      <c r="UGP159" s="153"/>
      <c r="UGQ159" s="153"/>
      <c r="UGR159" s="153"/>
      <c r="UGS159" s="153"/>
      <c r="UGT159" s="153"/>
      <c r="UGU159" s="153"/>
      <c r="UGV159" s="153"/>
      <c r="UGW159" s="153"/>
      <c r="UGX159" s="153"/>
      <c r="UGY159" s="153"/>
      <c r="UGZ159" s="153"/>
      <c r="UHA159" s="153"/>
      <c r="UHB159" s="153"/>
      <c r="UHC159" s="153"/>
      <c r="UHD159" s="153"/>
      <c r="UHE159" s="153"/>
      <c r="UHF159" s="153"/>
      <c r="UHG159" s="153"/>
      <c r="UHH159" s="153"/>
      <c r="UHI159" s="153"/>
      <c r="UHJ159" s="153"/>
      <c r="UHK159" s="153"/>
      <c r="UHL159" s="153"/>
      <c r="UHM159" s="153"/>
      <c r="UHN159" s="153"/>
      <c r="UHO159" s="153"/>
      <c r="UHP159" s="153"/>
      <c r="UHQ159" s="153"/>
      <c r="UHR159" s="153"/>
      <c r="UHS159" s="153"/>
      <c r="UHT159" s="153"/>
      <c r="UHU159" s="153"/>
      <c r="UHV159" s="153"/>
      <c r="UHW159" s="153"/>
      <c r="UHX159" s="153"/>
      <c r="UHY159" s="153"/>
      <c r="UHZ159" s="153"/>
      <c r="UIA159" s="153"/>
      <c r="UIB159" s="153"/>
      <c r="UIC159" s="153"/>
      <c r="UID159" s="153"/>
      <c r="UIE159" s="153"/>
      <c r="UIF159" s="153"/>
      <c r="UIG159" s="153"/>
      <c r="UIH159" s="153"/>
      <c r="UII159" s="153"/>
      <c r="UIJ159" s="153"/>
      <c r="UIK159" s="153"/>
      <c r="UIL159" s="153"/>
      <c r="UIM159" s="153"/>
      <c r="UIN159" s="153"/>
      <c r="UIO159" s="153"/>
      <c r="UIP159" s="153"/>
      <c r="UIQ159" s="153"/>
      <c r="UIR159" s="153"/>
      <c r="UIS159" s="153"/>
      <c r="UIT159" s="153"/>
      <c r="UIU159" s="153"/>
      <c r="UIV159" s="153"/>
      <c r="UIW159" s="153"/>
      <c r="UIX159" s="153"/>
      <c r="UIY159" s="153"/>
      <c r="UIZ159" s="153"/>
      <c r="UJA159" s="153"/>
      <c r="UJB159" s="153"/>
      <c r="UJC159" s="153"/>
      <c r="UJD159" s="153"/>
      <c r="UJE159" s="153"/>
      <c r="UJF159" s="153"/>
      <c r="UJG159" s="153"/>
      <c r="UJH159" s="153"/>
      <c r="UJI159" s="153"/>
      <c r="UJJ159" s="153"/>
      <c r="UJK159" s="153"/>
      <c r="UJL159" s="153"/>
      <c r="UJM159" s="153"/>
      <c r="UJN159" s="153"/>
      <c r="UJO159" s="153"/>
      <c r="UJP159" s="153"/>
      <c r="UJQ159" s="153"/>
      <c r="UJR159" s="153"/>
      <c r="UJS159" s="153"/>
      <c r="UJT159" s="153"/>
      <c r="UJU159" s="153"/>
      <c r="UJV159" s="153"/>
      <c r="UJW159" s="153"/>
      <c r="UJX159" s="153"/>
      <c r="UJY159" s="153"/>
      <c r="UJZ159" s="153"/>
      <c r="UKA159" s="153"/>
      <c r="UKB159" s="153"/>
      <c r="UKC159" s="153"/>
      <c r="UKD159" s="153"/>
      <c r="UKE159" s="153"/>
      <c r="UKF159" s="153"/>
      <c r="UKG159" s="153"/>
      <c r="UKH159" s="153"/>
      <c r="UKI159" s="153"/>
      <c r="UKJ159" s="153"/>
      <c r="UKK159" s="153"/>
      <c r="UKL159" s="153"/>
      <c r="UKM159" s="153"/>
      <c r="UKN159" s="153"/>
      <c r="UKO159" s="153"/>
      <c r="UKP159" s="153"/>
      <c r="UKQ159" s="153"/>
      <c r="UKR159" s="153"/>
      <c r="UKS159" s="153"/>
      <c r="UKT159" s="153"/>
      <c r="UKU159" s="153"/>
      <c r="UKV159" s="153"/>
      <c r="UKW159" s="153"/>
      <c r="UKX159" s="153"/>
      <c r="UKY159" s="153"/>
      <c r="UKZ159" s="153"/>
      <c r="ULA159" s="153"/>
      <c r="ULB159" s="153"/>
      <c r="ULC159" s="153"/>
      <c r="ULD159" s="153"/>
      <c r="ULE159" s="153"/>
      <c r="ULF159" s="153"/>
      <c r="ULG159" s="153"/>
      <c r="ULH159" s="153"/>
      <c r="ULI159" s="153"/>
      <c r="ULJ159" s="153"/>
      <c r="ULK159" s="153"/>
      <c r="ULL159" s="153"/>
      <c r="ULM159" s="153"/>
      <c r="ULN159" s="153"/>
      <c r="ULO159" s="153"/>
      <c r="ULP159" s="153"/>
      <c r="ULQ159" s="153"/>
      <c r="ULR159" s="153"/>
      <c r="ULS159" s="153"/>
      <c r="ULT159" s="153"/>
      <c r="ULU159" s="153"/>
      <c r="ULV159" s="153"/>
      <c r="ULW159" s="153"/>
      <c r="ULX159" s="153"/>
      <c r="ULY159" s="153"/>
      <c r="ULZ159" s="153"/>
      <c r="UMA159" s="153"/>
      <c r="UMB159" s="153"/>
      <c r="UMC159" s="153"/>
      <c r="UMD159" s="153"/>
      <c r="UME159" s="153"/>
      <c r="UMF159" s="153"/>
      <c r="UMG159" s="153"/>
      <c r="UMH159" s="153"/>
      <c r="UMI159" s="153"/>
      <c r="UMJ159" s="153"/>
      <c r="UMK159" s="153"/>
      <c r="UML159" s="153"/>
      <c r="UMM159" s="153"/>
      <c r="UMN159" s="153"/>
      <c r="UMO159" s="153"/>
      <c r="UMP159" s="153"/>
      <c r="UMQ159" s="153"/>
      <c r="UMR159" s="153"/>
      <c r="UMS159" s="153"/>
      <c r="UMT159" s="153"/>
      <c r="UMU159" s="153"/>
      <c r="UMV159" s="153"/>
      <c r="UMW159" s="153"/>
      <c r="UMX159" s="153"/>
      <c r="UMY159" s="153"/>
      <c r="UMZ159" s="153"/>
      <c r="UNA159" s="153"/>
      <c r="UNB159" s="153"/>
      <c r="UNC159" s="153"/>
      <c r="UND159" s="153"/>
      <c r="UNE159" s="153"/>
      <c r="UNF159" s="153"/>
      <c r="UNG159" s="153"/>
      <c r="UNH159" s="153"/>
      <c r="UNI159" s="153"/>
      <c r="UNJ159" s="153"/>
      <c r="UNK159" s="153"/>
      <c r="UNL159" s="153"/>
      <c r="UNM159" s="153"/>
      <c r="UNN159" s="153"/>
      <c r="UNO159" s="153"/>
      <c r="UNP159" s="153"/>
      <c r="UNQ159" s="153"/>
      <c r="UNR159" s="153"/>
      <c r="UNS159" s="153"/>
      <c r="UNT159" s="153"/>
      <c r="UNU159" s="153"/>
      <c r="UNV159" s="153"/>
      <c r="UNW159" s="153"/>
      <c r="UNX159" s="153"/>
      <c r="UNY159" s="153"/>
      <c r="UNZ159" s="153"/>
      <c r="UOA159" s="153"/>
      <c r="UOB159" s="153"/>
      <c r="UOC159" s="153"/>
      <c r="UOD159" s="153"/>
      <c r="UOE159" s="153"/>
      <c r="UOF159" s="153"/>
      <c r="UOG159" s="153"/>
      <c r="UOH159" s="153"/>
      <c r="UOI159" s="153"/>
      <c r="UOJ159" s="153"/>
      <c r="UOK159" s="153"/>
      <c r="UOL159" s="153"/>
      <c r="UOM159" s="153"/>
      <c r="UON159" s="153"/>
      <c r="UOO159" s="153"/>
      <c r="UOP159" s="153"/>
      <c r="UOQ159" s="153"/>
      <c r="UOR159" s="153"/>
      <c r="UOS159" s="153"/>
      <c r="UOT159" s="153"/>
      <c r="UOU159" s="153"/>
      <c r="UOV159" s="153"/>
      <c r="UOW159" s="153"/>
      <c r="UOX159" s="153"/>
      <c r="UOY159" s="153"/>
      <c r="UOZ159" s="153"/>
      <c r="UPA159" s="153"/>
      <c r="UPB159" s="153"/>
      <c r="UPC159" s="153"/>
      <c r="UPD159" s="153"/>
      <c r="UPE159" s="153"/>
      <c r="UPF159" s="153"/>
      <c r="UPG159" s="153"/>
      <c r="UPH159" s="153"/>
      <c r="UPI159" s="153"/>
      <c r="UPJ159" s="153"/>
      <c r="UPK159" s="153"/>
      <c r="UPL159" s="153"/>
      <c r="UPM159" s="153"/>
      <c r="UPN159" s="153"/>
      <c r="UPO159" s="153"/>
      <c r="UPP159" s="153"/>
      <c r="UPQ159" s="153"/>
      <c r="UPR159" s="153"/>
      <c r="UPS159" s="153"/>
      <c r="UPT159" s="153"/>
      <c r="UPU159" s="153"/>
      <c r="UPV159" s="153"/>
      <c r="UPW159" s="153"/>
      <c r="UPX159" s="153"/>
      <c r="UPY159" s="153"/>
      <c r="UPZ159" s="153"/>
      <c r="UQA159" s="153"/>
      <c r="UQB159" s="153"/>
      <c r="UQC159" s="153"/>
      <c r="UQD159" s="153"/>
      <c r="UQE159" s="153"/>
      <c r="UQF159" s="153"/>
      <c r="UQG159" s="153"/>
      <c r="UQH159" s="153"/>
      <c r="UQI159" s="153"/>
      <c r="UQJ159" s="153"/>
      <c r="UQK159" s="153"/>
      <c r="UQL159" s="153"/>
      <c r="UQM159" s="153"/>
      <c r="UQN159" s="153"/>
      <c r="UQO159" s="153"/>
      <c r="UQP159" s="153"/>
      <c r="UQQ159" s="153"/>
      <c r="UQR159" s="153"/>
      <c r="UQS159" s="153"/>
      <c r="UQT159" s="153"/>
      <c r="UQU159" s="153"/>
      <c r="UQV159" s="153"/>
      <c r="UQW159" s="153"/>
      <c r="UQX159" s="153"/>
      <c r="UQY159" s="153"/>
      <c r="UQZ159" s="153"/>
      <c r="URA159" s="153"/>
      <c r="URB159" s="153"/>
      <c r="URC159" s="153"/>
      <c r="URD159" s="153"/>
      <c r="URE159" s="153"/>
      <c r="URF159" s="153"/>
      <c r="URG159" s="153"/>
      <c r="URH159" s="153"/>
      <c r="URI159" s="153"/>
      <c r="URJ159" s="153"/>
      <c r="URK159" s="153"/>
      <c r="URL159" s="153"/>
      <c r="URM159" s="153"/>
      <c r="URN159" s="153"/>
      <c r="URO159" s="153"/>
      <c r="URP159" s="153"/>
      <c r="URQ159" s="153"/>
      <c r="URR159" s="153"/>
      <c r="URS159" s="153"/>
      <c r="URT159" s="153"/>
      <c r="URU159" s="153"/>
      <c r="URV159" s="153"/>
      <c r="URW159" s="153"/>
      <c r="URX159" s="153"/>
      <c r="URY159" s="153"/>
      <c r="URZ159" s="153"/>
      <c r="USA159" s="153"/>
      <c r="USB159" s="153"/>
      <c r="USC159" s="153"/>
      <c r="USD159" s="153"/>
      <c r="USE159" s="153"/>
      <c r="USF159" s="153"/>
      <c r="USG159" s="153"/>
      <c r="USH159" s="153"/>
      <c r="USI159" s="153"/>
      <c r="USJ159" s="153"/>
      <c r="USK159" s="153"/>
      <c r="USL159" s="153"/>
      <c r="USM159" s="153"/>
      <c r="USN159" s="153"/>
      <c r="USO159" s="153"/>
      <c r="USP159" s="153"/>
      <c r="USQ159" s="153"/>
      <c r="USR159" s="153"/>
      <c r="USS159" s="153"/>
      <c r="UST159" s="153"/>
      <c r="USU159" s="153"/>
      <c r="USV159" s="153"/>
      <c r="USW159" s="153"/>
      <c r="USX159" s="153"/>
      <c r="USY159" s="153"/>
      <c r="USZ159" s="153"/>
      <c r="UTA159" s="153"/>
      <c r="UTB159" s="153"/>
      <c r="UTC159" s="153"/>
      <c r="UTD159" s="153"/>
      <c r="UTE159" s="153"/>
      <c r="UTF159" s="153"/>
      <c r="UTG159" s="153"/>
      <c r="UTH159" s="153"/>
      <c r="UTI159" s="153"/>
      <c r="UTJ159" s="153"/>
      <c r="UTK159" s="153"/>
      <c r="UTL159" s="153"/>
      <c r="UTM159" s="153"/>
      <c r="UTN159" s="153"/>
      <c r="UTO159" s="153"/>
      <c r="UTP159" s="153"/>
      <c r="UTQ159" s="153"/>
      <c r="UTR159" s="153"/>
      <c r="UTS159" s="153"/>
      <c r="UTT159" s="153"/>
      <c r="UTU159" s="153"/>
      <c r="UTV159" s="153"/>
      <c r="UTW159" s="153"/>
      <c r="UTX159" s="153"/>
      <c r="UTY159" s="153"/>
      <c r="UTZ159" s="153"/>
      <c r="UUA159" s="153"/>
      <c r="UUB159" s="153"/>
      <c r="UUC159" s="153"/>
      <c r="UUD159" s="153"/>
      <c r="UUE159" s="153"/>
      <c r="UUF159" s="153"/>
      <c r="UUG159" s="153"/>
      <c r="UUH159" s="153"/>
      <c r="UUI159" s="153"/>
      <c r="UUJ159" s="153"/>
      <c r="UUK159" s="153"/>
      <c r="UUL159" s="153"/>
      <c r="UUM159" s="153"/>
      <c r="UUN159" s="153"/>
      <c r="UUO159" s="153"/>
      <c r="UUP159" s="153"/>
      <c r="UUQ159" s="153"/>
      <c r="UUR159" s="153"/>
      <c r="UUS159" s="153"/>
      <c r="UUT159" s="153"/>
      <c r="UUU159" s="153"/>
      <c r="UUV159" s="153"/>
      <c r="UUW159" s="153"/>
      <c r="UUX159" s="153"/>
      <c r="UUY159" s="153"/>
      <c r="UUZ159" s="153"/>
      <c r="UVA159" s="153"/>
      <c r="UVB159" s="153"/>
      <c r="UVC159" s="153"/>
      <c r="UVD159" s="153"/>
      <c r="UVE159" s="153"/>
      <c r="UVF159" s="153"/>
      <c r="UVG159" s="153"/>
      <c r="UVH159" s="153"/>
      <c r="UVI159" s="153"/>
      <c r="UVJ159" s="153"/>
      <c r="UVK159" s="153"/>
      <c r="UVL159" s="153"/>
      <c r="UVM159" s="153"/>
      <c r="UVN159" s="153"/>
      <c r="UVO159" s="153"/>
      <c r="UVP159" s="153"/>
      <c r="UVQ159" s="153"/>
      <c r="UVR159" s="153"/>
      <c r="UVS159" s="153"/>
      <c r="UVT159" s="153"/>
      <c r="UVU159" s="153"/>
      <c r="UVV159" s="153"/>
      <c r="UVW159" s="153"/>
      <c r="UVX159" s="153"/>
      <c r="UVY159" s="153"/>
      <c r="UVZ159" s="153"/>
      <c r="UWA159" s="153"/>
      <c r="UWB159" s="153"/>
      <c r="UWC159" s="153"/>
      <c r="UWD159" s="153"/>
      <c r="UWE159" s="153"/>
      <c r="UWF159" s="153"/>
      <c r="UWG159" s="153"/>
      <c r="UWH159" s="153"/>
      <c r="UWI159" s="153"/>
      <c r="UWJ159" s="153"/>
      <c r="UWK159" s="153"/>
      <c r="UWL159" s="153"/>
      <c r="UWM159" s="153"/>
      <c r="UWN159" s="153"/>
      <c r="UWO159" s="153"/>
      <c r="UWP159" s="153"/>
      <c r="UWQ159" s="153"/>
      <c r="UWR159" s="153"/>
      <c r="UWS159" s="153"/>
      <c r="UWT159" s="153"/>
      <c r="UWU159" s="153"/>
      <c r="UWV159" s="153"/>
      <c r="UWW159" s="153"/>
      <c r="UWX159" s="153"/>
      <c r="UWY159" s="153"/>
      <c r="UWZ159" s="153"/>
      <c r="UXA159" s="153"/>
      <c r="UXB159" s="153"/>
      <c r="UXC159" s="153"/>
      <c r="UXD159" s="153"/>
      <c r="UXE159" s="153"/>
      <c r="UXF159" s="153"/>
      <c r="UXG159" s="153"/>
      <c r="UXH159" s="153"/>
      <c r="UXI159" s="153"/>
      <c r="UXJ159" s="153"/>
      <c r="UXK159" s="153"/>
      <c r="UXL159" s="153"/>
      <c r="UXM159" s="153"/>
      <c r="UXN159" s="153"/>
      <c r="UXO159" s="153"/>
      <c r="UXP159" s="153"/>
      <c r="UXQ159" s="153"/>
      <c r="UXR159" s="153"/>
      <c r="UXS159" s="153"/>
      <c r="UXT159" s="153"/>
      <c r="UXU159" s="153"/>
      <c r="UXV159" s="153"/>
      <c r="UXW159" s="153"/>
      <c r="UXX159" s="153"/>
      <c r="UXY159" s="153"/>
      <c r="UXZ159" s="153"/>
      <c r="UYA159" s="153"/>
      <c r="UYB159" s="153"/>
      <c r="UYC159" s="153"/>
      <c r="UYD159" s="153"/>
      <c r="UYE159" s="153"/>
      <c r="UYF159" s="153"/>
      <c r="UYG159" s="153"/>
      <c r="UYH159" s="153"/>
      <c r="UYI159" s="153"/>
      <c r="UYJ159" s="153"/>
      <c r="UYK159" s="153"/>
      <c r="UYL159" s="153"/>
      <c r="UYM159" s="153"/>
      <c r="UYN159" s="153"/>
      <c r="UYO159" s="153"/>
      <c r="UYP159" s="153"/>
      <c r="UYQ159" s="153"/>
      <c r="UYR159" s="153"/>
      <c r="UYS159" s="153"/>
      <c r="UYT159" s="153"/>
      <c r="UYU159" s="153"/>
      <c r="UYV159" s="153"/>
      <c r="UYW159" s="153"/>
      <c r="UYX159" s="153"/>
      <c r="UYY159" s="153"/>
      <c r="UYZ159" s="153"/>
      <c r="UZA159" s="153"/>
      <c r="UZB159" s="153"/>
      <c r="UZC159" s="153"/>
      <c r="UZD159" s="153"/>
      <c r="UZE159" s="153"/>
      <c r="UZF159" s="153"/>
      <c r="UZG159" s="153"/>
      <c r="UZH159" s="153"/>
      <c r="UZI159" s="153"/>
      <c r="UZJ159" s="153"/>
      <c r="UZK159" s="153"/>
      <c r="UZL159" s="153"/>
      <c r="UZM159" s="153"/>
      <c r="UZN159" s="153"/>
      <c r="UZO159" s="153"/>
      <c r="UZP159" s="153"/>
      <c r="UZQ159" s="153"/>
      <c r="UZR159" s="153"/>
      <c r="UZS159" s="153"/>
      <c r="UZT159" s="153"/>
      <c r="UZU159" s="153"/>
      <c r="UZV159" s="153"/>
      <c r="UZW159" s="153"/>
      <c r="UZX159" s="153"/>
      <c r="UZY159" s="153"/>
      <c r="UZZ159" s="153"/>
      <c r="VAA159" s="153"/>
      <c r="VAB159" s="153"/>
      <c r="VAC159" s="153"/>
      <c r="VAD159" s="153"/>
      <c r="VAE159" s="153"/>
      <c r="VAF159" s="153"/>
      <c r="VAG159" s="153"/>
      <c r="VAH159" s="153"/>
      <c r="VAI159" s="153"/>
      <c r="VAJ159" s="153"/>
      <c r="VAK159" s="153"/>
      <c r="VAL159" s="153"/>
      <c r="VAM159" s="153"/>
      <c r="VAN159" s="153"/>
      <c r="VAO159" s="153"/>
      <c r="VAP159" s="153"/>
      <c r="VAQ159" s="153"/>
      <c r="VAR159" s="153"/>
      <c r="VAS159" s="153"/>
      <c r="VAT159" s="153"/>
      <c r="VAU159" s="153"/>
      <c r="VAV159" s="153"/>
      <c r="VAW159" s="153"/>
      <c r="VAX159" s="153"/>
      <c r="VAY159" s="153"/>
      <c r="VAZ159" s="153"/>
      <c r="VBA159" s="153"/>
      <c r="VBB159" s="153"/>
      <c r="VBC159" s="153"/>
      <c r="VBD159" s="153"/>
      <c r="VBE159" s="153"/>
      <c r="VBF159" s="153"/>
      <c r="VBG159" s="153"/>
      <c r="VBH159" s="153"/>
      <c r="VBI159" s="153"/>
      <c r="VBJ159" s="153"/>
      <c r="VBK159" s="153"/>
      <c r="VBL159" s="153"/>
      <c r="VBM159" s="153"/>
      <c r="VBN159" s="153"/>
      <c r="VBO159" s="153"/>
      <c r="VBP159" s="153"/>
      <c r="VBQ159" s="153"/>
      <c r="VBR159" s="153"/>
      <c r="VBS159" s="153"/>
      <c r="VBT159" s="153"/>
      <c r="VBU159" s="153"/>
      <c r="VBV159" s="153"/>
      <c r="VBW159" s="153"/>
      <c r="VBX159" s="153"/>
      <c r="VBY159" s="153"/>
      <c r="VBZ159" s="153"/>
      <c r="VCA159" s="153"/>
      <c r="VCB159" s="153"/>
      <c r="VCC159" s="153"/>
      <c r="VCD159" s="153"/>
      <c r="VCE159" s="153"/>
      <c r="VCF159" s="153"/>
      <c r="VCG159" s="153"/>
      <c r="VCH159" s="153"/>
      <c r="VCI159" s="153"/>
      <c r="VCJ159" s="153"/>
      <c r="VCK159" s="153"/>
      <c r="VCL159" s="153"/>
      <c r="VCM159" s="153"/>
      <c r="VCN159" s="153"/>
      <c r="VCO159" s="153"/>
      <c r="VCP159" s="153"/>
      <c r="VCQ159" s="153"/>
      <c r="VCR159" s="153"/>
      <c r="VCS159" s="153"/>
      <c r="VCT159" s="153"/>
      <c r="VCU159" s="153"/>
      <c r="VCV159" s="153"/>
      <c r="VCW159" s="153"/>
      <c r="VCX159" s="153"/>
      <c r="VCY159" s="153"/>
      <c r="VCZ159" s="153"/>
      <c r="VDA159" s="153"/>
      <c r="VDB159" s="153"/>
      <c r="VDC159" s="153"/>
      <c r="VDD159" s="153"/>
      <c r="VDE159" s="153"/>
      <c r="VDF159" s="153"/>
      <c r="VDG159" s="153"/>
      <c r="VDH159" s="153"/>
      <c r="VDI159" s="153"/>
      <c r="VDJ159" s="153"/>
      <c r="VDK159" s="153"/>
      <c r="VDL159" s="153"/>
      <c r="VDM159" s="153"/>
      <c r="VDN159" s="153"/>
      <c r="VDO159" s="153"/>
      <c r="VDP159" s="153"/>
      <c r="VDQ159" s="153"/>
      <c r="VDR159" s="153"/>
      <c r="VDS159" s="153"/>
      <c r="VDT159" s="153"/>
      <c r="VDU159" s="153"/>
      <c r="VDV159" s="153"/>
      <c r="VDW159" s="153"/>
      <c r="VDX159" s="153"/>
      <c r="VDY159" s="153"/>
      <c r="VDZ159" s="153"/>
      <c r="VEA159" s="153"/>
      <c r="VEB159" s="153"/>
      <c r="VEC159" s="153"/>
      <c r="VED159" s="153"/>
      <c r="VEE159" s="153"/>
      <c r="VEF159" s="153"/>
      <c r="VEG159" s="153"/>
      <c r="VEH159" s="153"/>
      <c r="VEI159" s="153"/>
      <c r="VEJ159" s="153"/>
      <c r="VEK159" s="153"/>
      <c r="VEL159" s="153"/>
      <c r="VEM159" s="153"/>
      <c r="VEN159" s="153"/>
      <c r="VEO159" s="153"/>
      <c r="VEP159" s="153"/>
      <c r="VEQ159" s="153"/>
      <c r="VER159" s="153"/>
      <c r="VES159" s="153"/>
      <c r="VET159" s="153"/>
      <c r="VEU159" s="153"/>
      <c r="VEV159" s="153"/>
      <c r="VEW159" s="153"/>
      <c r="VEX159" s="153"/>
      <c r="VEY159" s="153"/>
      <c r="VEZ159" s="153"/>
      <c r="VFA159" s="153"/>
      <c r="VFB159" s="153"/>
      <c r="VFC159" s="153"/>
      <c r="VFD159" s="153"/>
      <c r="VFE159" s="153"/>
      <c r="VFF159" s="153"/>
      <c r="VFG159" s="153"/>
      <c r="VFH159" s="153"/>
      <c r="VFI159" s="153"/>
      <c r="VFJ159" s="153"/>
      <c r="VFK159" s="153"/>
      <c r="VFL159" s="153"/>
      <c r="VFM159" s="153"/>
      <c r="VFN159" s="153"/>
      <c r="VFO159" s="153"/>
      <c r="VFP159" s="153"/>
      <c r="VFQ159" s="153"/>
      <c r="VFR159" s="153"/>
      <c r="VFS159" s="153"/>
      <c r="VFT159" s="153"/>
      <c r="VFU159" s="153"/>
      <c r="VFV159" s="153"/>
      <c r="VFW159" s="153"/>
      <c r="VFX159" s="153"/>
      <c r="VFY159" s="153"/>
      <c r="VFZ159" s="153"/>
      <c r="VGA159" s="153"/>
      <c r="VGB159" s="153"/>
      <c r="VGC159" s="153"/>
      <c r="VGD159" s="153"/>
      <c r="VGE159" s="153"/>
      <c r="VGF159" s="153"/>
      <c r="VGG159" s="153"/>
      <c r="VGH159" s="153"/>
      <c r="VGI159" s="153"/>
      <c r="VGJ159" s="153"/>
      <c r="VGK159" s="153"/>
      <c r="VGL159" s="153"/>
      <c r="VGM159" s="153"/>
      <c r="VGN159" s="153"/>
      <c r="VGO159" s="153"/>
      <c r="VGP159" s="153"/>
      <c r="VGQ159" s="153"/>
      <c r="VGR159" s="153"/>
      <c r="VGS159" s="153"/>
      <c r="VGT159" s="153"/>
      <c r="VGU159" s="153"/>
      <c r="VGV159" s="153"/>
      <c r="VGW159" s="153"/>
      <c r="VGX159" s="153"/>
      <c r="VGY159" s="153"/>
      <c r="VGZ159" s="153"/>
      <c r="VHA159" s="153"/>
      <c r="VHB159" s="153"/>
      <c r="VHC159" s="153"/>
      <c r="VHD159" s="153"/>
      <c r="VHE159" s="153"/>
      <c r="VHF159" s="153"/>
      <c r="VHG159" s="153"/>
      <c r="VHH159" s="153"/>
      <c r="VHI159" s="153"/>
      <c r="VHJ159" s="153"/>
      <c r="VHK159" s="153"/>
      <c r="VHL159" s="153"/>
      <c r="VHM159" s="153"/>
      <c r="VHN159" s="153"/>
      <c r="VHO159" s="153"/>
      <c r="VHP159" s="153"/>
      <c r="VHQ159" s="153"/>
      <c r="VHR159" s="153"/>
      <c r="VHS159" s="153"/>
      <c r="VHT159" s="153"/>
      <c r="VHU159" s="153"/>
      <c r="VHV159" s="153"/>
      <c r="VHW159" s="153"/>
      <c r="VHX159" s="153"/>
      <c r="VHY159" s="153"/>
      <c r="VHZ159" s="153"/>
      <c r="VIA159" s="153"/>
      <c r="VIB159" s="153"/>
      <c r="VIC159" s="153"/>
      <c r="VID159" s="153"/>
      <c r="VIE159" s="153"/>
      <c r="VIF159" s="153"/>
      <c r="VIG159" s="153"/>
      <c r="VIH159" s="153"/>
      <c r="VII159" s="153"/>
      <c r="VIJ159" s="153"/>
      <c r="VIK159" s="153"/>
      <c r="VIL159" s="153"/>
      <c r="VIM159" s="153"/>
      <c r="VIN159" s="153"/>
      <c r="VIO159" s="153"/>
      <c r="VIP159" s="153"/>
      <c r="VIQ159" s="153"/>
      <c r="VIR159" s="153"/>
      <c r="VIS159" s="153"/>
      <c r="VIT159" s="153"/>
      <c r="VIU159" s="153"/>
      <c r="VIV159" s="153"/>
      <c r="VIW159" s="153"/>
      <c r="VIX159" s="153"/>
      <c r="VIY159" s="153"/>
      <c r="VIZ159" s="153"/>
      <c r="VJA159" s="153"/>
      <c r="VJB159" s="153"/>
      <c r="VJC159" s="153"/>
      <c r="VJD159" s="153"/>
      <c r="VJE159" s="153"/>
      <c r="VJF159" s="153"/>
      <c r="VJG159" s="153"/>
      <c r="VJH159" s="153"/>
      <c r="VJI159" s="153"/>
      <c r="VJJ159" s="153"/>
      <c r="VJK159" s="153"/>
      <c r="VJL159" s="153"/>
      <c r="VJM159" s="153"/>
      <c r="VJN159" s="153"/>
      <c r="VJO159" s="153"/>
      <c r="VJP159" s="153"/>
      <c r="VJQ159" s="153"/>
      <c r="VJR159" s="153"/>
      <c r="VJS159" s="153"/>
      <c r="VJT159" s="153"/>
      <c r="VJU159" s="153"/>
      <c r="VJV159" s="153"/>
      <c r="VJW159" s="153"/>
      <c r="VJX159" s="153"/>
      <c r="VJY159" s="153"/>
      <c r="VJZ159" s="153"/>
      <c r="VKA159" s="153"/>
      <c r="VKB159" s="153"/>
      <c r="VKC159" s="153"/>
      <c r="VKD159" s="153"/>
      <c r="VKE159" s="153"/>
      <c r="VKF159" s="153"/>
      <c r="VKG159" s="153"/>
      <c r="VKH159" s="153"/>
      <c r="VKI159" s="153"/>
      <c r="VKJ159" s="153"/>
      <c r="VKK159" s="153"/>
      <c r="VKL159" s="153"/>
      <c r="VKM159" s="153"/>
      <c r="VKN159" s="153"/>
      <c r="VKO159" s="153"/>
      <c r="VKP159" s="153"/>
      <c r="VKQ159" s="153"/>
      <c r="VKR159" s="153"/>
      <c r="VKS159" s="153"/>
      <c r="VKT159" s="153"/>
      <c r="VKU159" s="153"/>
      <c r="VKV159" s="153"/>
      <c r="VKW159" s="153"/>
      <c r="VKX159" s="153"/>
      <c r="VKY159" s="153"/>
      <c r="VKZ159" s="153"/>
      <c r="VLA159" s="153"/>
      <c r="VLB159" s="153"/>
      <c r="VLC159" s="153"/>
      <c r="VLD159" s="153"/>
      <c r="VLE159" s="153"/>
      <c r="VLF159" s="153"/>
      <c r="VLG159" s="153"/>
      <c r="VLH159" s="153"/>
      <c r="VLI159" s="153"/>
      <c r="VLJ159" s="153"/>
      <c r="VLK159" s="153"/>
      <c r="VLL159" s="153"/>
      <c r="VLM159" s="153"/>
      <c r="VLN159" s="153"/>
      <c r="VLO159" s="153"/>
      <c r="VLP159" s="153"/>
      <c r="VLQ159" s="153"/>
      <c r="VLR159" s="153"/>
      <c r="VLS159" s="153"/>
      <c r="VLT159" s="153"/>
      <c r="VLU159" s="153"/>
      <c r="VLV159" s="153"/>
      <c r="VLW159" s="153"/>
      <c r="VLX159" s="153"/>
      <c r="VLY159" s="153"/>
      <c r="VLZ159" s="153"/>
      <c r="VMA159" s="153"/>
      <c r="VMB159" s="153"/>
      <c r="VMC159" s="153"/>
      <c r="VMD159" s="153"/>
      <c r="VME159" s="153"/>
      <c r="VMF159" s="153"/>
      <c r="VMG159" s="153"/>
      <c r="VMH159" s="153"/>
      <c r="VMI159" s="153"/>
      <c r="VMJ159" s="153"/>
      <c r="VMK159" s="153"/>
      <c r="VML159" s="153"/>
      <c r="VMM159" s="153"/>
      <c r="VMN159" s="153"/>
      <c r="VMO159" s="153"/>
      <c r="VMP159" s="153"/>
      <c r="VMQ159" s="153"/>
      <c r="VMR159" s="153"/>
      <c r="VMS159" s="153"/>
      <c r="VMT159" s="153"/>
      <c r="VMU159" s="153"/>
      <c r="VMV159" s="153"/>
      <c r="VMW159" s="153"/>
      <c r="VMX159" s="153"/>
      <c r="VMY159" s="153"/>
      <c r="VMZ159" s="153"/>
      <c r="VNA159" s="153"/>
      <c r="VNB159" s="153"/>
      <c r="VNC159" s="153"/>
      <c r="VND159" s="153"/>
      <c r="VNE159" s="153"/>
      <c r="VNF159" s="153"/>
      <c r="VNG159" s="153"/>
      <c r="VNH159" s="153"/>
      <c r="VNI159" s="153"/>
      <c r="VNJ159" s="153"/>
      <c r="VNK159" s="153"/>
      <c r="VNL159" s="153"/>
      <c r="VNM159" s="153"/>
      <c r="VNN159" s="153"/>
      <c r="VNO159" s="153"/>
      <c r="VNP159" s="153"/>
      <c r="VNQ159" s="153"/>
      <c r="VNR159" s="153"/>
      <c r="VNS159" s="153"/>
      <c r="VNT159" s="153"/>
      <c r="VNU159" s="153"/>
      <c r="VNV159" s="153"/>
      <c r="VNW159" s="153"/>
      <c r="VNX159" s="153"/>
      <c r="VNY159" s="153"/>
      <c r="VNZ159" s="153"/>
      <c r="VOA159" s="153"/>
      <c r="VOB159" s="153"/>
      <c r="VOC159" s="153"/>
      <c r="VOD159" s="153"/>
      <c r="VOE159" s="153"/>
      <c r="VOF159" s="153"/>
      <c r="VOG159" s="153"/>
      <c r="VOH159" s="153"/>
      <c r="VOI159" s="153"/>
      <c r="VOJ159" s="153"/>
      <c r="VOK159" s="153"/>
      <c r="VOL159" s="153"/>
      <c r="VOM159" s="153"/>
      <c r="VON159" s="153"/>
      <c r="VOO159" s="153"/>
      <c r="VOP159" s="153"/>
      <c r="VOQ159" s="153"/>
      <c r="VOR159" s="153"/>
      <c r="VOS159" s="153"/>
      <c r="VOT159" s="153"/>
      <c r="VOU159" s="153"/>
      <c r="VOV159" s="153"/>
      <c r="VOW159" s="153"/>
      <c r="VOX159" s="153"/>
      <c r="VOY159" s="153"/>
      <c r="VOZ159" s="153"/>
      <c r="VPA159" s="153"/>
      <c r="VPB159" s="153"/>
      <c r="VPC159" s="153"/>
      <c r="VPD159" s="153"/>
      <c r="VPE159" s="153"/>
      <c r="VPF159" s="153"/>
      <c r="VPG159" s="153"/>
      <c r="VPH159" s="153"/>
      <c r="VPI159" s="153"/>
      <c r="VPJ159" s="153"/>
      <c r="VPK159" s="153"/>
      <c r="VPL159" s="153"/>
      <c r="VPM159" s="153"/>
      <c r="VPN159" s="153"/>
      <c r="VPO159" s="153"/>
      <c r="VPP159" s="153"/>
      <c r="VPQ159" s="153"/>
      <c r="VPR159" s="153"/>
      <c r="VPS159" s="153"/>
      <c r="VPT159" s="153"/>
      <c r="VPU159" s="153"/>
      <c r="VPV159" s="153"/>
      <c r="VPW159" s="153"/>
      <c r="VPX159" s="153"/>
      <c r="VPY159" s="153"/>
      <c r="VPZ159" s="153"/>
      <c r="VQA159" s="153"/>
      <c r="VQB159" s="153"/>
      <c r="VQC159" s="153"/>
      <c r="VQD159" s="153"/>
      <c r="VQE159" s="153"/>
      <c r="VQF159" s="153"/>
      <c r="VQG159" s="153"/>
      <c r="VQH159" s="153"/>
      <c r="VQI159" s="153"/>
      <c r="VQJ159" s="153"/>
      <c r="VQK159" s="153"/>
      <c r="VQL159" s="153"/>
      <c r="VQM159" s="153"/>
      <c r="VQN159" s="153"/>
      <c r="VQO159" s="153"/>
      <c r="VQP159" s="153"/>
      <c r="VQQ159" s="153"/>
      <c r="VQR159" s="153"/>
      <c r="VQS159" s="153"/>
      <c r="VQT159" s="153"/>
      <c r="VQU159" s="153"/>
      <c r="VQV159" s="153"/>
      <c r="VQW159" s="153"/>
      <c r="VQX159" s="153"/>
      <c r="VQY159" s="153"/>
      <c r="VQZ159" s="153"/>
      <c r="VRA159" s="153"/>
      <c r="VRB159" s="153"/>
      <c r="VRC159" s="153"/>
      <c r="VRD159" s="153"/>
      <c r="VRE159" s="153"/>
      <c r="VRF159" s="153"/>
      <c r="VRG159" s="153"/>
      <c r="VRH159" s="153"/>
      <c r="VRI159" s="153"/>
      <c r="VRJ159" s="153"/>
      <c r="VRK159" s="153"/>
      <c r="VRL159" s="153"/>
      <c r="VRM159" s="153"/>
      <c r="VRN159" s="153"/>
      <c r="VRO159" s="153"/>
      <c r="VRP159" s="153"/>
      <c r="VRQ159" s="153"/>
      <c r="VRR159" s="153"/>
      <c r="VRS159" s="153"/>
      <c r="VRT159" s="153"/>
      <c r="VRU159" s="153"/>
      <c r="VRV159" s="153"/>
      <c r="VRW159" s="153"/>
      <c r="VRX159" s="153"/>
      <c r="VRY159" s="153"/>
      <c r="VRZ159" s="153"/>
      <c r="VSA159" s="153"/>
      <c r="VSB159" s="153"/>
      <c r="VSC159" s="153"/>
      <c r="VSD159" s="153"/>
      <c r="VSE159" s="153"/>
      <c r="VSF159" s="153"/>
      <c r="VSG159" s="153"/>
      <c r="VSH159" s="153"/>
      <c r="VSI159" s="153"/>
      <c r="VSJ159" s="153"/>
      <c r="VSK159" s="153"/>
      <c r="VSL159" s="153"/>
      <c r="VSM159" s="153"/>
      <c r="VSN159" s="153"/>
      <c r="VSO159" s="153"/>
      <c r="VSP159" s="153"/>
      <c r="VSQ159" s="153"/>
      <c r="VSR159" s="153"/>
      <c r="VSS159" s="153"/>
      <c r="VST159" s="153"/>
      <c r="VSU159" s="153"/>
      <c r="VSV159" s="153"/>
      <c r="VSW159" s="153"/>
      <c r="VSX159" s="153"/>
      <c r="VSY159" s="153"/>
      <c r="VSZ159" s="153"/>
      <c r="VTA159" s="153"/>
      <c r="VTB159" s="153"/>
      <c r="VTC159" s="153"/>
      <c r="VTD159" s="153"/>
      <c r="VTE159" s="153"/>
      <c r="VTF159" s="153"/>
      <c r="VTG159" s="153"/>
      <c r="VTH159" s="153"/>
      <c r="VTI159" s="153"/>
      <c r="VTJ159" s="153"/>
      <c r="VTK159" s="153"/>
      <c r="VTL159" s="153"/>
      <c r="VTM159" s="153"/>
      <c r="VTN159" s="153"/>
      <c r="VTO159" s="153"/>
      <c r="VTP159" s="153"/>
      <c r="VTQ159" s="153"/>
      <c r="VTR159" s="153"/>
      <c r="VTS159" s="153"/>
      <c r="VTT159" s="153"/>
      <c r="VTU159" s="153"/>
      <c r="VTV159" s="153"/>
      <c r="VTW159" s="153"/>
      <c r="VTX159" s="153"/>
      <c r="VTY159" s="153"/>
      <c r="VTZ159" s="153"/>
      <c r="VUA159" s="153"/>
      <c r="VUB159" s="153"/>
      <c r="VUC159" s="153"/>
      <c r="VUD159" s="153"/>
      <c r="VUE159" s="153"/>
      <c r="VUF159" s="153"/>
      <c r="VUG159" s="153"/>
      <c r="VUH159" s="153"/>
      <c r="VUI159" s="153"/>
      <c r="VUJ159" s="153"/>
      <c r="VUK159" s="153"/>
      <c r="VUL159" s="153"/>
      <c r="VUM159" s="153"/>
      <c r="VUN159" s="153"/>
      <c r="VUO159" s="153"/>
      <c r="VUP159" s="153"/>
      <c r="VUQ159" s="153"/>
      <c r="VUR159" s="153"/>
      <c r="VUS159" s="153"/>
      <c r="VUT159" s="153"/>
      <c r="VUU159" s="153"/>
      <c r="VUV159" s="153"/>
      <c r="VUW159" s="153"/>
      <c r="VUX159" s="153"/>
      <c r="VUY159" s="153"/>
      <c r="VUZ159" s="153"/>
      <c r="VVA159" s="153"/>
      <c r="VVB159" s="153"/>
      <c r="VVC159" s="153"/>
      <c r="VVD159" s="153"/>
      <c r="VVE159" s="153"/>
      <c r="VVF159" s="153"/>
      <c r="VVG159" s="153"/>
      <c r="VVH159" s="153"/>
      <c r="VVI159" s="153"/>
      <c r="VVJ159" s="153"/>
      <c r="VVK159" s="153"/>
      <c r="VVL159" s="153"/>
      <c r="VVM159" s="153"/>
      <c r="VVN159" s="153"/>
      <c r="VVO159" s="153"/>
      <c r="VVP159" s="153"/>
      <c r="VVQ159" s="153"/>
      <c r="VVR159" s="153"/>
      <c r="VVS159" s="153"/>
      <c r="VVT159" s="153"/>
      <c r="VVU159" s="153"/>
      <c r="VVV159" s="153"/>
      <c r="VVW159" s="153"/>
      <c r="VVX159" s="153"/>
      <c r="VVY159" s="153"/>
      <c r="VVZ159" s="153"/>
      <c r="VWA159" s="153"/>
      <c r="VWB159" s="153"/>
      <c r="VWC159" s="153"/>
      <c r="VWD159" s="153"/>
      <c r="VWE159" s="153"/>
      <c r="VWF159" s="153"/>
      <c r="VWG159" s="153"/>
      <c r="VWH159" s="153"/>
      <c r="VWI159" s="153"/>
      <c r="VWJ159" s="153"/>
      <c r="VWK159" s="153"/>
      <c r="VWL159" s="153"/>
      <c r="VWM159" s="153"/>
      <c r="VWN159" s="153"/>
      <c r="VWO159" s="153"/>
      <c r="VWP159" s="153"/>
      <c r="VWQ159" s="153"/>
      <c r="VWR159" s="153"/>
      <c r="VWS159" s="153"/>
      <c r="VWT159" s="153"/>
      <c r="VWU159" s="153"/>
      <c r="VWV159" s="153"/>
      <c r="VWW159" s="153"/>
      <c r="VWX159" s="153"/>
      <c r="VWY159" s="153"/>
      <c r="VWZ159" s="153"/>
      <c r="VXA159" s="153"/>
      <c r="VXB159" s="153"/>
      <c r="VXC159" s="153"/>
      <c r="VXD159" s="153"/>
      <c r="VXE159" s="153"/>
      <c r="VXF159" s="153"/>
      <c r="VXG159" s="153"/>
      <c r="VXH159" s="153"/>
      <c r="VXI159" s="153"/>
      <c r="VXJ159" s="153"/>
      <c r="VXK159" s="153"/>
      <c r="VXL159" s="153"/>
      <c r="VXM159" s="153"/>
      <c r="VXN159" s="153"/>
      <c r="VXO159" s="153"/>
      <c r="VXP159" s="153"/>
      <c r="VXQ159" s="153"/>
      <c r="VXR159" s="153"/>
      <c r="VXS159" s="153"/>
      <c r="VXT159" s="153"/>
      <c r="VXU159" s="153"/>
      <c r="VXV159" s="153"/>
      <c r="VXW159" s="153"/>
      <c r="VXX159" s="153"/>
      <c r="VXY159" s="153"/>
      <c r="VXZ159" s="153"/>
      <c r="VYA159" s="153"/>
      <c r="VYB159" s="153"/>
      <c r="VYC159" s="153"/>
      <c r="VYD159" s="153"/>
      <c r="VYE159" s="153"/>
      <c r="VYF159" s="153"/>
      <c r="VYG159" s="153"/>
      <c r="VYH159" s="153"/>
      <c r="VYI159" s="153"/>
      <c r="VYJ159" s="153"/>
      <c r="VYK159" s="153"/>
      <c r="VYL159" s="153"/>
      <c r="VYM159" s="153"/>
      <c r="VYN159" s="153"/>
      <c r="VYO159" s="153"/>
      <c r="VYP159" s="153"/>
      <c r="VYQ159" s="153"/>
      <c r="VYR159" s="153"/>
      <c r="VYS159" s="153"/>
      <c r="VYT159" s="153"/>
      <c r="VYU159" s="153"/>
      <c r="VYV159" s="153"/>
      <c r="VYW159" s="153"/>
      <c r="VYX159" s="153"/>
      <c r="VYY159" s="153"/>
      <c r="VYZ159" s="153"/>
      <c r="VZA159" s="153"/>
      <c r="VZB159" s="153"/>
      <c r="VZC159" s="153"/>
      <c r="VZD159" s="153"/>
      <c r="VZE159" s="153"/>
      <c r="VZF159" s="153"/>
      <c r="VZG159" s="153"/>
      <c r="VZH159" s="153"/>
      <c r="VZI159" s="153"/>
      <c r="VZJ159" s="153"/>
      <c r="VZK159" s="153"/>
      <c r="VZL159" s="153"/>
      <c r="VZM159" s="153"/>
      <c r="VZN159" s="153"/>
      <c r="VZO159" s="153"/>
      <c r="VZP159" s="153"/>
      <c r="VZQ159" s="153"/>
      <c r="VZR159" s="153"/>
      <c r="VZS159" s="153"/>
      <c r="VZT159" s="153"/>
      <c r="VZU159" s="153"/>
      <c r="VZV159" s="153"/>
      <c r="VZW159" s="153"/>
      <c r="VZX159" s="153"/>
      <c r="VZY159" s="153"/>
      <c r="VZZ159" s="153"/>
      <c r="WAA159" s="153"/>
      <c r="WAB159" s="153"/>
      <c r="WAC159" s="153"/>
      <c r="WAD159" s="153"/>
      <c r="WAE159" s="153"/>
      <c r="WAF159" s="153"/>
      <c r="WAG159" s="153"/>
      <c r="WAH159" s="153"/>
      <c r="WAI159" s="153"/>
      <c r="WAJ159" s="153"/>
      <c r="WAK159" s="153"/>
      <c r="WAL159" s="153"/>
      <c r="WAM159" s="153"/>
      <c r="WAN159" s="153"/>
      <c r="WAO159" s="153"/>
      <c r="WAP159" s="153"/>
      <c r="WAQ159" s="153"/>
      <c r="WAR159" s="153"/>
      <c r="WAS159" s="153"/>
      <c r="WAT159" s="153"/>
      <c r="WAU159" s="153"/>
      <c r="WAV159" s="153"/>
      <c r="WAW159" s="153"/>
      <c r="WAX159" s="153"/>
      <c r="WAY159" s="153"/>
      <c r="WAZ159" s="153"/>
      <c r="WBA159" s="153"/>
      <c r="WBB159" s="153"/>
      <c r="WBC159" s="153"/>
      <c r="WBD159" s="153"/>
      <c r="WBE159" s="153"/>
      <c r="WBF159" s="153"/>
      <c r="WBG159" s="153"/>
      <c r="WBH159" s="153"/>
      <c r="WBI159" s="153"/>
      <c r="WBJ159" s="153"/>
      <c r="WBK159" s="153"/>
      <c r="WBL159" s="153"/>
      <c r="WBM159" s="153"/>
      <c r="WBN159" s="153"/>
      <c r="WBO159" s="153"/>
      <c r="WBP159" s="153"/>
      <c r="WBQ159" s="153"/>
      <c r="WBR159" s="153"/>
      <c r="WBS159" s="153"/>
      <c r="WBT159" s="153"/>
      <c r="WBU159" s="153"/>
      <c r="WBV159" s="153"/>
      <c r="WBW159" s="153"/>
      <c r="WBX159" s="153"/>
      <c r="WBY159" s="153"/>
      <c r="WBZ159" s="153"/>
      <c r="WCA159" s="153"/>
      <c r="WCB159" s="153"/>
      <c r="WCC159" s="153"/>
      <c r="WCD159" s="153"/>
      <c r="WCE159" s="153"/>
      <c r="WCF159" s="153"/>
      <c r="WCG159" s="153"/>
      <c r="WCH159" s="153"/>
      <c r="WCI159" s="153"/>
      <c r="WCJ159" s="153"/>
      <c r="WCK159" s="153"/>
      <c r="WCL159" s="153"/>
      <c r="WCM159" s="153"/>
      <c r="WCN159" s="153"/>
      <c r="WCO159" s="153"/>
      <c r="WCP159" s="153"/>
      <c r="WCQ159" s="153"/>
      <c r="WCR159" s="153"/>
      <c r="WCS159" s="153"/>
      <c r="WCT159" s="153"/>
      <c r="WCU159" s="153"/>
      <c r="WCV159" s="153"/>
      <c r="WCW159" s="153"/>
      <c r="WCX159" s="153"/>
      <c r="WCY159" s="153"/>
      <c r="WCZ159" s="153"/>
      <c r="WDA159" s="153"/>
      <c r="WDB159" s="153"/>
      <c r="WDC159" s="153"/>
      <c r="WDD159" s="153"/>
      <c r="WDE159" s="153"/>
      <c r="WDF159" s="153"/>
      <c r="WDG159" s="153"/>
      <c r="WDH159" s="153"/>
      <c r="WDI159" s="153"/>
      <c r="WDJ159" s="153"/>
      <c r="WDK159" s="153"/>
      <c r="WDL159" s="153"/>
      <c r="WDM159" s="153"/>
      <c r="WDN159" s="153"/>
      <c r="WDO159" s="153"/>
      <c r="WDP159" s="153"/>
      <c r="WDQ159" s="153"/>
      <c r="WDR159" s="153"/>
      <c r="WDS159" s="153"/>
      <c r="WDT159" s="153"/>
      <c r="WDU159" s="153"/>
      <c r="WDV159" s="153"/>
      <c r="WDW159" s="153"/>
      <c r="WDX159" s="153"/>
      <c r="WDY159" s="153"/>
      <c r="WDZ159" s="153"/>
      <c r="WEA159" s="153"/>
      <c r="WEB159" s="153"/>
      <c r="WEC159" s="153"/>
      <c r="WED159" s="153"/>
      <c r="WEE159" s="153"/>
      <c r="WEF159" s="153"/>
      <c r="WEG159" s="153"/>
      <c r="WEH159" s="153"/>
      <c r="WEI159" s="153"/>
      <c r="WEJ159" s="153"/>
      <c r="WEK159" s="153"/>
      <c r="WEL159" s="153"/>
      <c r="WEM159" s="153"/>
      <c r="WEN159" s="153"/>
      <c r="WEO159" s="153"/>
      <c r="WEP159" s="153"/>
      <c r="WEQ159" s="153"/>
      <c r="WER159" s="153"/>
      <c r="WES159" s="153"/>
      <c r="WET159" s="153"/>
      <c r="WEU159" s="153"/>
      <c r="WEV159" s="153"/>
      <c r="WEW159" s="153"/>
      <c r="WEX159" s="153"/>
      <c r="WEY159" s="153"/>
      <c r="WEZ159" s="153"/>
      <c r="WFA159" s="153"/>
      <c r="WFB159" s="153"/>
      <c r="WFC159" s="153"/>
      <c r="WFD159" s="153"/>
      <c r="WFE159" s="153"/>
      <c r="WFF159" s="153"/>
      <c r="WFG159" s="153"/>
      <c r="WFH159" s="153"/>
      <c r="WFI159" s="153"/>
      <c r="WFJ159" s="153"/>
      <c r="WFK159" s="153"/>
      <c r="WFL159" s="153"/>
      <c r="WFM159" s="153"/>
      <c r="WFN159" s="153"/>
      <c r="WFO159" s="153"/>
      <c r="WFP159" s="153"/>
      <c r="WFQ159" s="153"/>
      <c r="WFR159" s="153"/>
      <c r="WFS159" s="153"/>
      <c r="WFT159" s="153"/>
      <c r="WFU159" s="153"/>
      <c r="WFV159" s="153"/>
      <c r="WFW159" s="153"/>
      <c r="WFX159" s="153"/>
      <c r="WFY159" s="153"/>
      <c r="WFZ159" s="153"/>
      <c r="WGA159" s="153"/>
      <c r="WGB159" s="153"/>
      <c r="WGC159" s="153"/>
      <c r="WGD159" s="153"/>
      <c r="WGE159" s="153"/>
      <c r="WGF159" s="153"/>
      <c r="WGG159" s="153"/>
      <c r="WGH159" s="153"/>
      <c r="WGI159" s="153"/>
      <c r="WGJ159" s="153"/>
      <c r="WGK159" s="153"/>
      <c r="WGL159" s="153"/>
      <c r="WGM159" s="153"/>
      <c r="WGN159" s="153"/>
      <c r="WGO159" s="153"/>
      <c r="WGP159" s="153"/>
      <c r="WGQ159" s="153"/>
      <c r="WGR159" s="153"/>
      <c r="WGS159" s="153"/>
      <c r="WGT159" s="153"/>
      <c r="WGU159" s="153"/>
      <c r="WGV159" s="153"/>
      <c r="WGW159" s="153"/>
      <c r="WGX159" s="153"/>
      <c r="WGY159" s="153"/>
      <c r="WGZ159" s="153"/>
      <c r="WHA159" s="153"/>
      <c r="WHB159" s="153"/>
      <c r="WHC159" s="153"/>
      <c r="WHD159" s="153"/>
      <c r="WHE159" s="153"/>
      <c r="WHF159" s="153"/>
      <c r="WHG159" s="153"/>
      <c r="WHH159" s="153"/>
      <c r="WHI159" s="153"/>
      <c r="WHJ159" s="153"/>
      <c r="WHK159" s="153"/>
      <c r="WHL159" s="153"/>
      <c r="WHM159" s="153"/>
      <c r="WHN159" s="153"/>
      <c r="WHO159" s="153"/>
      <c r="WHP159" s="153"/>
      <c r="WHQ159" s="153"/>
      <c r="WHR159" s="153"/>
      <c r="WHS159" s="153"/>
      <c r="WHT159" s="153"/>
      <c r="WHU159" s="153"/>
      <c r="WHV159" s="153"/>
      <c r="WHW159" s="153"/>
      <c r="WHX159" s="153"/>
      <c r="WHY159" s="153"/>
      <c r="WHZ159" s="153"/>
      <c r="WIA159" s="153"/>
      <c r="WIB159" s="153"/>
      <c r="WIC159" s="153"/>
      <c r="WID159" s="153"/>
      <c r="WIE159" s="153"/>
      <c r="WIF159" s="153"/>
      <c r="WIG159" s="153"/>
      <c r="WIH159" s="153"/>
      <c r="WII159" s="153"/>
      <c r="WIJ159" s="153"/>
      <c r="WIK159" s="153"/>
      <c r="WIL159" s="153"/>
      <c r="WIM159" s="153"/>
      <c r="WIN159" s="153"/>
      <c r="WIO159" s="153"/>
      <c r="WIP159" s="153"/>
      <c r="WIQ159" s="153"/>
      <c r="WIR159" s="153"/>
      <c r="WIS159" s="153"/>
      <c r="WIT159" s="153"/>
      <c r="WIU159" s="153"/>
      <c r="WIV159" s="153"/>
      <c r="WIW159" s="153"/>
      <c r="WIX159" s="153"/>
      <c r="WIY159" s="153"/>
      <c r="WIZ159" s="153"/>
      <c r="WJA159" s="153"/>
      <c r="WJB159" s="153"/>
      <c r="WJC159" s="153"/>
      <c r="WJD159" s="153"/>
      <c r="WJE159" s="153"/>
      <c r="WJF159" s="153"/>
      <c r="WJG159" s="153"/>
      <c r="WJH159" s="153"/>
      <c r="WJI159" s="153"/>
      <c r="WJJ159" s="153"/>
      <c r="WJK159" s="153"/>
      <c r="WJL159" s="153"/>
      <c r="WJM159" s="153"/>
      <c r="WJN159" s="153"/>
      <c r="WJO159" s="153"/>
      <c r="WJP159" s="153"/>
      <c r="WJQ159" s="153"/>
      <c r="WJR159" s="153"/>
      <c r="WJS159" s="153"/>
      <c r="WJT159" s="153"/>
      <c r="WJU159" s="153"/>
      <c r="WJV159" s="153"/>
      <c r="WJW159" s="153"/>
      <c r="WJX159" s="153"/>
      <c r="WJY159" s="153"/>
      <c r="WJZ159" s="153"/>
      <c r="WKA159" s="153"/>
      <c r="WKB159" s="153"/>
      <c r="WKC159" s="153"/>
      <c r="WKD159" s="153"/>
      <c r="WKE159" s="153"/>
      <c r="WKF159" s="153"/>
      <c r="WKG159" s="153"/>
      <c r="WKH159" s="153"/>
      <c r="WKI159" s="153"/>
      <c r="WKJ159" s="153"/>
      <c r="WKK159" s="153"/>
      <c r="WKL159" s="153"/>
      <c r="WKM159" s="153"/>
      <c r="WKN159" s="153"/>
      <c r="WKO159" s="153"/>
      <c r="WKP159" s="153"/>
      <c r="WKQ159" s="153"/>
      <c r="WKR159" s="153"/>
      <c r="WKS159" s="153"/>
      <c r="WKT159" s="153"/>
      <c r="WKU159" s="153"/>
      <c r="WKV159" s="153"/>
      <c r="WKW159" s="153"/>
      <c r="WKX159" s="153"/>
      <c r="WKY159" s="153"/>
      <c r="WKZ159" s="153"/>
      <c r="WLA159" s="153"/>
      <c r="WLB159" s="153"/>
      <c r="WLC159" s="153"/>
      <c r="WLD159" s="153"/>
      <c r="WLE159" s="153"/>
      <c r="WLF159" s="153"/>
      <c r="WLG159" s="153"/>
      <c r="WLH159" s="153"/>
      <c r="WLI159" s="153"/>
      <c r="WLJ159" s="153"/>
      <c r="WLK159" s="153"/>
      <c r="WLL159" s="153"/>
      <c r="WLM159" s="153"/>
      <c r="WLN159" s="153"/>
      <c r="WLO159" s="153"/>
      <c r="WLP159" s="153"/>
      <c r="WLQ159" s="153"/>
      <c r="WLR159" s="153"/>
      <c r="WLS159" s="153"/>
      <c r="WLT159" s="153"/>
      <c r="WLU159" s="153"/>
      <c r="WLV159" s="153"/>
      <c r="WLW159" s="153"/>
      <c r="WLX159" s="153"/>
      <c r="WLY159" s="153"/>
      <c r="WLZ159" s="153"/>
      <c r="WMA159" s="153"/>
      <c r="WMB159" s="153"/>
      <c r="WMC159" s="153"/>
      <c r="WMD159" s="153"/>
      <c r="WME159" s="153"/>
      <c r="WMF159" s="153"/>
      <c r="WMG159" s="153"/>
      <c r="WMH159" s="153"/>
      <c r="WMI159" s="153"/>
      <c r="WMJ159" s="153"/>
      <c r="WMK159" s="153"/>
      <c r="WML159" s="153"/>
      <c r="WMM159" s="153"/>
      <c r="WMN159" s="153"/>
      <c r="WMO159" s="153"/>
      <c r="WMP159" s="153"/>
      <c r="WMQ159" s="153"/>
      <c r="WMR159" s="153"/>
      <c r="WMS159" s="153"/>
      <c r="WMT159" s="153"/>
      <c r="WMU159" s="153"/>
      <c r="WMV159" s="153"/>
      <c r="WMW159" s="153"/>
      <c r="WMX159" s="153"/>
      <c r="WMY159" s="153"/>
      <c r="WMZ159" s="153"/>
      <c r="WNA159" s="153"/>
      <c r="WNB159" s="153"/>
      <c r="WNC159" s="153"/>
      <c r="WND159" s="153"/>
      <c r="WNE159" s="153"/>
      <c r="WNF159" s="153"/>
      <c r="WNG159" s="153"/>
      <c r="WNH159" s="153"/>
      <c r="WNI159" s="153"/>
      <c r="WNJ159" s="153"/>
      <c r="WNK159" s="153"/>
      <c r="WNL159" s="153"/>
      <c r="WNM159" s="153"/>
      <c r="WNN159" s="153"/>
      <c r="WNO159" s="153"/>
      <c r="WNP159" s="153"/>
      <c r="WNQ159" s="153"/>
      <c r="WNR159" s="153"/>
      <c r="WNS159" s="153"/>
      <c r="WNT159" s="153"/>
      <c r="WNU159" s="153"/>
      <c r="WNV159" s="153"/>
      <c r="WNW159" s="153"/>
      <c r="WNX159" s="153"/>
      <c r="WNY159" s="153"/>
      <c r="WNZ159" s="153"/>
      <c r="WOA159" s="153"/>
      <c r="WOB159" s="153"/>
      <c r="WOC159" s="153"/>
      <c r="WOD159" s="153"/>
      <c r="WOE159" s="153"/>
      <c r="WOF159" s="153"/>
      <c r="WOG159" s="153"/>
      <c r="WOH159" s="153"/>
      <c r="WOI159" s="153"/>
      <c r="WOJ159" s="153"/>
      <c r="WOK159" s="153"/>
      <c r="WOL159" s="153"/>
      <c r="WOM159" s="153"/>
      <c r="WON159" s="153"/>
      <c r="WOO159" s="153"/>
      <c r="WOP159" s="153"/>
      <c r="WOQ159" s="153"/>
      <c r="WOR159" s="153"/>
      <c r="WOS159" s="153"/>
      <c r="WOT159" s="153"/>
      <c r="WOU159" s="153"/>
      <c r="WOV159" s="153"/>
      <c r="WOW159" s="153"/>
      <c r="WOX159" s="153"/>
      <c r="WOY159" s="153"/>
      <c r="WOZ159" s="153"/>
      <c r="WPA159" s="153"/>
      <c r="WPB159" s="153"/>
      <c r="WPC159" s="153"/>
      <c r="WPD159" s="153"/>
      <c r="WPE159" s="153"/>
      <c r="WPF159" s="153"/>
      <c r="WPG159" s="153"/>
      <c r="WPH159" s="153"/>
      <c r="WPI159" s="153"/>
      <c r="WPJ159" s="153"/>
      <c r="WPK159" s="153"/>
      <c r="WPL159" s="153"/>
      <c r="WPM159" s="153"/>
      <c r="WPN159" s="153"/>
      <c r="WPO159" s="153"/>
      <c r="WPP159" s="153"/>
      <c r="WPQ159" s="153"/>
      <c r="WPR159" s="153"/>
      <c r="WPS159" s="153"/>
      <c r="WPT159" s="153"/>
      <c r="WPU159" s="153"/>
      <c r="WPV159" s="153"/>
      <c r="WPW159" s="153"/>
      <c r="WPX159" s="153"/>
      <c r="WPY159" s="153"/>
      <c r="WPZ159" s="153"/>
      <c r="WQA159" s="153"/>
      <c r="WQB159" s="153"/>
      <c r="WQC159" s="153"/>
      <c r="WQD159" s="153"/>
      <c r="WQE159" s="153"/>
      <c r="WQF159" s="153"/>
      <c r="WQG159" s="153"/>
      <c r="WQH159" s="153"/>
      <c r="WQI159" s="153"/>
      <c r="WQJ159" s="153"/>
      <c r="WQK159" s="153"/>
      <c r="WQL159" s="153"/>
      <c r="WQM159" s="153"/>
      <c r="WQN159" s="153"/>
      <c r="WQO159" s="153"/>
      <c r="WQP159" s="153"/>
      <c r="WQQ159" s="153"/>
      <c r="WQR159" s="153"/>
      <c r="WQS159" s="153"/>
      <c r="WQT159" s="153"/>
      <c r="WQU159" s="153"/>
      <c r="WQV159" s="153"/>
      <c r="WQW159" s="153"/>
      <c r="WQX159" s="153"/>
      <c r="WQY159" s="153"/>
      <c r="WQZ159" s="153"/>
      <c r="WRA159" s="153"/>
      <c r="WRB159" s="153"/>
      <c r="WRC159" s="153"/>
      <c r="WRD159" s="153"/>
      <c r="WRE159" s="153"/>
      <c r="WRF159" s="153"/>
      <c r="WRG159" s="153"/>
      <c r="WRH159" s="153"/>
      <c r="WRI159" s="153"/>
      <c r="WRJ159" s="153"/>
      <c r="WRK159" s="153"/>
      <c r="WRL159" s="153"/>
      <c r="WRM159" s="153"/>
      <c r="WRN159" s="153"/>
      <c r="WRO159" s="153"/>
      <c r="WRP159" s="153"/>
      <c r="WRQ159" s="153"/>
      <c r="WRR159" s="153"/>
      <c r="WRS159" s="153"/>
      <c r="WRT159" s="153"/>
      <c r="WRU159" s="153"/>
      <c r="WRV159" s="153"/>
      <c r="WRW159" s="153"/>
      <c r="WRX159" s="153"/>
      <c r="WRY159" s="153"/>
      <c r="WRZ159" s="153"/>
      <c r="WSA159" s="153"/>
      <c r="WSB159" s="153"/>
      <c r="WSC159" s="153"/>
      <c r="WSD159" s="153"/>
      <c r="WSE159" s="153"/>
      <c r="WSF159" s="153"/>
      <c r="WSG159" s="153"/>
      <c r="WSH159" s="153"/>
      <c r="WSI159" s="153"/>
      <c r="WSJ159" s="153"/>
      <c r="WSK159" s="153"/>
      <c r="WSL159" s="153"/>
      <c r="WSM159" s="153"/>
      <c r="WSN159" s="153"/>
      <c r="WSO159" s="153"/>
      <c r="WSP159" s="153"/>
      <c r="WSQ159" s="153"/>
      <c r="WSR159" s="153"/>
      <c r="WSS159" s="153"/>
      <c r="WST159" s="153"/>
      <c r="WSU159" s="153"/>
      <c r="WSV159" s="153"/>
      <c r="WSW159" s="153"/>
      <c r="WSX159" s="153"/>
      <c r="WSY159" s="153"/>
      <c r="WSZ159" s="153"/>
      <c r="WTA159" s="153"/>
      <c r="WTB159" s="153"/>
      <c r="WTC159" s="153"/>
      <c r="WTD159" s="153"/>
      <c r="WTE159" s="153"/>
      <c r="WTF159" s="153"/>
      <c r="WTG159" s="153"/>
      <c r="WTH159" s="153"/>
      <c r="WTI159" s="153"/>
      <c r="WTJ159" s="153"/>
      <c r="WTK159" s="153"/>
      <c r="WTL159" s="153"/>
      <c r="WTM159" s="153"/>
      <c r="WTN159" s="153"/>
      <c r="WTO159" s="153"/>
      <c r="WTP159" s="153"/>
      <c r="WTQ159" s="153"/>
      <c r="WTR159" s="153"/>
      <c r="WTS159" s="153"/>
      <c r="WTT159" s="153"/>
      <c r="WTU159" s="153"/>
      <c r="WTV159" s="153"/>
      <c r="WTW159" s="153"/>
      <c r="WTX159" s="153"/>
      <c r="WTY159" s="153"/>
      <c r="WTZ159" s="153"/>
      <c r="WUA159" s="153"/>
      <c r="WUB159" s="153"/>
      <c r="WUC159" s="153"/>
      <c r="WUD159" s="153"/>
      <c r="WUE159" s="153"/>
      <c r="WUF159" s="153"/>
      <c r="WUG159" s="153"/>
      <c r="WUH159" s="153"/>
      <c r="WUI159" s="153"/>
      <c r="WUJ159" s="153"/>
      <c r="WUK159" s="153"/>
      <c r="WUL159" s="153"/>
      <c r="WUM159" s="153"/>
      <c r="WUN159" s="153"/>
      <c r="WUO159" s="153"/>
      <c r="WUP159" s="153"/>
      <c r="WUQ159" s="153"/>
      <c r="WUR159" s="153"/>
      <c r="WUS159" s="153"/>
      <c r="WUT159" s="153"/>
      <c r="WUU159" s="153"/>
      <c r="WUV159" s="153"/>
      <c r="WUW159" s="153"/>
      <c r="WUX159" s="153"/>
      <c r="WUY159" s="153"/>
      <c r="WUZ159" s="153"/>
      <c r="WVA159" s="153"/>
      <c r="WVB159" s="153"/>
      <c r="WVC159" s="153"/>
      <c r="WVD159" s="153"/>
      <c r="WVE159" s="153"/>
      <c r="WVF159" s="153"/>
      <c r="WVG159" s="153"/>
      <c r="WVH159" s="153"/>
      <c r="WVI159" s="153"/>
      <c r="WVJ159" s="153"/>
      <c r="WVK159" s="153"/>
      <c r="WVL159" s="153"/>
      <c r="WVM159" s="153"/>
      <c r="WVN159" s="153"/>
      <c r="WVO159" s="153"/>
      <c r="WVP159" s="153"/>
      <c r="WVQ159" s="153"/>
      <c r="WVR159" s="153"/>
      <c r="WVS159" s="153"/>
      <c r="WVT159" s="153"/>
      <c r="WVU159" s="153"/>
      <c r="WVV159" s="153"/>
      <c r="WVW159" s="153"/>
      <c r="WVX159" s="153"/>
      <c r="WVY159" s="153"/>
      <c r="WVZ159" s="153"/>
      <c r="WWA159" s="153"/>
      <c r="WWB159" s="153"/>
      <c r="WWC159" s="153"/>
      <c r="WWD159" s="153"/>
      <c r="WWE159" s="153"/>
      <c r="WWF159" s="153"/>
      <c r="WWG159" s="153"/>
      <c r="WWH159" s="153"/>
      <c r="WWI159" s="153"/>
      <c r="WWJ159" s="153"/>
      <c r="WWK159" s="153"/>
      <c r="WWL159" s="153"/>
      <c r="WWM159" s="153"/>
      <c r="WWN159" s="153"/>
      <c r="WWO159" s="153"/>
      <c r="WWP159" s="153"/>
      <c r="WWQ159" s="153"/>
      <c r="WWR159" s="153"/>
      <c r="WWS159" s="153"/>
      <c r="WWT159" s="153"/>
      <c r="WWU159" s="153"/>
      <c r="WWV159" s="153"/>
      <c r="WWW159" s="153"/>
      <c r="WWX159" s="153"/>
      <c r="WWY159" s="153"/>
      <c r="WWZ159" s="153"/>
      <c r="WXA159" s="153"/>
      <c r="WXB159" s="153"/>
      <c r="WXC159" s="153"/>
      <c r="WXD159" s="153"/>
      <c r="WXE159" s="153"/>
      <c r="WXF159" s="153"/>
      <c r="WXG159" s="153"/>
      <c r="WXH159" s="153"/>
      <c r="WXI159" s="153"/>
      <c r="WXJ159" s="153"/>
      <c r="WXK159" s="153"/>
      <c r="WXL159" s="153"/>
      <c r="WXM159" s="153"/>
      <c r="WXN159" s="153"/>
      <c r="WXO159" s="153"/>
      <c r="WXP159" s="153"/>
      <c r="WXQ159" s="153"/>
      <c r="WXR159" s="153"/>
      <c r="WXS159" s="153"/>
      <c r="WXT159" s="153"/>
      <c r="WXU159" s="153"/>
      <c r="WXV159" s="153"/>
      <c r="WXW159" s="153"/>
      <c r="WXX159" s="153"/>
      <c r="WXY159" s="153"/>
      <c r="WXZ159" s="153"/>
      <c r="WYA159" s="153"/>
      <c r="WYB159" s="153"/>
      <c r="WYC159" s="153"/>
      <c r="WYD159" s="153"/>
      <c r="WYE159" s="153"/>
      <c r="WYF159" s="153"/>
      <c r="WYG159" s="153"/>
      <c r="WYH159" s="153"/>
      <c r="WYI159" s="153"/>
      <c r="WYJ159" s="153"/>
      <c r="WYK159" s="153"/>
      <c r="WYL159" s="153"/>
      <c r="WYM159" s="153"/>
      <c r="WYN159" s="153"/>
      <c r="WYO159" s="153"/>
      <c r="WYP159" s="153"/>
      <c r="WYQ159" s="153"/>
      <c r="WYR159" s="153"/>
      <c r="WYS159" s="153"/>
      <c r="WYT159" s="153"/>
      <c r="WYU159" s="153"/>
      <c r="WYV159" s="153"/>
      <c r="WYW159" s="153"/>
      <c r="WYX159" s="153"/>
      <c r="WYY159" s="153"/>
      <c r="WYZ159" s="153"/>
      <c r="WZA159" s="153"/>
      <c r="WZB159" s="153"/>
      <c r="WZC159" s="153"/>
      <c r="WZD159" s="153"/>
      <c r="WZE159" s="153"/>
      <c r="WZF159" s="153"/>
      <c r="WZG159" s="153"/>
      <c r="WZH159" s="153"/>
      <c r="WZI159" s="153"/>
      <c r="WZJ159" s="153"/>
      <c r="WZK159" s="153"/>
      <c r="WZL159" s="153"/>
      <c r="WZM159" s="153"/>
      <c r="WZN159" s="153"/>
      <c r="WZO159" s="153"/>
      <c r="WZP159" s="153"/>
      <c r="WZQ159" s="153"/>
      <c r="WZR159" s="153"/>
      <c r="WZS159" s="153"/>
      <c r="WZT159" s="153"/>
      <c r="WZU159" s="153"/>
      <c r="WZV159" s="153"/>
      <c r="WZW159" s="153"/>
      <c r="WZX159" s="153"/>
      <c r="WZY159" s="153"/>
      <c r="WZZ159" s="153"/>
      <c r="XAA159" s="153"/>
      <c r="XAB159" s="153"/>
      <c r="XAC159" s="153"/>
      <c r="XAD159" s="153"/>
      <c r="XAE159" s="153"/>
      <c r="XAF159" s="153"/>
      <c r="XAG159" s="153"/>
      <c r="XAH159" s="153"/>
      <c r="XAI159" s="153"/>
      <c r="XAJ159" s="153"/>
      <c r="XAK159" s="153"/>
    </row>
    <row r="160" spans="1:16261">
      <c r="A160" s="139" t="s">
        <v>1741</v>
      </c>
      <c r="B160" s="139" t="s">
        <v>1694</v>
      </c>
      <c r="C160" s="139">
        <f>50-4-1+1-1-3-2</f>
        <v>40</v>
      </c>
      <c r="D160" s="140" t="s">
        <v>1830</v>
      </c>
      <c r="E160" s="141">
        <f>C160*D160</f>
        <v>792</v>
      </c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  <c r="AD160" s="187"/>
      <c r="AE160" s="187"/>
      <c r="AF160" s="187"/>
      <c r="AG160" s="187"/>
      <c r="AH160" s="187"/>
      <c r="AI160" s="187"/>
      <c r="AJ160" s="187"/>
      <c r="AK160" s="187"/>
      <c r="AL160" s="187"/>
      <c r="AM160" s="187"/>
      <c r="AN160" s="187"/>
      <c r="AO160" s="187"/>
      <c r="AP160" s="187"/>
      <c r="AQ160" s="187"/>
      <c r="AR160" s="187"/>
      <c r="AS160" s="187"/>
      <c r="AT160" s="187"/>
      <c r="AU160" s="187"/>
      <c r="AV160" s="187"/>
      <c r="AW160" s="187"/>
      <c r="AX160" s="187"/>
      <c r="AY160" s="187"/>
      <c r="AZ160" s="187"/>
      <c r="BA160" s="187"/>
      <c r="BB160" s="187"/>
      <c r="BC160" s="187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187"/>
      <c r="CJ160" s="187"/>
      <c r="CK160" s="187"/>
      <c r="CL160" s="187"/>
      <c r="CM160" s="187"/>
      <c r="CN160" s="187"/>
      <c r="CO160" s="187"/>
      <c r="CP160" s="187"/>
      <c r="CQ160" s="187"/>
      <c r="CR160" s="187"/>
      <c r="CS160" s="187"/>
      <c r="CT160" s="187"/>
      <c r="CU160" s="187"/>
      <c r="CV160" s="187"/>
      <c r="CW160" s="187"/>
      <c r="CX160" s="187"/>
      <c r="CY160" s="187"/>
      <c r="CZ160" s="187"/>
      <c r="DA160" s="187"/>
      <c r="DB160" s="187"/>
      <c r="DC160" s="187"/>
      <c r="DD160" s="187"/>
      <c r="DE160" s="187"/>
      <c r="DF160" s="187"/>
      <c r="DG160" s="187"/>
      <c r="DH160" s="187"/>
      <c r="DI160" s="187"/>
      <c r="DJ160" s="187"/>
      <c r="DK160" s="187"/>
      <c r="DL160" s="187"/>
      <c r="DM160" s="187"/>
      <c r="DN160" s="187"/>
      <c r="DO160" s="187"/>
      <c r="DP160" s="187"/>
      <c r="DQ160" s="187"/>
      <c r="DR160" s="187"/>
      <c r="DS160" s="187"/>
      <c r="DT160" s="187"/>
      <c r="DU160" s="187"/>
      <c r="DV160" s="187"/>
      <c r="DW160" s="187"/>
      <c r="DX160" s="187"/>
      <c r="DY160" s="187"/>
      <c r="DZ160" s="187"/>
      <c r="EA160" s="187"/>
      <c r="EB160" s="187"/>
      <c r="EC160" s="187"/>
      <c r="ED160" s="187"/>
      <c r="EE160" s="187"/>
      <c r="EF160" s="187"/>
      <c r="EG160" s="187"/>
      <c r="EH160" s="187"/>
      <c r="EI160" s="187"/>
      <c r="EJ160" s="187"/>
      <c r="EK160" s="187"/>
      <c r="EL160" s="187"/>
      <c r="EM160" s="187"/>
      <c r="EN160" s="187"/>
      <c r="EO160" s="187"/>
      <c r="EP160" s="187"/>
      <c r="EQ160" s="187"/>
      <c r="ER160" s="187"/>
      <c r="ES160" s="187"/>
      <c r="ET160" s="187"/>
      <c r="EU160" s="187"/>
      <c r="EV160" s="187"/>
      <c r="EW160" s="187"/>
      <c r="EX160" s="187"/>
      <c r="EY160" s="187"/>
      <c r="EZ160" s="187"/>
      <c r="FA160" s="187"/>
      <c r="FB160" s="187"/>
      <c r="FC160" s="187"/>
      <c r="FD160" s="187"/>
      <c r="FE160" s="187"/>
      <c r="FF160" s="187"/>
      <c r="FG160" s="187"/>
      <c r="FH160" s="187"/>
      <c r="FI160" s="187"/>
      <c r="FJ160" s="187"/>
      <c r="FK160" s="187"/>
      <c r="FL160" s="187"/>
      <c r="FM160" s="187"/>
      <c r="FN160" s="187"/>
      <c r="FO160" s="187"/>
      <c r="FP160" s="187"/>
      <c r="FQ160" s="187"/>
      <c r="FR160" s="187"/>
      <c r="FS160" s="187"/>
      <c r="FT160" s="187"/>
      <c r="FU160" s="187"/>
      <c r="FV160" s="187"/>
      <c r="FW160" s="187"/>
      <c r="FX160" s="187"/>
      <c r="FY160" s="187"/>
      <c r="FZ160" s="187"/>
      <c r="GA160" s="187"/>
      <c r="GB160" s="187"/>
      <c r="GC160" s="187"/>
      <c r="GD160" s="187"/>
      <c r="GE160" s="187"/>
      <c r="GF160" s="187"/>
      <c r="GG160" s="187"/>
      <c r="GH160" s="187"/>
      <c r="GI160" s="187"/>
      <c r="GJ160" s="187"/>
      <c r="GK160" s="187"/>
      <c r="GL160" s="187"/>
      <c r="GM160" s="187"/>
      <c r="GN160" s="187"/>
      <c r="GO160" s="187"/>
      <c r="GP160" s="187"/>
      <c r="GQ160" s="187"/>
      <c r="GR160" s="187"/>
      <c r="GS160" s="187"/>
      <c r="GT160" s="187"/>
      <c r="GU160" s="187"/>
      <c r="GV160" s="187"/>
      <c r="GW160" s="187"/>
      <c r="GX160" s="187"/>
      <c r="GY160" s="187"/>
      <c r="GZ160" s="187"/>
      <c r="HA160" s="187"/>
      <c r="HB160" s="187"/>
      <c r="HC160" s="187"/>
      <c r="HD160" s="187"/>
      <c r="HE160" s="187"/>
      <c r="HF160" s="187"/>
      <c r="HG160" s="187"/>
      <c r="HH160" s="187"/>
      <c r="HI160" s="187"/>
      <c r="HJ160" s="187"/>
      <c r="HK160" s="187"/>
      <c r="HL160" s="187"/>
      <c r="HM160" s="187"/>
      <c r="HN160" s="187"/>
      <c r="HO160" s="187"/>
      <c r="HP160" s="187"/>
      <c r="HQ160" s="187"/>
      <c r="HR160" s="187"/>
      <c r="HS160" s="187"/>
      <c r="HT160" s="187"/>
      <c r="HU160" s="187"/>
      <c r="HV160" s="187"/>
      <c r="HW160" s="187"/>
      <c r="HX160" s="187"/>
      <c r="HY160" s="187"/>
      <c r="HZ160" s="187"/>
      <c r="IA160" s="187"/>
      <c r="IB160" s="187"/>
      <c r="IC160" s="187"/>
      <c r="ID160" s="187"/>
      <c r="IE160" s="187"/>
      <c r="IF160" s="187"/>
      <c r="IG160" s="187"/>
      <c r="IH160" s="187"/>
      <c r="II160" s="187"/>
      <c r="IJ160" s="187"/>
      <c r="IK160" s="187"/>
      <c r="IL160" s="187"/>
      <c r="IM160" s="187"/>
      <c r="IN160" s="187"/>
      <c r="IO160" s="187"/>
      <c r="IP160" s="187"/>
      <c r="IQ160" s="187"/>
      <c r="IR160" s="187"/>
      <c r="IS160" s="187"/>
      <c r="IT160" s="187"/>
      <c r="IU160" s="187"/>
      <c r="IV160" s="187"/>
      <c r="IW160" s="187"/>
      <c r="IX160" s="187"/>
      <c r="IY160" s="187"/>
      <c r="IZ160" s="187"/>
      <c r="JA160" s="187"/>
      <c r="JB160" s="187"/>
      <c r="JC160" s="187"/>
      <c r="JD160" s="187"/>
      <c r="JE160" s="187"/>
      <c r="JF160" s="187"/>
      <c r="JG160" s="187"/>
      <c r="JH160" s="187"/>
      <c r="JI160" s="187"/>
      <c r="JJ160" s="187"/>
      <c r="JK160" s="187"/>
      <c r="JL160" s="187"/>
      <c r="JM160" s="187"/>
      <c r="JN160" s="187"/>
      <c r="JO160" s="187"/>
      <c r="JP160" s="187"/>
      <c r="JQ160" s="187"/>
      <c r="JR160" s="187"/>
      <c r="JS160" s="187"/>
      <c r="JT160" s="187"/>
      <c r="JU160" s="187"/>
      <c r="JV160" s="187"/>
      <c r="JW160" s="187"/>
      <c r="JX160" s="187"/>
      <c r="JY160" s="187"/>
      <c r="JZ160" s="187"/>
      <c r="KA160" s="187"/>
      <c r="KB160" s="187"/>
      <c r="KC160" s="187"/>
      <c r="KD160" s="187"/>
      <c r="KE160" s="187"/>
      <c r="KF160" s="187"/>
      <c r="KG160" s="187"/>
      <c r="KH160" s="187"/>
      <c r="KI160" s="187"/>
      <c r="KJ160" s="187"/>
      <c r="KK160" s="187"/>
      <c r="KL160" s="187"/>
      <c r="KM160" s="187"/>
      <c r="KN160" s="187"/>
      <c r="KO160" s="187"/>
      <c r="KP160" s="187"/>
      <c r="KQ160" s="187"/>
      <c r="KR160" s="187"/>
      <c r="KS160" s="187"/>
      <c r="KT160" s="187"/>
      <c r="KU160" s="187"/>
      <c r="KV160" s="187"/>
      <c r="KW160" s="187"/>
      <c r="KX160" s="187"/>
      <c r="KY160" s="187"/>
      <c r="KZ160" s="187"/>
      <c r="LA160" s="187"/>
      <c r="LB160" s="187"/>
      <c r="LC160" s="187"/>
      <c r="LD160" s="187"/>
      <c r="LE160" s="187"/>
      <c r="LF160" s="187"/>
      <c r="LG160" s="187"/>
      <c r="LH160" s="187"/>
      <c r="LI160" s="187"/>
      <c r="LJ160" s="187"/>
      <c r="LK160" s="187"/>
      <c r="LL160" s="187"/>
      <c r="LM160" s="187"/>
      <c r="LN160" s="187"/>
      <c r="LO160" s="187"/>
      <c r="LP160" s="187"/>
      <c r="LQ160" s="187"/>
      <c r="LR160" s="187"/>
      <c r="LS160" s="187"/>
      <c r="LT160" s="187"/>
      <c r="LU160" s="187"/>
      <c r="LV160" s="187"/>
      <c r="LW160" s="187"/>
      <c r="LX160" s="187"/>
      <c r="LY160" s="187"/>
      <c r="LZ160" s="187"/>
      <c r="MA160" s="187"/>
      <c r="MB160" s="187"/>
      <c r="MC160" s="187"/>
      <c r="MD160" s="187"/>
      <c r="ME160" s="187"/>
      <c r="MF160" s="187"/>
      <c r="MG160" s="187"/>
      <c r="MH160" s="187"/>
      <c r="MI160" s="187"/>
      <c r="MJ160" s="187"/>
      <c r="MK160" s="187"/>
      <c r="ML160" s="187"/>
      <c r="MM160" s="187"/>
      <c r="MN160" s="187"/>
      <c r="MO160" s="187"/>
      <c r="MP160" s="187"/>
      <c r="MQ160" s="187"/>
      <c r="MR160" s="187"/>
      <c r="MS160" s="187"/>
      <c r="MT160" s="187"/>
      <c r="MU160" s="187"/>
      <c r="MV160" s="187"/>
      <c r="MW160" s="187"/>
      <c r="MX160" s="187"/>
      <c r="MY160" s="187"/>
      <c r="MZ160" s="187"/>
      <c r="NA160" s="187"/>
      <c r="NB160" s="187"/>
      <c r="NC160" s="187"/>
      <c r="ND160" s="187"/>
      <c r="NE160" s="187"/>
      <c r="NF160" s="187"/>
      <c r="NG160" s="187"/>
      <c r="NH160" s="187"/>
      <c r="NI160" s="187"/>
      <c r="NJ160" s="187"/>
      <c r="NK160" s="187"/>
      <c r="NL160" s="187"/>
      <c r="NM160" s="187"/>
      <c r="NN160" s="187"/>
      <c r="NO160" s="187"/>
      <c r="NP160" s="187"/>
      <c r="NQ160" s="187"/>
      <c r="NR160" s="187"/>
      <c r="NS160" s="187"/>
      <c r="NT160" s="187"/>
      <c r="NU160" s="187"/>
      <c r="NV160" s="187"/>
      <c r="NW160" s="187"/>
      <c r="NX160" s="187"/>
      <c r="NY160" s="187"/>
      <c r="NZ160" s="187"/>
      <c r="OA160" s="187"/>
      <c r="OB160" s="187"/>
      <c r="OC160" s="187"/>
      <c r="OD160" s="187"/>
      <c r="OE160" s="187"/>
      <c r="OF160" s="187"/>
      <c r="OG160" s="187"/>
      <c r="OH160" s="187"/>
      <c r="OI160" s="187"/>
      <c r="OJ160" s="187"/>
      <c r="OK160" s="187"/>
      <c r="OL160" s="187"/>
      <c r="OM160" s="187"/>
      <c r="ON160" s="187"/>
      <c r="OO160" s="187"/>
      <c r="OP160" s="187"/>
      <c r="OQ160" s="187"/>
      <c r="OR160" s="187"/>
      <c r="OS160" s="187"/>
      <c r="OT160" s="187"/>
      <c r="OU160" s="187"/>
      <c r="OV160" s="187"/>
      <c r="OW160" s="187"/>
      <c r="OX160" s="187"/>
      <c r="OY160" s="187"/>
      <c r="OZ160" s="187"/>
      <c r="PA160" s="187"/>
      <c r="PB160" s="187"/>
      <c r="PC160" s="187"/>
      <c r="PD160" s="187"/>
      <c r="PE160" s="187"/>
      <c r="PF160" s="187"/>
      <c r="PG160" s="187"/>
      <c r="PH160" s="187"/>
      <c r="PI160" s="187"/>
      <c r="PJ160" s="187"/>
      <c r="PK160" s="187"/>
      <c r="PL160" s="187"/>
      <c r="PM160" s="187"/>
      <c r="PN160" s="187"/>
      <c r="PO160" s="187"/>
      <c r="PP160" s="187"/>
      <c r="PQ160" s="187"/>
      <c r="PR160" s="187"/>
      <c r="PS160" s="187"/>
      <c r="PT160" s="187"/>
      <c r="PU160" s="187"/>
      <c r="PV160" s="187"/>
      <c r="PW160" s="187"/>
      <c r="PX160" s="187"/>
      <c r="PY160" s="187"/>
      <c r="PZ160" s="187"/>
      <c r="QA160" s="187"/>
      <c r="QB160" s="187"/>
      <c r="QC160" s="187"/>
      <c r="QD160" s="187"/>
      <c r="QE160" s="187"/>
      <c r="QF160" s="187"/>
      <c r="QG160" s="187"/>
      <c r="QH160" s="187"/>
      <c r="QI160" s="187"/>
      <c r="QJ160" s="187"/>
      <c r="QK160" s="187"/>
      <c r="QL160" s="187"/>
      <c r="QM160" s="187"/>
      <c r="QN160" s="187"/>
      <c r="QO160" s="187"/>
      <c r="QP160" s="187"/>
      <c r="QQ160" s="187"/>
      <c r="QR160" s="187"/>
      <c r="QS160" s="187"/>
      <c r="QT160" s="187"/>
      <c r="QU160" s="187"/>
      <c r="QV160" s="187"/>
      <c r="QW160" s="187"/>
      <c r="QX160" s="187"/>
      <c r="QY160" s="187"/>
      <c r="QZ160" s="187"/>
      <c r="RA160" s="187"/>
      <c r="RB160" s="187"/>
      <c r="RC160" s="187"/>
      <c r="RD160" s="187"/>
      <c r="RE160" s="187"/>
      <c r="RF160" s="187"/>
      <c r="RG160" s="187"/>
      <c r="RH160" s="187"/>
      <c r="RI160" s="187"/>
      <c r="RJ160" s="187"/>
      <c r="RK160" s="187"/>
      <c r="RL160" s="187"/>
      <c r="RM160" s="187"/>
      <c r="RN160" s="187"/>
      <c r="RO160" s="187"/>
      <c r="RP160" s="187"/>
      <c r="RQ160" s="187"/>
      <c r="RR160" s="187"/>
      <c r="RS160" s="187"/>
      <c r="RT160" s="187"/>
      <c r="RU160" s="187"/>
      <c r="RV160" s="187"/>
      <c r="RW160" s="187"/>
      <c r="RX160" s="187"/>
      <c r="RY160" s="187"/>
      <c r="RZ160" s="187"/>
      <c r="SA160" s="187"/>
      <c r="SB160" s="187"/>
      <c r="SC160" s="187"/>
      <c r="SD160" s="187"/>
      <c r="SE160" s="187"/>
      <c r="SF160" s="187"/>
      <c r="SG160" s="187"/>
      <c r="SH160" s="187"/>
      <c r="SI160" s="187"/>
      <c r="SJ160" s="187"/>
      <c r="SK160" s="187"/>
      <c r="SL160" s="187"/>
      <c r="SM160" s="187"/>
      <c r="SN160" s="187"/>
      <c r="SO160" s="187"/>
      <c r="SP160" s="187"/>
      <c r="SQ160" s="187"/>
      <c r="SR160" s="187"/>
      <c r="SS160" s="187"/>
      <c r="ST160" s="187"/>
      <c r="SU160" s="187"/>
      <c r="SV160" s="187"/>
      <c r="SW160" s="187"/>
      <c r="SX160" s="187"/>
      <c r="SY160" s="187"/>
      <c r="SZ160" s="187"/>
      <c r="TA160" s="187"/>
      <c r="TB160" s="187"/>
      <c r="TC160" s="187"/>
      <c r="TD160" s="187"/>
      <c r="TE160" s="187"/>
      <c r="TF160" s="187"/>
      <c r="TG160" s="187"/>
      <c r="TH160" s="187"/>
      <c r="TI160" s="187"/>
      <c r="TJ160" s="187"/>
      <c r="TK160" s="187"/>
      <c r="TL160" s="187"/>
      <c r="TM160" s="187"/>
      <c r="TN160" s="187"/>
      <c r="TO160" s="187"/>
      <c r="TP160" s="187"/>
      <c r="TQ160" s="187"/>
      <c r="TR160" s="187"/>
      <c r="TS160" s="187"/>
      <c r="TT160" s="187"/>
      <c r="TU160" s="187"/>
      <c r="TV160" s="187"/>
      <c r="TW160" s="187"/>
      <c r="TX160" s="187"/>
      <c r="TY160" s="187"/>
      <c r="TZ160" s="187"/>
      <c r="UA160" s="187"/>
      <c r="UB160" s="187"/>
      <c r="UC160" s="187"/>
      <c r="UD160" s="187"/>
      <c r="UE160" s="187"/>
      <c r="UF160" s="187"/>
      <c r="UG160" s="187"/>
      <c r="UH160" s="187"/>
      <c r="UI160" s="187"/>
      <c r="UJ160" s="187"/>
      <c r="UK160" s="187"/>
      <c r="UL160" s="187"/>
      <c r="UM160" s="187"/>
      <c r="UN160" s="187"/>
      <c r="UO160" s="187"/>
      <c r="UP160" s="187"/>
      <c r="UQ160" s="187"/>
      <c r="UR160" s="187"/>
      <c r="US160" s="187"/>
      <c r="UT160" s="187"/>
      <c r="UU160" s="187"/>
      <c r="UV160" s="187"/>
      <c r="UW160" s="187"/>
      <c r="UX160" s="187"/>
      <c r="UY160" s="187"/>
      <c r="UZ160" s="187"/>
      <c r="VA160" s="187"/>
      <c r="VB160" s="187"/>
      <c r="VC160" s="187"/>
      <c r="VD160" s="187"/>
      <c r="VE160" s="187"/>
      <c r="VF160" s="187"/>
      <c r="VG160" s="187"/>
      <c r="VH160" s="187"/>
      <c r="VI160" s="187"/>
      <c r="VJ160" s="187"/>
      <c r="VK160" s="187"/>
      <c r="VL160" s="187"/>
      <c r="VM160" s="187"/>
      <c r="VN160" s="187"/>
      <c r="VO160" s="187"/>
      <c r="VP160" s="187"/>
      <c r="VQ160" s="187"/>
      <c r="VR160" s="187"/>
      <c r="VS160" s="187"/>
      <c r="VT160" s="187"/>
      <c r="VU160" s="187"/>
      <c r="VV160" s="187"/>
      <c r="VW160" s="187"/>
      <c r="VX160" s="187"/>
      <c r="VY160" s="187"/>
      <c r="VZ160" s="187"/>
      <c r="WA160" s="187"/>
      <c r="WB160" s="187"/>
      <c r="WC160" s="187"/>
      <c r="WD160" s="187"/>
      <c r="WE160" s="187"/>
      <c r="WF160" s="187"/>
      <c r="WG160" s="187"/>
      <c r="WH160" s="187"/>
      <c r="WI160" s="187"/>
      <c r="WJ160" s="187"/>
      <c r="WK160" s="187"/>
      <c r="WL160" s="187"/>
      <c r="WM160" s="187"/>
      <c r="WN160" s="187"/>
      <c r="WO160" s="187"/>
      <c r="WP160" s="187"/>
      <c r="WQ160" s="187"/>
      <c r="WR160" s="187"/>
      <c r="WS160" s="187"/>
      <c r="WT160" s="187"/>
      <c r="WU160" s="187"/>
      <c r="WV160" s="187"/>
      <c r="WW160" s="187"/>
      <c r="WX160" s="187"/>
      <c r="WY160" s="187"/>
      <c r="WZ160" s="187"/>
      <c r="XA160" s="187"/>
      <c r="XB160" s="187"/>
      <c r="XC160" s="187"/>
      <c r="XD160" s="187"/>
      <c r="XE160" s="187"/>
      <c r="XF160" s="187"/>
      <c r="XG160" s="187"/>
      <c r="XH160" s="187"/>
      <c r="XI160" s="187"/>
      <c r="XJ160" s="187"/>
      <c r="XK160" s="187"/>
      <c r="XL160" s="187"/>
      <c r="XM160" s="187"/>
      <c r="XN160" s="187"/>
      <c r="XO160" s="187"/>
      <c r="XP160" s="187"/>
      <c r="XQ160" s="187"/>
      <c r="XR160" s="187"/>
      <c r="XS160" s="187"/>
      <c r="XT160" s="187"/>
      <c r="XU160" s="187"/>
      <c r="XV160" s="187"/>
      <c r="XW160" s="187"/>
      <c r="XX160" s="187"/>
      <c r="XY160" s="187"/>
      <c r="XZ160" s="187"/>
      <c r="YA160" s="187"/>
      <c r="YB160" s="187"/>
      <c r="YC160" s="187"/>
      <c r="YD160" s="187"/>
      <c r="YE160" s="187"/>
      <c r="YF160" s="187"/>
      <c r="YG160" s="187"/>
      <c r="YH160" s="187"/>
      <c r="YI160" s="187"/>
      <c r="YJ160" s="187"/>
      <c r="YK160" s="187"/>
      <c r="YL160" s="187"/>
      <c r="YM160" s="187"/>
      <c r="YN160" s="187"/>
      <c r="YO160" s="187"/>
      <c r="YP160" s="187"/>
      <c r="YQ160" s="187"/>
      <c r="YR160" s="187"/>
      <c r="YS160" s="187"/>
      <c r="YT160" s="187"/>
      <c r="YU160" s="187"/>
      <c r="YV160" s="187"/>
      <c r="YW160" s="187"/>
      <c r="YX160" s="187"/>
      <c r="YY160" s="187"/>
      <c r="YZ160" s="187"/>
      <c r="ZA160" s="187"/>
      <c r="ZB160" s="187"/>
      <c r="ZC160" s="187"/>
      <c r="ZD160" s="187"/>
      <c r="ZE160" s="187"/>
      <c r="ZF160" s="187"/>
      <c r="ZG160" s="187"/>
      <c r="ZH160" s="187"/>
      <c r="ZI160" s="187"/>
      <c r="ZJ160" s="187"/>
      <c r="ZK160" s="187"/>
      <c r="ZL160" s="187"/>
      <c r="ZM160" s="187"/>
      <c r="ZN160" s="187"/>
      <c r="ZO160" s="187"/>
      <c r="ZP160" s="187"/>
      <c r="ZQ160" s="187"/>
      <c r="ZR160" s="187"/>
      <c r="ZS160" s="187"/>
      <c r="ZT160" s="187"/>
      <c r="ZU160" s="187"/>
      <c r="ZV160" s="187"/>
      <c r="ZW160" s="187"/>
      <c r="ZX160" s="187"/>
      <c r="ZY160" s="187"/>
      <c r="ZZ160" s="187"/>
      <c r="AAA160" s="187"/>
      <c r="AAB160" s="187"/>
      <c r="AAC160" s="187"/>
      <c r="AAD160" s="187"/>
      <c r="AAE160" s="187"/>
      <c r="AAF160" s="187"/>
      <c r="AAG160" s="187"/>
      <c r="AAH160" s="187"/>
      <c r="AAI160" s="187"/>
      <c r="AAJ160" s="187"/>
      <c r="AAK160" s="187"/>
      <c r="AAL160" s="187"/>
      <c r="AAM160" s="187"/>
      <c r="AAN160" s="187"/>
      <c r="AAO160" s="187"/>
      <c r="AAP160" s="187"/>
      <c r="AAQ160" s="187"/>
      <c r="AAR160" s="187"/>
      <c r="AAS160" s="187"/>
      <c r="AAT160" s="187"/>
      <c r="AAU160" s="187"/>
      <c r="AAV160" s="187"/>
      <c r="AAW160" s="187"/>
      <c r="AAX160" s="187"/>
      <c r="AAY160" s="187"/>
      <c r="AAZ160" s="187"/>
      <c r="ABA160" s="187"/>
      <c r="ABB160" s="187"/>
      <c r="ABC160" s="187"/>
      <c r="ABD160" s="187"/>
      <c r="ABE160" s="187"/>
      <c r="ABF160" s="187"/>
      <c r="ABG160" s="187"/>
      <c r="ABH160" s="187"/>
      <c r="ABI160" s="187"/>
      <c r="ABJ160" s="187"/>
      <c r="ABK160" s="187"/>
      <c r="ABL160" s="187"/>
      <c r="ABM160" s="187"/>
      <c r="ABN160" s="187"/>
      <c r="ABO160" s="187"/>
      <c r="ABP160" s="187"/>
      <c r="ABQ160" s="187"/>
      <c r="ABR160" s="187"/>
      <c r="ABS160" s="187"/>
      <c r="ABT160" s="187"/>
      <c r="ABU160" s="187"/>
      <c r="ABV160" s="187"/>
      <c r="ABW160" s="187"/>
      <c r="ABX160" s="187"/>
      <c r="ABY160" s="187"/>
      <c r="ABZ160" s="187"/>
      <c r="ACA160" s="187"/>
      <c r="ACB160" s="187"/>
      <c r="ACC160" s="187"/>
      <c r="ACD160" s="187"/>
      <c r="ACE160" s="187"/>
      <c r="ACF160" s="187"/>
      <c r="ACG160" s="187"/>
      <c r="ACH160" s="187"/>
      <c r="ACI160" s="187"/>
      <c r="ACJ160" s="187"/>
      <c r="ACK160" s="187"/>
      <c r="ACL160" s="187"/>
      <c r="ACM160" s="187"/>
      <c r="ACN160" s="187"/>
      <c r="ACO160" s="187"/>
      <c r="ACP160" s="187"/>
      <c r="ACQ160" s="187"/>
      <c r="ACR160" s="187"/>
      <c r="ACS160" s="187"/>
      <c r="ACT160" s="187"/>
      <c r="ACU160" s="187"/>
      <c r="ACV160" s="187"/>
      <c r="ACW160" s="187"/>
      <c r="ACX160" s="187"/>
      <c r="ACY160" s="187"/>
      <c r="ACZ160" s="187"/>
      <c r="ADA160" s="187"/>
      <c r="ADB160" s="187"/>
      <c r="ADC160" s="187"/>
      <c r="ADD160" s="187"/>
      <c r="ADE160" s="187"/>
      <c r="ADF160" s="187"/>
      <c r="ADG160" s="187"/>
      <c r="ADH160" s="187"/>
      <c r="ADI160" s="187"/>
      <c r="ADJ160" s="187"/>
      <c r="ADK160" s="187"/>
      <c r="ADL160" s="187"/>
      <c r="ADM160" s="187"/>
      <c r="ADN160" s="187"/>
      <c r="ADO160" s="187"/>
      <c r="ADP160" s="187"/>
      <c r="ADQ160" s="187"/>
      <c r="ADR160" s="187"/>
      <c r="ADS160" s="187"/>
      <c r="ADT160" s="187"/>
      <c r="ADU160" s="187"/>
      <c r="ADV160" s="187"/>
      <c r="ADW160" s="187"/>
      <c r="ADX160" s="187"/>
      <c r="ADY160" s="187"/>
      <c r="ADZ160" s="187"/>
      <c r="AEA160" s="187"/>
      <c r="AEB160" s="187"/>
      <c r="AEC160" s="187"/>
      <c r="AED160" s="187"/>
      <c r="AEE160" s="187"/>
      <c r="AEF160" s="187"/>
      <c r="AEG160" s="187"/>
      <c r="AEH160" s="187"/>
      <c r="AEI160" s="187"/>
      <c r="AEJ160" s="187"/>
      <c r="AEK160" s="187"/>
      <c r="AEL160" s="187"/>
      <c r="AEM160" s="187"/>
      <c r="AEN160" s="187"/>
      <c r="AEO160" s="187"/>
      <c r="AEP160" s="187"/>
      <c r="AEQ160" s="187"/>
      <c r="AER160" s="187"/>
      <c r="AES160" s="187"/>
      <c r="AET160" s="187"/>
      <c r="AEU160" s="187"/>
      <c r="AEV160" s="187"/>
      <c r="AEW160" s="187"/>
      <c r="AEX160" s="187"/>
      <c r="AEY160" s="187"/>
      <c r="AEZ160" s="187"/>
      <c r="AFA160" s="187"/>
      <c r="AFB160" s="187"/>
      <c r="AFC160" s="187"/>
      <c r="AFD160" s="187"/>
      <c r="AFE160" s="187"/>
      <c r="AFF160" s="187"/>
      <c r="AFG160" s="187"/>
      <c r="AFH160" s="187"/>
      <c r="AFI160" s="187"/>
      <c r="AFJ160" s="187"/>
      <c r="AFK160" s="187"/>
      <c r="AFL160" s="187"/>
      <c r="AFM160" s="187"/>
      <c r="AFN160" s="187"/>
      <c r="AFO160" s="187"/>
      <c r="AFP160" s="187"/>
      <c r="AFQ160" s="187"/>
      <c r="AFR160" s="187"/>
      <c r="AFS160" s="187"/>
      <c r="AFT160" s="187"/>
      <c r="AFU160" s="187"/>
      <c r="AFV160" s="187"/>
      <c r="AFW160" s="187"/>
      <c r="AFX160" s="187"/>
      <c r="AFY160" s="187"/>
      <c r="AFZ160" s="187"/>
      <c r="AGA160" s="187"/>
      <c r="AGB160" s="187"/>
      <c r="AGC160" s="187"/>
      <c r="AGD160" s="187"/>
      <c r="AGE160" s="187"/>
      <c r="AGF160" s="187"/>
      <c r="AGG160" s="187"/>
      <c r="AGH160" s="187"/>
      <c r="AGI160" s="187"/>
      <c r="AGJ160" s="187"/>
      <c r="AGK160" s="187"/>
      <c r="AGL160" s="187"/>
      <c r="AGM160" s="187"/>
      <c r="AGN160" s="187"/>
      <c r="AGO160" s="187"/>
      <c r="AGP160" s="187"/>
      <c r="AGQ160" s="187"/>
      <c r="AGR160" s="187"/>
      <c r="AGS160" s="187"/>
      <c r="AGT160" s="187"/>
      <c r="AGU160" s="187"/>
      <c r="AGV160" s="187"/>
      <c r="AGW160" s="187"/>
      <c r="AGX160" s="187"/>
      <c r="AGY160" s="187"/>
      <c r="AGZ160" s="187"/>
      <c r="AHA160" s="187"/>
      <c r="AHB160" s="187"/>
      <c r="AHC160" s="187"/>
      <c r="AHD160" s="187"/>
      <c r="AHE160" s="187"/>
      <c r="AHF160" s="187"/>
      <c r="AHG160" s="187"/>
      <c r="AHH160" s="187"/>
      <c r="AHI160" s="187"/>
      <c r="AHJ160" s="187"/>
      <c r="AHK160" s="187"/>
      <c r="AHL160" s="187"/>
      <c r="AHM160" s="187"/>
      <c r="AHN160" s="187"/>
      <c r="AHO160" s="187"/>
      <c r="AHP160" s="187"/>
      <c r="AHQ160" s="187"/>
      <c r="AHR160" s="187"/>
      <c r="AHS160" s="187"/>
      <c r="AHT160" s="187"/>
      <c r="AHU160" s="187"/>
      <c r="AHV160" s="187"/>
      <c r="AHW160" s="187"/>
      <c r="AHX160" s="187"/>
      <c r="AHY160" s="187"/>
      <c r="AHZ160" s="187"/>
      <c r="AIA160" s="187"/>
      <c r="AIB160" s="187"/>
      <c r="AIC160" s="187"/>
      <c r="AID160" s="187"/>
      <c r="AIE160" s="187"/>
      <c r="AIF160" s="187"/>
      <c r="AIG160" s="187"/>
      <c r="AIH160" s="187"/>
      <c r="AII160" s="187"/>
      <c r="AIJ160" s="187"/>
      <c r="AIK160" s="187"/>
      <c r="AIL160" s="187"/>
      <c r="AIM160" s="187"/>
      <c r="AIN160" s="187"/>
      <c r="AIO160" s="187"/>
      <c r="AIP160" s="187"/>
      <c r="AIQ160" s="187"/>
      <c r="AIR160" s="187"/>
      <c r="AIS160" s="187"/>
      <c r="AIT160" s="187"/>
      <c r="AIU160" s="187"/>
      <c r="AIV160" s="187"/>
      <c r="AIW160" s="187"/>
      <c r="AIX160" s="187"/>
      <c r="AIY160" s="187"/>
      <c r="AIZ160" s="187"/>
      <c r="AJA160" s="187"/>
      <c r="AJB160" s="187"/>
      <c r="AJC160" s="187"/>
      <c r="AJD160" s="187"/>
      <c r="AJE160" s="187"/>
      <c r="AJF160" s="187"/>
      <c r="AJG160" s="187"/>
      <c r="AJH160" s="187"/>
      <c r="AJI160" s="187"/>
      <c r="AJJ160" s="187"/>
      <c r="AJK160" s="187"/>
      <c r="AJL160" s="187"/>
      <c r="AJM160" s="187"/>
      <c r="AJN160" s="187"/>
      <c r="AJO160" s="187"/>
      <c r="AJP160" s="187"/>
      <c r="AJQ160" s="187"/>
      <c r="AJR160" s="187"/>
      <c r="AJS160" s="187"/>
      <c r="AJT160" s="187"/>
      <c r="AJU160" s="187"/>
      <c r="AJV160" s="187"/>
      <c r="AJW160" s="187"/>
      <c r="AJX160" s="187"/>
      <c r="AJY160" s="187"/>
      <c r="AJZ160" s="187"/>
      <c r="AKA160" s="187"/>
      <c r="AKB160" s="187"/>
      <c r="AKC160" s="187"/>
      <c r="AKD160" s="187"/>
      <c r="AKE160" s="187"/>
      <c r="AKF160" s="187"/>
      <c r="AKG160" s="187"/>
      <c r="AKH160" s="187"/>
      <c r="AKI160" s="187"/>
      <c r="AKJ160" s="187"/>
      <c r="AKK160" s="187"/>
      <c r="AKL160" s="187"/>
      <c r="AKM160" s="187"/>
      <c r="AKN160" s="187"/>
      <c r="AKO160" s="187"/>
      <c r="AKP160" s="187"/>
      <c r="AKQ160" s="187"/>
      <c r="AKR160" s="187"/>
      <c r="AKS160" s="187"/>
      <c r="AKT160" s="187"/>
      <c r="AKU160" s="187"/>
      <c r="AKV160" s="187"/>
      <c r="AKW160" s="187"/>
      <c r="AKX160" s="187"/>
      <c r="AKY160" s="187"/>
      <c r="AKZ160" s="187"/>
      <c r="ALA160" s="187"/>
      <c r="ALB160" s="187"/>
      <c r="ALC160" s="187"/>
      <c r="ALD160" s="187"/>
      <c r="ALE160" s="187"/>
      <c r="ALF160" s="187"/>
      <c r="ALG160" s="187"/>
      <c r="ALH160" s="187"/>
      <c r="ALI160" s="187"/>
      <c r="ALJ160" s="187"/>
      <c r="ALK160" s="187"/>
      <c r="ALL160" s="187"/>
      <c r="ALM160" s="187"/>
      <c r="ALN160" s="187"/>
      <c r="ALO160" s="187"/>
      <c r="ALP160" s="187"/>
      <c r="ALQ160" s="187"/>
      <c r="ALR160" s="187"/>
      <c r="ALS160" s="187"/>
      <c r="ALT160" s="187"/>
      <c r="ALU160" s="187"/>
      <c r="ALV160" s="187"/>
      <c r="ALW160" s="187"/>
      <c r="ALX160" s="187"/>
      <c r="ALY160" s="187"/>
      <c r="ALZ160" s="187"/>
      <c r="AMA160" s="187"/>
      <c r="AMB160" s="187"/>
      <c r="AMC160" s="187"/>
      <c r="AMD160" s="187"/>
      <c r="AME160" s="187"/>
      <c r="AMF160" s="187"/>
      <c r="AMG160" s="187"/>
      <c r="AMH160" s="187"/>
      <c r="AMI160" s="187"/>
      <c r="AMJ160" s="187"/>
      <c r="AMK160" s="187"/>
      <c r="AML160" s="187"/>
      <c r="AMM160" s="187"/>
      <c r="AMN160" s="187"/>
      <c r="AMO160" s="187"/>
      <c r="AMP160" s="187"/>
      <c r="AMQ160" s="187"/>
      <c r="AMR160" s="187"/>
      <c r="AMS160" s="187"/>
      <c r="AMT160" s="187"/>
      <c r="AMU160" s="187"/>
      <c r="AMV160" s="187"/>
      <c r="AMW160" s="187"/>
      <c r="AMX160" s="187"/>
      <c r="AMY160" s="187"/>
      <c r="AMZ160" s="187"/>
      <c r="ANA160" s="187"/>
      <c r="ANB160" s="187"/>
      <c r="ANC160" s="187"/>
      <c r="AND160" s="187"/>
      <c r="ANE160" s="187"/>
      <c r="ANF160" s="187"/>
      <c r="ANG160" s="187"/>
      <c r="ANH160" s="187"/>
      <c r="ANI160" s="187"/>
      <c r="ANJ160" s="187"/>
      <c r="ANK160" s="187"/>
      <c r="ANL160" s="187"/>
      <c r="ANM160" s="187"/>
      <c r="ANN160" s="187"/>
      <c r="ANO160" s="187"/>
      <c r="ANP160" s="187"/>
      <c r="ANQ160" s="187"/>
      <c r="ANR160" s="187"/>
      <c r="ANS160" s="187"/>
      <c r="ANT160" s="187"/>
      <c r="ANU160" s="187"/>
      <c r="ANV160" s="187"/>
      <c r="ANW160" s="187"/>
      <c r="ANX160" s="187"/>
      <c r="ANY160" s="187"/>
      <c r="ANZ160" s="187"/>
      <c r="AOA160" s="187"/>
      <c r="AOB160" s="187"/>
      <c r="AOC160" s="187"/>
      <c r="AOD160" s="187"/>
      <c r="AOE160" s="187"/>
      <c r="AOF160" s="187"/>
      <c r="AOG160" s="187"/>
      <c r="AOH160" s="187"/>
      <c r="AOI160" s="187"/>
      <c r="AOJ160" s="187"/>
      <c r="AOK160" s="187"/>
      <c r="AOL160" s="187"/>
      <c r="AOM160" s="187"/>
      <c r="AON160" s="187"/>
      <c r="AOO160" s="187"/>
      <c r="AOP160" s="187"/>
      <c r="AOQ160" s="187"/>
      <c r="AOR160" s="187"/>
      <c r="AOS160" s="187"/>
      <c r="AOT160" s="187"/>
      <c r="AOU160" s="187"/>
      <c r="AOV160" s="187"/>
      <c r="AOW160" s="187"/>
      <c r="AOX160" s="187"/>
      <c r="AOY160" s="187"/>
      <c r="AOZ160" s="187"/>
      <c r="APA160" s="187"/>
      <c r="APB160" s="187"/>
      <c r="APC160" s="187"/>
      <c r="APD160" s="187"/>
      <c r="APE160" s="187"/>
      <c r="APF160" s="187"/>
      <c r="APG160" s="187"/>
      <c r="APH160" s="187"/>
      <c r="API160" s="187"/>
      <c r="APJ160" s="187"/>
      <c r="APK160" s="187"/>
      <c r="APL160" s="187"/>
      <c r="APM160" s="187"/>
      <c r="APN160" s="187"/>
      <c r="APO160" s="187"/>
      <c r="APP160" s="187"/>
      <c r="APQ160" s="187"/>
      <c r="APR160" s="187"/>
      <c r="APS160" s="187"/>
      <c r="APT160" s="187"/>
      <c r="APU160" s="187"/>
      <c r="APV160" s="187"/>
      <c r="APW160" s="187"/>
      <c r="APX160" s="187"/>
      <c r="APY160" s="187"/>
      <c r="APZ160" s="187"/>
      <c r="AQA160" s="187"/>
      <c r="AQB160" s="187"/>
      <c r="AQC160" s="187"/>
      <c r="AQD160" s="187"/>
      <c r="AQE160" s="187"/>
      <c r="AQF160" s="187"/>
      <c r="AQG160" s="187"/>
      <c r="AQH160" s="187"/>
      <c r="AQI160" s="187"/>
      <c r="AQJ160" s="187"/>
      <c r="AQK160" s="187"/>
      <c r="AQL160" s="187"/>
      <c r="AQM160" s="187"/>
      <c r="AQN160" s="187"/>
      <c r="AQO160" s="187"/>
      <c r="AQP160" s="187"/>
      <c r="AQQ160" s="187"/>
      <c r="AQR160" s="187"/>
      <c r="AQS160" s="187"/>
      <c r="AQT160" s="187"/>
      <c r="AQU160" s="187"/>
      <c r="AQV160" s="187"/>
      <c r="AQW160" s="187"/>
      <c r="AQX160" s="187"/>
      <c r="AQY160" s="187"/>
      <c r="AQZ160" s="187"/>
      <c r="ARA160" s="187"/>
      <c r="ARB160" s="187"/>
      <c r="ARC160" s="187"/>
      <c r="ARD160" s="187"/>
      <c r="ARE160" s="187"/>
      <c r="ARF160" s="187"/>
      <c r="ARG160" s="187"/>
      <c r="ARH160" s="187"/>
      <c r="ARI160" s="187"/>
      <c r="ARJ160" s="187"/>
      <c r="ARK160" s="187"/>
      <c r="ARL160" s="187"/>
      <c r="ARM160" s="187"/>
      <c r="ARN160" s="187"/>
      <c r="ARO160" s="187"/>
      <c r="ARP160" s="187"/>
      <c r="ARQ160" s="187"/>
      <c r="ARR160" s="187"/>
      <c r="ARS160" s="187"/>
      <c r="ART160" s="187"/>
      <c r="ARU160" s="187"/>
      <c r="ARV160" s="187"/>
      <c r="ARW160" s="187"/>
      <c r="ARX160" s="187"/>
      <c r="ARY160" s="187"/>
      <c r="ARZ160" s="187"/>
      <c r="ASA160" s="187"/>
      <c r="ASB160" s="187"/>
      <c r="ASC160" s="187"/>
      <c r="ASD160" s="187"/>
      <c r="ASE160" s="187"/>
      <c r="ASF160" s="187"/>
      <c r="ASG160" s="187"/>
      <c r="ASH160" s="187"/>
      <c r="ASI160" s="187"/>
      <c r="ASJ160" s="187"/>
      <c r="ASK160" s="187"/>
      <c r="ASL160" s="187"/>
      <c r="ASM160" s="187"/>
      <c r="ASN160" s="187"/>
      <c r="ASO160" s="187"/>
      <c r="ASP160" s="187"/>
      <c r="ASQ160" s="187"/>
      <c r="ASR160" s="187"/>
      <c r="ASS160" s="187"/>
      <c r="AST160" s="187"/>
      <c r="ASU160" s="187"/>
      <c r="ASV160" s="187"/>
      <c r="ASW160" s="187"/>
      <c r="ASX160" s="187"/>
      <c r="ASY160" s="187"/>
      <c r="ASZ160" s="187"/>
      <c r="ATA160" s="187"/>
      <c r="ATB160" s="187"/>
      <c r="ATC160" s="187"/>
      <c r="ATD160" s="187"/>
      <c r="ATE160" s="187"/>
      <c r="ATF160" s="187"/>
      <c r="ATG160" s="187"/>
      <c r="ATH160" s="187"/>
      <c r="ATI160" s="187"/>
      <c r="ATJ160" s="187"/>
      <c r="ATK160" s="187"/>
      <c r="ATL160" s="187"/>
      <c r="ATM160" s="187"/>
      <c r="ATN160" s="187"/>
      <c r="ATO160" s="187"/>
      <c r="ATP160" s="187"/>
      <c r="ATQ160" s="187"/>
      <c r="ATR160" s="187"/>
      <c r="ATS160" s="187"/>
      <c r="ATT160" s="187"/>
      <c r="ATU160" s="187"/>
      <c r="ATV160" s="187"/>
      <c r="ATW160" s="187"/>
      <c r="ATX160" s="187"/>
      <c r="ATY160" s="187"/>
      <c r="ATZ160" s="187"/>
      <c r="AUA160" s="187"/>
      <c r="AUB160" s="187"/>
      <c r="AUC160" s="187"/>
      <c r="AUD160" s="187"/>
      <c r="AUE160" s="187"/>
      <c r="AUF160" s="187"/>
      <c r="AUG160" s="187"/>
      <c r="AUH160" s="187"/>
      <c r="AUI160" s="187"/>
      <c r="AUJ160" s="187"/>
      <c r="AUK160" s="187"/>
      <c r="AUL160" s="187"/>
      <c r="AUM160" s="187"/>
      <c r="AUN160" s="187"/>
      <c r="AUO160" s="187"/>
      <c r="AUP160" s="187"/>
      <c r="AUQ160" s="187"/>
      <c r="AUR160" s="187"/>
      <c r="AUS160" s="187"/>
      <c r="AUT160" s="187"/>
      <c r="AUU160" s="187"/>
      <c r="AUV160" s="187"/>
      <c r="AUW160" s="187"/>
      <c r="AUX160" s="187"/>
      <c r="AUY160" s="187"/>
      <c r="AUZ160" s="187"/>
      <c r="AVA160" s="187"/>
      <c r="AVB160" s="187"/>
      <c r="AVC160" s="187"/>
      <c r="AVD160" s="187"/>
      <c r="AVE160" s="187"/>
      <c r="AVF160" s="187"/>
      <c r="AVG160" s="187"/>
      <c r="AVH160" s="187"/>
      <c r="AVI160" s="187"/>
      <c r="AVJ160" s="187"/>
      <c r="AVK160" s="187"/>
      <c r="AVL160" s="187"/>
      <c r="AVM160" s="187"/>
      <c r="AVN160" s="187"/>
      <c r="AVO160" s="187"/>
      <c r="AVP160" s="187"/>
      <c r="AVQ160" s="187"/>
      <c r="AVR160" s="187"/>
      <c r="AVS160" s="187"/>
      <c r="AVT160" s="187"/>
      <c r="AVU160" s="187"/>
      <c r="AVV160" s="187"/>
      <c r="AVW160" s="187"/>
      <c r="AVX160" s="187"/>
      <c r="AVY160" s="187"/>
      <c r="AVZ160" s="187"/>
      <c r="AWA160" s="187"/>
      <c r="AWB160" s="187"/>
      <c r="AWC160" s="187"/>
      <c r="AWD160" s="187"/>
      <c r="AWE160" s="187"/>
      <c r="AWF160" s="187"/>
      <c r="AWG160" s="187"/>
      <c r="AWH160" s="187"/>
      <c r="AWI160" s="187"/>
      <c r="AWJ160" s="187"/>
      <c r="AWK160" s="187"/>
      <c r="AWL160" s="187"/>
      <c r="AWM160" s="187"/>
      <c r="AWN160" s="187"/>
      <c r="AWO160" s="187"/>
      <c r="AWP160" s="187"/>
      <c r="AWQ160" s="187"/>
      <c r="AWR160" s="187"/>
      <c r="AWS160" s="187"/>
      <c r="AWT160" s="187"/>
      <c r="AWU160" s="187"/>
      <c r="AWV160" s="187"/>
      <c r="AWW160" s="187"/>
      <c r="AWX160" s="187"/>
      <c r="AWY160" s="187"/>
      <c r="AWZ160" s="187"/>
      <c r="AXA160" s="187"/>
      <c r="AXB160" s="187"/>
      <c r="AXC160" s="187"/>
      <c r="AXD160" s="187"/>
      <c r="AXE160" s="187"/>
      <c r="AXF160" s="187"/>
      <c r="AXG160" s="187"/>
      <c r="AXH160" s="187"/>
      <c r="AXI160" s="187"/>
      <c r="AXJ160" s="187"/>
      <c r="AXK160" s="187"/>
      <c r="AXL160" s="187"/>
      <c r="AXM160" s="187"/>
      <c r="AXN160" s="187"/>
      <c r="AXO160" s="187"/>
      <c r="AXP160" s="187"/>
      <c r="AXQ160" s="187"/>
      <c r="AXR160" s="187"/>
      <c r="AXS160" s="187"/>
      <c r="AXT160" s="187"/>
      <c r="AXU160" s="187"/>
      <c r="AXV160" s="187"/>
      <c r="AXW160" s="187"/>
      <c r="AXX160" s="187"/>
      <c r="AXY160" s="187"/>
      <c r="AXZ160" s="187"/>
      <c r="AYA160" s="187"/>
      <c r="AYB160" s="187"/>
      <c r="AYC160" s="187"/>
      <c r="AYD160" s="187"/>
      <c r="AYE160" s="187"/>
      <c r="AYF160" s="187"/>
      <c r="AYG160" s="187"/>
      <c r="AYH160" s="187"/>
      <c r="AYI160" s="187"/>
      <c r="AYJ160" s="187"/>
      <c r="AYK160" s="187"/>
      <c r="AYL160" s="187"/>
      <c r="AYM160" s="187"/>
      <c r="AYN160" s="187"/>
      <c r="AYO160" s="187"/>
      <c r="AYP160" s="187"/>
      <c r="AYQ160" s="187"/>
      <c r="AYR160" s="187"/>
      <c r="AYS160" s="187"/>
      <c r="AYT160" s="187"/>
      <c r="AYU160" s="187"/>
      <c r="AYV160" s="187"/>
      <c r="AYW160" s="187"/>
      <c r="AYX160" s="187"/>
      <c r="AYY160" s="187"/>
      <c r="AYZ160" s="187"/>
      <c r="AZA160" s="187"/>
      <c r="AZB160" s="187"/>
      <c r="AZC160" s="187"/>
      <c r="AZD160" s="187"/>
      <c r="AZE160" s="187"/>
      <c r="AZF160" s="187"/>
      <c r="AZG160" s="187"/>
      <c r="AZH160" s="187"/>
      <c r="AZI160" s="187"/>
      <c r="AZJ160" s="187"/>
      <c r="AZK160" s="187"/>
      <c r="AZL160" s="187"/>
      <c r="AZM160" s="187"/>
      <c r="AZN160" s="187"/>
      <c r="AZO160" s="187"/>
      <c r="AZP160" s="187"/>
      <c r="AZQ160" s="187"/>
      <c r="AZR160" s="187"/>
      <c r="AZS160" s="187"/>
      <c r="AZT160" s="187"/>
      <c r="AZU160" s="187"/>
      <c r="AZV160" s="187"/>
      <c r="AZW160" s="187"/>
      <c r="AZX160" s="187"/>
      <c r="AZY160" s="187"/>
      <c r="AZZ160" s="187"/>
      <c r="BAA160" s="187"/>
      <c r="BAB160" s="187"/>
      <c r="BAC160" s="187"/>
      <c r="BAD160" s="187"/>
      <c r="BAE160" s="187"/>
      <c r="BAF160" s="187"/>
      <c r="BAG160" s="187"/>
      <c r="BAH160" s="187"/>
      <c r="BAI160" s="187"/>
      <c r="BAJ160" s="187"/>
      <c r="BAK160" s="187"/>
      <c r="BAL160" s="187"/>
      <c r="BAM160" s="187"/>
      <c r="BAN160" s="187"/>
      <c r="BAO160" s="187"/>
      <c r="BAP160" s="187"/>
      <c r="BAQ160" s="187"/>
      <c r="BAR160" s="187"/>
      <c r="BAS160" s="187"/>
      <c r="BAT160" s="187"/>
      <c r="BAU160" s="187"/>
      <c r="BAV160" s="187"/>
      <c r="BAW160" s="187"/>
      <c r="BAX160" s="187"/>
      <c r="BAY160" s="187"/>
      <c r="BAZ160" s="187"/>
      <c r="BBA160" s="187"/>
      <c r="BBB160" s="187"/>
      <c r="BBC160" s="187"/>
      <c r="BBD160" s="187"/>
      <c r="BBE160" s="187"/>
      <c r="BBF160" s="187"/>
      <c r="BBG160" s="187"/>
      <c r="BBH160" s="187"/>
      <c r="BBI160" s="187"/>
      <c r="BBJ160" s="187"/>
      <c r="BBK160" s="187"/>
      <c r="BBL160" s="187"/>
      <c r="BBM160" s="187"/>
      <c r="BBN160" s="187"/>
      <c r="BBO160" s="187"/>
      <c r="BBP160" s="187"/>
      <c r="BBQ160" s="187"/>
      <c r="BBR160" s="187"/>
      <c r="BBS160" s="187"/>
      <c r="BBT160" s="187"/>
      <c r="BBU160" s="187"/>
      <c r="BBV160" s="187"/>
      <c r="BBW160" s="187"/>
      <c r="BBX160" s="187"/>
      <c r="BBY160" s="187"/>
      <c r="BBZ160" s="187"/>
      <c r="BCA160" s="187"/>
      <c r="BCB160" s="187"/>
      <c r="BCC160" s="187"/>
      <c r="BCD160" s="187"/>
      <c r="BCE160" s="187"/>
      <c r="BCF160" s="187"/>
      <c r="BCG160" s="187"/>
      <c r="BCH160" s="187"/>
      <c r="BCI160" s="187"/>
      <c r="BCJ160" s="187"/>
      <c r="BCK160" s="187"/>
      <c r="BCL160" s="187"/>
      <c r="BCM160" s="187"/>
      <c r="BCN160" s="187"/>
      <c r="BCO160" s="187"/>
      <c r="BCP160" s="187"/>
      <c r="BCQ160" s="187"/>
      <c r="BCR160" s="187"/>
      <c r="BCS160" s="187"/>
      <c r="BCT160" s="187"/>
      <c r="BCU160" s="187"/>
      <c r="BCV160" s="187"/>
      <c r="BCW160" s="187"/>
      <c r="BCX160" s="187"/>
      <c r="BCY160" s="187"/>
      <c r="BCZ160" s="187"/>
      <c r="BDA160" s="187"/>
      <c r="BDB160" s="187"/>
      <c r="BDC160" s="187"/>
      <c r="BDD160" s="187"/>
      <c r="BDE160" s="187"/>
      <c r="BDF160" s="187"/>
      <c r="BDG160" s="187"/>
      <c r="BDH160" s="187"/>
      <c r="BDI160" s="187"/>
      <c r="BDJ160" s="187"/>
      <c r="BDK160" s="187"/>
      <c r="BDL160" s="187"/>
      <c r="BDM160" s="187"/>
      <c r="BDN160" s="187"/>
      <c r="BDO160" s="187"/>
      <c r="BDP160" s="187"/>
      <c r="BDQ160" s="187"/>
      <c r="BDR160" s="187"/>
      <c r="BDS160" s="187"/>
      <c r="BDT160" s="187"/>
      <c r="BDU160" s="187"/>
      <c r="BDV160" s="187"/>
      <c r="BDW160" s="187"/>
      <c r="BDX160" s="187"/>
      <c r="BDY160" s="187"/>
      <c r="BDZ160" s="187"/>
      <c r="BEA160" s="187"/>
      <c r="BEB160" s="187"/>
      <c r="BEC160" s="187"/>
      <c r="BED160" s="187"/>
      <c r="BEE160" s="187"/>
      <c r="BEF160" s="187"/>
      <c r="BEG160" s="187"/>
      <c r="BEH160" s="187"/>
      <c r="BEI160" s="187"/>
      <c r="BEJ160" s="187"/>
      <c r="BEK160" s="187"/>
      <c r="BEL160" s="187"/>
      <c r="BEM160" s="187"/>
      <c r="BEN160" s="187"/>
      <c r="BEO160" s="187"/>
      <c r="BEP160" s="187"/>
      <c r="BEQ160" s="187"/>
      <c r="BER160" s="187"/>
      <c r="BES160" s="187"/>
      <c r="BET160" s="187"/>
      <c r="BEU160" s="187"/>
      <c r="BEV160" s="187"/>
      <c r="BEW160" s="187"/>
      <c r="BEX160" s="187"/>
      <c r="BEY160" s="187"/>
      <c r="BEZ160" s="187"/>
      <c r="BFA160" s="187"/>
      <c r="BFB160" s="187"/>
      <c r="BFC160" s="187"/>
      <c r="BFD160" s="187"/>
      <c r="BFE160" s="187"/>
      <c r="BFF160" s="187"/>
      <c r="BFG160" s="187"/>
      <c r="BFH160" s="187"/>
      <c r="BFI160" s="187"/>
      <c r="BFJ160" s="187"/>
      <c r="BFK160" s="187"/>
      <c r="BFL160" s="187"/>
      <c r="BFM160" s="187"/>
      <c r="BFN160" s="187"/>
      <c r="BFO160" s="187"/>
      <c r="BFP160" s="187"/>
      <c r="BFQ160" s="187"/>
      <c r="BFR160" s="187"/>
      <c r="BFS160" s="187"/>
      <c r="BFT160" s="187"/>
      <c r="BFU160" s="187"/>
      <c r="BFV160" s="187"/>
      <c r="BFW160" s="187"/>
      <c r="BFX160" s="187"/>
      <c r="BFY160" s="187"/>
      <c r="BFZ160" s="187"/>
      <c r="BGA160" s="187"/>
      <c r="BGB160" s="187"/>
      <c r="BGC160" s="187"/>
      <c r="BGD160" s="187"/>
      <c r="BGE160" s="187"/>
      <c r="BGF160" s="187"/>
      <c r="BGG160" s="187"/>
      <c r="BGH160" s="187"/>
      <c r="BGI160" s="187"/>
      <c r="BGJ160" s="187"/>
      <c r="BGK160" s="187"/>
      <c r="BGL160" s="187"/>
      <c r="BGM160" s="187"/>
      <c r="BGN160" s="187"/>
      <c r="BGO160" s="187"/>
      <c r="BGP160" s="187"/>
      <c r="BGQ160" s="187"/>
      <c r="BGR160" s="187"/>
      <c r="BGS160" s="187"/>
      <c r="BGT160" s="187"/>
      <c r="BGU160" s="187"/>
      <c r="BGV160" s="187"/>
      <c r="BGW160" s="187"/>
      <c r="BGX160" s="187"/>
      <c r="BGY160" s="187"/>
      <c r="BGZ160" s="187"/>
      <c r="BHA160" s="187"/>
      <c r="BHB160" s="187"/>
      <c r="BHC160" s="187"/>
      <c r="BHD160" s="187"/>
      <c r="BHE160" s="187"/>
      <c r="BHF160" s="187"/>
      <c r="BHG160" s="187"/>
      <c r="BHH160" s="187"/>
      <c r="BHI160" s="187"/>
      <c r="BHJ160" s="187"/>
      <c r="BHK160" s="187"/>
      <c r="BHL160" s="187"/>
      <c r="BHM160" s="187"/>
      <c r="BHN160" s="187"/>
      <c r="BHO160" s="187"/>
      <c r="BHP160" s="187"/>
      <c r="BHQ160" s="187"/>
      <c r="BHR160" s="187"/>
      <c r="BHS160" s="187"/>
      <c r="BHT160" s="187"/>
      <c r="BHU160" s="187"/>
      <c r="BHV160" s="187"/>
      <c r="BHW160" s="187"/>
      <c r="BHX160" s="187"/>
      <c r="BHY160" s="187"/>
      <c r="BHZ160" s="187"/>
      <c r="BIA160" s="187"/>
      <c r="BIB160" s="187"/>
      <c r="BIC160" s="187"/>
      <c r="BID160" s="187"/>
      <c r="BIE160" s="187"/>
      <c r="BIF160" s="187"/>
      <c r="BIG160" s="187"/>
      <c r="BIH160" s="187"/>
      <c r="BII160" s="187"/>
      <c r="BIJ160" s="187"/>
      <c r="BIK160" s="187"/>
      <c r="BIL160" s="187"/>
      <c r="BIM160" s="187"/>
      <c r="BIN160" s="187"/>
      <c r="BIO160" s="187"/>
      <c r="BIP160" s="187"/>
      <c r="BIQ160" s="187"/>
      <c r="BIR160" s="187"/>
      <c r="BIS160" s="187"/>
      <c r="BIT160" s="187"/>
      <c r="BIU160" s="187"/>
      <c r="BIV160" s="187"/>
      <c r="BIW160" s="187"/>
      <c r="BIX160" s="187"/>
      <c r="BIY160" s="187"/>
      <c r="BIZ160" s="187"/>
      <c r="BJA160" s="187"/>
      <c r="BJB160" s="187"/>
      <c r="BJC160" s="187"/>
      <c r="BJD160" s="187"/>
      <c r="BJE160" s="187"/>
      <c r="BJF160" s="187"/>
      <c r="BJG160" s="187"/>
      <c r="BJH160" s="187"/>
      <c r="BJI160" s="187"/>
      <c r="BJJ160" s="187"/>
      <c r="BJK160" s="187"/>
      <c r="BJL160" s="187"/>
      <c r="BJM160" s="187"/>
      <c r="BJN160" s="187"/>
      <c r="BJO160" s="187"/>
      <c r="BJP160" s="187"/>
      <c r="BJQ160" s="187"/>
      <c r="BJR160" s="187"/>
      <c r="BJS160" s="187"/>
      <c r="BJT160" s="187"/>
      <c r="BJU160" s="187"/>
      <c r="BJV160" s="187"/>
      <c r="BJW160" s="187"/>
      <c r="BJX160" s="187"/>
      <c r="BJY160" s="187"/>
      <c r="BJZ160" s="187"/>
      <c r="BKA160" s="187"/>
      <c r="BKB160" s="187"/>
      <c r="BKC160" s="187"/>
      <c r="BKD160" s="187"/>
      <c r="BKE160" s="187"/>
      <c r="BKF160" s="187"/>
      <c r="BKG160" s="187"/>
      <c r="BKH160" s="187"/>
      <c r="BKI160" s="187"/>
      <c r="BKJ160" s="187"/>
      <c r="BKK160" s="187"/>
      <c r="BKL160" s="187"/>
      <c r="BKM160" s="187"/>
      <c r="BKN160" s="187"/>
      <c r="BKO160" s="187"/>
      <c r="BKP160" s="187"/>
      <c r="BKQ160" s="187"/>
      <c r="BKR160" s="187"/>
      <c r="BKS160" s="187"/>
      <c r="BKT160" s="187"/>
      <c r="BKU160" s="187"/>
      <c r="BKV160" s="187"/>
      <c r="BKW160" s="187"/>
      <c r="BKX160" s="187"/>
      <c r="BKY160" s="187"/>
      <c r="BKZ160" s="187"/>
      <c r="BLA160" s="187"/>
      <c r="BLB160" s="187"/>
      <c r="BLC160" s="187"/>
      <c r="BLD160" s="187"/>
      <c r="BLE160" s="187"/>
      <c r="BLF160" s="187"/>
      <c r="BLG160" s="187"/>
      <c r="BLH160" s="187"/>
      <c r="BLI160" s="187"/>
      <c r="BLJ160" s="187"/>
      <c r="BLK160" s="187"/>
      <c r="BLL160" s="187"/>
      <c r="BLM160" s="187"/>
      <c r="BLN160" s="187"/>
      <c r="BLO160" s="187"/>
      <c r="BLP160" s="187"/>
      <c r="BLQ160" s="187"/>
      <c r="BLR160" s="187"/>
      <c r="BLS160" s="187"/>
      <c r="BLT160" s="187"/>
      <c r="BLU160" s="187"/>
      <c r="BLV160" s="187"/>
      <c r="BLW160" s="187"/>
      <c r="BLX160" s="187"/>
      <c r="BLY160" s="187"/>
      <c r="BLZ160" s="187"/>
      <c r="BMA160" s="187"/>
      <c r="BMB160" s="187"/>
      <c r="BMC160" s="187"/>
      <c r="BMD160" s="187"/>
      <c r="BME160" s="187"/>
      <c r="BMF160" s="187"/>
      <c r="BMG160" s="187"/>
      <c r="BMH160" s="187"/>
      <c r="BMI160" s="187"/>
      <c r="BMJ160" s="187"/>
      <c r="BMK160" s="187"/>
      <c r="BML160" s="187"/>
      <c r="BMM160" s="187"/>
      <c r="BMN160" s="187"/>
      <c r="BMO160" s="187"/>
      <c r="BMP160" s="187"/>
      <c r="BMQ160" s="187"/>
      <c r="BMR160" s="187"/>
      <c r="BMS160" s="187"/>
      <c r="BMT160" s="187"/>
      <c r="BMU160" s="187"/>
      <c r="BMV160" s="187"/>
      <c r="BMW160" s="187"/>
      <c r="BMX160" s="187"/>
      <c r="BMY160" s="187"/>
      <c r="BMZ160" s="187"/>
      <c r="BNA160" s="187"/>
      <c r="BNB160" s="187"/>
      <c r="BNC160" s="187"/>
      <c r="BND160" s="187"/>
      <c r="BNE160" s="187"/>
      <c r="BNF160" s="187"/>
      <c r="BNG160" s="187"/>
      <c r="BNH160" s="187"/>
      <c r="BNI160" s="187"/>
      <c r="BNJ160" s="187"/>
      <c r="BNK160" s="187"/>
      <c r="BNL160" s="187"/>
      <c r="BNM160" s="187"/>
      <c r="BNN160" s="187"/>
      <c r="BNO160" s="187"/>
      <c r="BNP160" s="187"/>
      <c r="BNQ160" s="187"/>
      <c r="BNR160" s="187"/>
      <c r="BNS160" s="187"/>
      <c r="BNT160" s="187"/>
      <c r="BNU160" s="187"/>
      <c r="BNV160" s="187"/>
      <c r="BNW160" s="187"/>
      <c r="BNX160" s="187"/>
      <c r="BNY160" s="187"/>
      <c r="BNZ160" s="187"/>
      <c r="BOA160" s="187"/>
      <c r="BOB160" s="187"/>
      <c r="BOC160" s="187"/>
      <c r="BOD160" s="187"/>
      <c r="BOE160" s="187"/>
      <c r="BOF160" s="187"/>
      <c r="BOG160" s="187"/>
      <c r="BOH160" s="187"/>
      <c r="BOI160" s="187"/>
      <c r="BOJ160" s="187"/>
      <c r="BOK160" s="187"/>
      <c r="BOL160" s="187"/>
      <c r="BOM160" s="187"/>
      <c r="BON160" s="187"/>
      <c r="BOO160" s="187"/>
      <c r="BOP160" s="187"/>
      <c r="BOQ160" s="187"/>
      <c r="BOR160" s="187"/>
      <c r="BOS160" s="187"/>
      <c r="BOT160" s="187"/>
      <c r="BOU160" s="187"/>
      <c r="BOV160" s="187"/>
      <c r="BOW160" s="187"/>
      <c r="BOX160" s="187"/>
      <c r="BOY160" s="187"/>
      <c r="BOZ160" s="187"/>
      <c r="BPA160" s="187"/>
      <c r="BPB160" s="187"/>
      <c r="BPC160" s="187"/>
      <c r="BPD160" s="187"/>
      <c r="BPE160" s="187"/>
      <c r="BPF160" s="187"/>
      <c r="BPG160" s="187"/>
      <c r="BPH160" s="187"/>
      <c r="BPI160" s="187"/>
      <c r="BPJ160" s="187"/>
      <c r="BPK160" s="187"/>
      <c r="BPL160" s="187"/>
      <c r="BPM160" s="187"/>
      <c r="BPN160" s="187"/>
      <c r="BPO160" s="187"/>
      <c r="BPP160" s="187"/>
      <c r="BPQ160" s="187"/>
      <c r="BPR160" s="187"/>
      <c r="BPS160" s="187"/>
      <c r="BPT160" s="187"/>
      <c r="BPU160" s="187"/>
      <c r="BPV160" s="187"/>
      <c r="BPW160" s="187"/>
      <c r="BPX160" s="187"/>
      <c r="BPY160" s="187"/>
      <c r="BPZ160" s="187"/>
      <c r="BQA160" s="187"/>
      <c r="BQB160" s="187"/>
      <c r="BQC160" s="187"/>
      <c r="BQD160" s="187"/>
      <c r="BQE160" s="187"/>
      <c r="BQF160" s="187"/>
      <c r="BQG160" s="187"/>
      <c r="BQH160" s="187"/>
      <c r="BQI160" s="187"/>
      <c r="BQJ160" s="187"/>
      <c r="BQK160" s="187"/>
      <c r="BQL160" s="187"/>
      <c r="BQM160" s="187"/>
      <c r="BQN160" s="187"/>
      <c r="BQO160" s="187"/>
      <c r="BQP160" s="187"/>
      <c r="BQQ160" s="187"/>
      <c r="BQR160" s="187"/>
      <c r="BQS160" s="187"/>
      <c r="BQT160" s="187"/>
      <c r="BQU160" s="187"/>
      <c r="BQV160" s="187"/>
      <c r="BQW160" s="187"/>
      <c r="BQX160" s="187"/>
      <c r="BQY160" s="187"/>
      <c r="BQZ160" s="187"/>
      <c r="BRA160" s="187"/>
      <c r="BRB160" s="187"/>
      <c r="BRC160" s="187"/>
      <c r="BRD160" s="187"/>
      <c r="BRE160" s="187"/>
      <c r="BRF160" s="187"/>
      <c r="BRG160" s="187"/>
      <c r="BRH160" s="187"/>
      <c r="BRI160" s="187"/>
      <c r="BRJ160" s="187"/>
      <c r="BRK160" s="187"/>
      <c r="BRL160" s="187"/>
      <c r="BRM160" s="187"/>
      <c r="BRN160" s="187"/>
      <c r="BRO160" s="187"/>
      <c r="BRP160" s="187"/>
      <c r="BRQ160" s="187"/>
      <c r="BRR160" s="187"/>
      <c r="BRS160" s="187"/>
      <c r="BRT160" s="187"/>
      <c r="BRU160" s="187"/>
      <c r="BRV160" s="187"/>
      <c r="BRW160" s="187"/>
      <c r="BRX160" s="187"/>
      <c r="BRY160" s="187"/>
      <c r="BRZ160" s="187"/>
      <c r="BSA160" s="187"/>
      <c r="BSB160" s="187"/>
      <c r="BSC160" s="187"/>
      <c r="BSD160" s="187"/>
      <c r="BSE160" s="187"/>
      <c r="BSF160" s="187"/>
      <c r="BSG160" s="187"/>
      <c r="BSH160" s="187"/>
      <c r="BSI160" s="187"/>
      <c r="BSJ160" s="187"/>
      <c r="BSK160" s="187"/>
      <c r="BSL160" s="187"/>
      <c r="BSM160" s="187"/>
      <c r="BSN160" s="187"/>
      <c r="BSO160" s="187"/>
      <c r="BSP160" s="187"/>
      <c r="BSQ160" s="187"/>
      <c r="BSR160" s="187"/>
      <c r="BSS160" s="187"/>
      <c r="BST160" s="187"/>
      <c r="BSU160" s="187"/>
      <c r="BSV160" s="187"/>
      <c r="BSW160" s="187"/>
      <c r="BSX160" s="187"/>
      <c r="BSY160" s="187"/>
      <c r="BSZ160" s="187"/>
      <c r="BTA160" s="187"/>
      <c r="BTB160" s="187"/>
      <c r="BTC160" s="187"/>
      <c r="BTD160" s="187"/>
      <c r="BTE160" s="187"/>
      <c r="BTF160" s="187"/>
      <c r="BTG160" s="187"/>
      <c r="BTH160" s="187"/>
      <c r="BTI160" s="187"/>
      <c r="BTJ160" s="187"/>
      <c r="BTK160" s="187"/>
      <c r="BTL160" s="187"/>
      <c r="BTM160" s="187"/>
      <c r="BTN160" s="187"/>
      <c r="BTO160" s="187"/>
      <c r="BTP160" s="187"/>
      <c r="BTQ160" s="187"/>
      <c r="BTR160" s="187"/>
      <c r="BTS160" s="187"/>
      <c r="BTT160" s="187"/>
      <c r="BTU160" s="187"/>
      <c r="BTV160" s="187"/>
      <c r="BTW160" s="187"/>
      <c r="BTX160" s="187"/>
      <c r="BTY160" s="187"/>
      <c r="BTZ160" s="187"/>
      <c r="BUA160" s="187"/>
      <c r="BUB160" s="187"/>
      <c r="BUC160" s="187"/>
      <c r="BUD160" s="187"/>
      <c r="BUE160" s="187"/>
      <c r="BUF160" s="187"/>
      <c r="BUG160" s="187"/>
      <c r="BUH160" s="187"/>
      <c r="BUI160" s="187"/>
      <c r="BUJ160" s="187"/>
      <c r="BUK160" s="187"/>
      <c r="BUL160" s="187"/>
      <c r="BUM160" s="187"/>
      <c r="BUN160" s="187"/>
      <c r="BUO160" s="187"/>
      <c r="BUP160" s="187"/>
      <c r="BUQ160" s="187"/>
      <c r="BUR160" s="187"/>
      <c r="BUS160" s="187"/>
      <c r="BUT160" s="187"/>
      <c r="BUU160" s="187"/>
      <c r="BUV160" s="187"/>
      <c r="BUW160" s="187"/>
      <c r="BUX160" s="187"/>
      <c r="BUY160" s="187"/>
      <c r="BUZ160" s="187"/>
      <c r="BVA160" s="187"/>
      <c r="BVB160" s="187"/>
      <c r="BVC160" s="187"/>
      <c r="BVD160" s="187"/>
      <c r="BVE160" s="187"/>
      <c r="BVF160" s="187"/>
      <c r="BVG160" s="187"/>
      <c r="BVH160" s="187"/>
      <c r="BVI160" s="187"/>
      <c r="BVJ160" s="187"/>
      <c r="BVK160" s="187"/>
      <c r="BVL160" s="187"/>
      <c r="BVM160" s="187"/>
      <c r="BVN160" s="187"/>
      <c r="BVO160" s="187"/>
      <c r="BVP160" s="187"/>
      <c r="BVQ160" s="187"/>
      <c r="BVR160" s="187"/>
      <c r="BVS160" s="187"/>
      <c r="BVT160" s="187"/>
      <c r="BVU160" s="187"/>
      <c r="BVV160" s="187"/>
      <c r="BVW160" s="187"/>
      <c r="BVX160" s="187"/>
      <c r="BVY160" s="187"/>
      <c r="BVZ160" s="187"/>
      <c r="BWA160" s="187"/>
      <c r="BWB160" s="187"/>
      <c r="BWC160" s="187"/>
      <c r="BWD160" s="187"/>
      <c r="BWE160" s="187"/>
      <c r="BWF160" s="187"/>
      <c r="BWG160" s="187"/>
      <c r="BWH160" s="187"/>
      <c r="BWI160" s="187"/>
      <c r="BWJ160" s="187"/>
      <c r="BWK160" s="187"/>
      <c r="BWL160" s="187"/>
      <c r="BWM160" s="187"/>
      <c r="BWN160" s="187"/>
      <c r="BWO160" s="187"/>
      <c r="BWP160" s="187"/>
      <c r="BWQ160" s="187"/>
      <c r="BWR160" s="187"/>
      <c r="BWS160" s="187"/>
      <c r="BWT160" s="187"/>
      <c r="BWU160" s="187"/>
      <c r="BWV160" s="187"/>
      <c r="BWW160" s="187"/>
      <c r="BWX160" s="187"/>
      <c r="BWY160" s="187"/>
      <c r="BWZ160" s="187"/>
      <c r="BXA160" s="187"/>
      <c r="BXB160" s="187"/>
      <c r="BXC160" s="187"/>
      <c r="BXD160" s="187"/>
      <c r="BXE160" s="187"/>
      <c r="BXF160" s="187"/>
      <c r="BXG160" s="187"/>
      <c r="BXH160" s="187"/>
      <c r="BXI160" s="187"/>
      <c r="BXJ160" s="187"/>
      <c r="BXK160" s="187"/>
      <c r="BXL160" s="187"/>
      <c r="BXM160" s="187"/>
      <c r="BXN160" s="187"/>
      <c r="BXO160" s="187"/>
      <c r="BXP160" s="187"/>
      <c r="BXQ160" s="187"/>
      <c r="BXR160" s="187"/>
      <c r="BXS160" s="187"/>
      <c r="BXT160" s="187"/>
      <c r="BXU160" s="187"/>
      <c r="BXV160" s="187"/>
      <c r="BXW160" s="187"/>
      <c r="BXX160" s="187"/>
      <c r="BXY160" s="187"/>
      <c r="BXZ160" s="187"/>
      <c r="BYA160" s="187"/>
      <c r="BYB160" s="187"/>
      <c r="BYC160" s="187"/>
      <c r="BYD160" s="187"/>
      <c r="BYE160" s="187"/>
      <c r="BYF160" s="187"/>
      <c r="BYG160" s="187"/>
      <c r="BYH160" s="187"/>
      <c r="BYI160" s="187"/>
      <c r="BYJ160" s="187"/>
      <c r="BYK160" s="187"/>
      <c r="BYL160" s="187"/>
      <c r="BYM160" s="187"/>
      <c r="BYN160" s="187"/>
      <c r="BYO160" s="187"/>
      <c r="BYP160" s="187"/>
      <c r="BYQ160" s="187"/>
      <c r="BYR160" s="187"/>
      <c r="BYS160" s="187"/>
      <c r="BYT160" s="187"/>
      <c r="BYU160" s="187"/>
      <c r="BYV160" s="187"/>
      <c r="BYW160" s="187"/>
      <c r="BYX160" s="187"/>
      <c r="BYY160" s="187"/>
      <c r="BYZ160" s="187"/>
      <c r="BZA160" s="187"/>
      <c r="BZB160" s="187"/>
      <c r="BZC160" s="187"/>
      <c r="BZD160" s="187"/>
      <c r="BZE160" s="187"/>
      <c r="BZF160" s="187"/>
      <c r="BZG160" s="187"/>
      <c r="BZH160" s="187"/>
      <c r="BZI160" s="187"/>
      <c r="BZJ160" s="187"/>
      <c r="BZK160" s="187"/>
      <c r="BZL160" s="187"/>
      <c r="BZM160" s="187"/>
      <c r="BZN160" s="187"/>
      <c r="BZO160" s="187"/>
      <c r="BZP160" s="187"/>
      <c r="BZQ160" s="187"/>
      <c r="BZR160" s="187"/>
      <c r="BZS160" s="187"/>
      <c r="BZT160" s="187"/>
      <c r="BZU160" s="187"/>
      <c r="BZV160" s="187"/>
      <c r="BZW160" s="187"/>
      <c r="BZX160" s="187"/>
      <c r="BZY160" s="187"/>
      <c r="BZZ160" s="187"/>
      <c r="CAA160" s="187"/>
      <c r="CAB160" s="187"/>
      <c r="CAC160" s="187"/>
      <c r="CAD160" s="187"/>
      <c r="CAE160" s="187"/>
      <c r="CAF160" s="187"/>
      <c r="CAG160" s="187"/>
      <c r="CAH160" s="187"/>
      <c r="CAI160" s="187"/>
      <c r="CAJ160" s="187"/>
      <c r="CAK160" s="187"/>
      <c r="CAL160" s="187"/>
      <c r="CAM160" s="187"/>
      <c r="CAN160" s="187"/>
      <c r="CAO160" s="187"/>
      <c r="CAP160" s="187"/>
      <c r="CAQ160" s="187"/>
      <c r="CAR160" s="187"/>
      <c r="CAS160" s="187"/>
      <c r="CAT160" s="187"/>
      <c r="CAU160" s="187"/>
      <c r="CAV160" s="187"/>
      <c r="CAW160" s="187"/>
      <c r="CAX160" s="187"/>
      <c r="CAY160" s="187"/>
      <c r="CAZ160" s="187"/>
      <c r="CBA160" s="187"/>
      <c r="CBB160" s="187"/>
      <c r="CBC160" s="187"/>
      <c r="CBD160" s="187"/>
      <c r="CBE160" s="187"/>
      <c r="CBF160" s="187"/>
      <c r="CBG160" s="187"/>
      <c r="CBH160" s="187"/>
      <c r="CBI160" s="187"/>
      <c r="CBJ160" s="187"/>
      <c r="CBK160" s="187"/>
      <c r="CBL160" s="187"/>
      <c r="CBM160" s="187"/>
      <c r="CBN160" s="187"/>
      <c r="CBO160" s="187"/>
      <c r="CBP160" s="187"/>
      <c r="CBQ160" s="187"/>
      <c r="CBR160" s="187"/>
      <c r="CBS160" s="187"/>
      <c r="CBT160" s="187"/>
      <c r="CBU160" s="187"/>
      <c r="CBV160" s="187"/>
      <c r="CBW160" s="187"/>
      <c r="CBX160" s="187"/>
      <c r="CBY160" s="187"/>
      <c r="CBZ160" s="187"/>
      <c r="CCA160" s="187"/>
      <c r="CCB160" s="187"/>
      <c r="CCC160" s="187"/>
      <c r="CCD160" s="187"/>
      <c r="CCE160" s="187"/>
      <c r="CCF160" s="187"/>
      <c r="CCG160" s="187"/>
      <c r="CCH160" s="187"/>
      <c r="CCI160" s="187"/>
      <c r="CCJ160" s="187"/>
      <c r="CCK160" s="187"/>
      <c r="CCL160" s="187"/>
      <c r="CCM160" s="187"/>
      <c r="CCN160" s="187"/>
      <c r="CCO160" s="187"/>
      <c r="CCP160" s="187"/>
      <c r="CCQ160" s="187"/>
      <c r="CCR160" s="187"/>
      <c r="CCS160" s="187"/>
      <c r="CCT160" s="187"/>
      <c r="CCU160" s="187"/>
      <c r="CCV160" s="187"/>
      <c r="CCW160" s="187"/>
      <c r="CCX160" s="187"/>
      <c r="CCY160" s="187"/>
      <c r="CCZ160" s="187"/>
      <c r="CDA160" s="187"/>
      <c r="CDB160" s="187"/>
      <c r="CDC160" s="187"/>
      <c r="CDD160" s="187"/>
      <c r="CDE160" s="187"/>
      <c r="CDF160" s="187"/>
      <c r="CDG160" s="187"/>
      <c r="CDH160" s="187"/>
      <c r="CDI160" s="187"/>
      <c r="CDJ160" s="187"/>
      <c r="CDK160" s="187"/>
      <c r="CDL160" s="187"/>
      <c r="CDM160" s="187"/>
      <c r="CDN160" s="187"/>
      <c r="CDO160" s="187"/>
      <c r="CDP160" s="187"/>
      <c r="CDQ160" s="187"/>
      <c r="CDR160" s="187"/>
      <c r="CDS160" s="187"/>
      <c r="CDT160" s="187"/>
      <c r="CDU160" s="187"/>
      <c r="CDV160" s="187"/>
      <c r="CDW160" s="187"/>
      <c r="CDX160" s="187"/>
      <c r="CDY160" s="187"/>
      <c r="CDZ160" s="187"/>
      <c r="CEA160" s="187"/>
      <c r="CEB160" s="187"/>
      <c r="CEC160" s="187"/>
      <c r="CED160" s="187"/>
      <c r="CEE160" s="187"/>
      <c r="CEF160" s="187"/>
      <c r="CEG160" s="187"/>
      <c r="CEH160" s="187"/>
      <c r="CEI160" s="187"/>
      <c r="CEJ160" s="187"/>
      <c r="CEK160" s="187"/>
      <c r="CEL160" s="187"/>
      <c r="CEM160" s="187"/>
      <c r="CEN160" s="187"/>
      <c r="CEO160" s="187"/>
      <c r="CEP160" s="187"/>
      <c r="CEQ160" s="187"/>
      <c r="CER160" s="187"/>
      <c r="CES160" s="187"/>
      <c r="CET160" s="187"/>
      <c r="CEU160" s="187"/>
      <c r="CEV160" s="187"/>
      <c r="CEW160" s="187"/>
      <c r="CEX160" s="187"/>
      <c r="CEY160" s="187"/>
      <c r="CEZ160" s="187"/>
      <c r="CFA160" s="187"/>
      <c r="CFB160" s="187"/>
      <c r="CFC160" s="187"/>
      <c r="CFD160" s="187"/>
      <c r="CFE160" s="187"/>
      <c r="CFF160" s="187"/>
      <c r="CFG160" s="187"/>
      <c r="CFH160" s="187"/>
      <c r="CFI160" s="187"/>
      <c r="CFJ160" s="187"/>
      <c r="CFK160" s="187"/>
      <c r="CFL160" s="187"/>
      <c r="CFM160" s="187"/>
      <c r="CFN160" s="187"/>
      <c r="CFO160" s="187"/>
      <c r="CFP160" s="187"/>
      <c r="CFQ160" s="187"/>
      <c r="CFR160" s="187"/>
      <c r="CFS160" s="187"/>
      <c r="CFT160" s="187"/>
      <c r="CFU160" s="187"/>
      <c r="CFV160" s="187"/>
      <c r="CFW160" s="187"/>
      <c r="CFX160" s="187"/>
      <c r="CFY160" s="187"/>
      <c r="CFZ160" s="187"/>
      <c r="CGA160" s="187"/>
      <c r="CGB160" s="187"/>
      <c r="CGC160" s="187"/>
      <c r="CGD160" s="187"/>
      <c r="CGE160" s="187"/>
      <c r="CGF160" s="187"/>
      <c r="CGG160" s="187"/>
      <c r="CGH160" s="187"/>
      <c r="CGI160" s="187"/>
      <c r="CGJ160" s="187"/>
      <c r="CGK160" s="187"/>
      <c r="CGL160" s="187"/>
      <c r="CGM160" s="187"/>
      <c r="CGN160" s="187"/>
      <c r="CGO160" s="187"/>
      <c r="CGP160" s="187"/>
      <c r="CGQ160" s="187"/>
      <c r="CGR160" s="187"/>
      <c r="CGS160" s="187"/>
      <c r="CGT160" s="187"/>
      <c r="CGU160" s="187"/>
      <c r="CGV160" s="187"/>
      <c r="CGW160" s="187"/>
      <c r="CGX160" s="187"/>
      <c r="CGY160" s="187"/>
      <c r="CGZ160" s="187"/>
      <c r="CHA160" s="187"/>
      <c r="CHB160" s="187"/>
      <c r="CHC160" s="187"/>
      <c r="CHD160" s="187"/>
      <c r="CHE160" s="187"/>
      <c r="CHF160" s="187"/>
      <c r="CHG160" s="187"/>
      <c r="CHH160" s="187"/>
      <c r="CHI160" s="187"/>
      <c r="CHJ160" s="187"/>
      <c r="CHK160" s="187"/>
      <c r="CHL160" s="187"/>
      <c r="CHM160" s="187"/>
      <c r="CHN160" s="187"/>
      <c r="CHO160" s="187"/>
      <c r="CHP160" s="187"/>
      <c r="CHQ160" s="187"/>
      <c r="CHR160" s="187"/>
      <c r="CHS160" s="187"/>
      <c r="CHT160" s="187"/>
      <c r="CHU160" s="187"/>
      <c r="CHV160" s="187"/>
      <c r="CHW160" s="187"/>
      <c r="CHX160" s="187"/>
      <c r="CHY160" s="187"/>
      <c r="CHZ160" s="187"/>
      <c r="CIA160" s="187"/>
      <c r="CIB160" s="187"/>
      <c r="CIC160" s="187"/>
      <c r="CID160" s="187"/>
      <c r="CIE160" s="187"/>
      <c r="CIF160" s="187"/>
      <c r="CIG160" s="187"/>
      <c r="CIH160" s="187"/>
      <c r="CII160" s="187"/>
      <c r="CIJ160" s="187"/>
      <c r="CIK160" s="187"/>
      <c r="CIL160" s="187"/>
      <c r="CIM160" s="187"/>
      <c r="CIN160" s="187"/>
      <c r="CIO160" s="187"/>
      <c r="CIP160" s="187"/>
      <c r="CIQ160" s="187"/>
      <c r="CIR160" s="187"/>
      <c r="CIS160" s="187"/>
      <c r="CIT160" s="187"/>
      <c r="CIU160" s="187"/>
      <c r="CIV160" s="187"/>
      <c r="CIW160" s="187"/>
      <c r="CIX160" s="187"/>
      <c r="CIY160" s="187"/>
      <c r="CIZ160" s="187"/>
      <c r="CJA160" s="187"/>
      <c r="CJB160" s="187"/>
      <c r="CJC160" s="187"/>
      <c r="CJD160" s="187"/>
      <c r="CJE160" s="187"/>
      <c r="CJF160" s="187"/>
      <c r="CJG160" s="187"/>
      <c r="CJH160" s="187"/>
      <c r="CJI160" s="187"/>
      <c r="CJJ160" s="187"/>
      <c r="CJK160" s="187"/>
      <c r="CJL160" s="187"/>
      <c r="CJM160" s="187"/>
      <c r="CJN160" s="187"/>
      <c r="CJO160" s="187"/>
      <c r="CJP160" s="187"/>
      <c r="CJQ160" s="187"/>
      <c r="CJR160" s="187"/>
      <c r="CJS160" s="187"/>
      <c r="CJT160" s="187"/>
      <c r="CJU160" s="187"/>
      <c r="CJV160" s="187"/>
      <c r="CJW160" s="187"/>
      <c r="CJX160" s="187"/>
      <c r="CJY160" s="187"/>
      <c r="CJZ160" s="187"/>
      <c r="CKA160" s="187"/>
      <c r="CKB160" s="187"/>
      <c r="CKC160" s="187"/>
      <c r="CKD160" s="187"/>
      <c r="CKE160" s="187"/>
      <c r="CKF160" s="187"/>
      <c r="CKG160" s="187"/>
      <c r="CKH160" s="187"/>
      <c r="CKI160" s="187"/>
      <c r="CKJ160" s="187"/>
      <c r="CKK160" s="187"/>
      <c r="CKL160" s="187"/>
      <c r="CKM160" s="187"/>
      <c r="CKN160" s="187"/>
      <c r="CKO160" s="187"/>
      <c r="CKP160" s="187"/>
      <c r="CKQ160" s="187"/>
      <c r="CKR160" s="187"/>
      <c r="CKS160" s="187"/>
      <c r="CKT160" s="187"/>
      <c r="CKU160" s="187"/>
      <c r="CKV160" s="187"/>
      <c r="CKW160" s="187"/>
      <c r="CKX160" s="187"/>
      <c r="CKY160" s="187"/>
      <c r="CKZ160" s="187"/>
      <c r="CLA160" s="187"/>
      <c r="CLB160" s="187"/>
      <c r="CLC160" s="187"/>
      <c r="CLD160" s="187"/>
      <c r="CLE160" s="187"/>
      <c r="CLF160" s="187"/>
      <c r="CLG160" s="187"/>
      <c r="CLH160" s="187"/>
      <c r="CLI160" s="187"/>
      <c r="CLJ160" s="187"/>
      <c r="CLK160" s="187"/>
      <c r="CLL160" s="187"/>
      <c r="CLM160" s="187"/>
      <c r="CLN160" s="187"/>
      <c r="CLO160" s="187"/>
      <c r="CLP160" s="187"/>
      <c r="CLQ160" s="187"/>
      <c r="CLR160" s="187"/>
      <c r="CLS160" s="187"/>
      <c r="CLT160" s="187"/>
      <c r="CLU160" s="187"/>
      <c r="CLV160" s="187"/>
      <c r="CLW160" s="187"/>
      <c r="CLX160" s="187"/>
      <c r="CLY160" s="187"/>
      <c r="CLZ160" s="187"/>
      <c r="CMA160" s="187"/>
      <c r="CMB160" s="187"/>
      <c r="CMC160" s="187"/>
      <c r="CMD160" s="187"/>
      <c r="CME160" s="187"/>
      <c r="CMF160" s="187"/>
      <c r="CMG160" s="187"/>
      <c r="CMH160" s="187"/>
      <c r="CMI160" s="187"/>
      <c r="CMJ160" s="187"/>
      <c r="CMK160" s="187"/>
      <c r="CML160" s="187"/>
      <c r="CMM160" s="187"/>
      <c r="CMN160" s="187"/>
      <c r="CMO160" s="187"/>
      <c r="CMP160" s="187"/>
      <c r="CMQ160" s="187"/>
      <c r="CMR160" s="187"/>
      <c r="CMS160" s="187"/>
      <c r="CMT160" s="187"/>
      <c r="CMU160" s="187"/>
      <c r="CMV160" s="187"/>
      <c r="CMW160" s="187"/>
      <c r="CMX160" s="187"/>
      <c r="CMY160" s="187"/>
      <c r="CMZ160" s="187"/>
      <c r="CNA160" s="187"/>
      <c r="CNB160" s="187"/>
      <c r="CNC160" s="187"/>
      <c r="CND160" s="187"/>
      <c r="CNE160" s="187"/>
      <c r="CNF160" s="187"/>
      <c r="CNG160" s="187"/>
      <c r="CNH160" s="187"/>
      <c r="CNI160" s="187"/>
      <c r="CNJ160" s="187"/>
      <c r="CNK160" s="187"/>
      <c r="CNL160" s="187"/>
      <c r="CNM160" s="187"/>
      <c r="CNN160" s="187"/>
      <c r="CNO160" s="187"/>
      <c r="CNP160" s="187"/>
      <c r="CNQ160" s="187"/>
      <c r="CNR160" s="187"/>
      <c r="CNS160" s="187"/>
      <c r="CNT160" s="187"/>
      <c r="CNU160" s="187"/>
      <c r="CNV160" s="187"/>
      <c r="CNW160" s="187"/>
      <c r="CNX160" s="187"/>
      <c r="CNY160" s="187"/>
      <c r="CNZ160" s="187"/>
      <c r="COA160" s="187"/>
      <c r="COB160" s="187"/>
      <c r="COC160" s="187"/>
      <c r="COD160" s="187"/>
      <c r="COE160" s="187"/>
      <c r="COF160" s="187"/>
      <c r="COG160" s="187"/>
      <c r="COH160" s="187"/>
      <c r="COI160" s="187"/>
      <c r="COJ160" s="187"/>
      <c r="COK160" s="187"/>
      <c r="COL160" s="187"/>
      <c r="COM160" s="187"/>
      <c r="CON160" s="187"/>
      <c r="COO160" s="187"/>
      <c r="COP160" s="187"/>
      <c r="COQ160" s="187"/>
      <c r="COR160" s="187"/>
      <c r="COS160" s="187"/>
      <c r="COT160" s="187"/>
      <c r="COU160" s="187"/>
      <c r="COV160" s="187"/>
      <c r="COW160" s="187"/>
      <c r="COX160" s="187"/>
      <c r="COY160" s="187"/>
      <c r="COZ160" s="187"/>
      <c r="CPA160" s="187"/>
      <c r="CPB160" s="187"/>
      <c r="CPC160" s="187"/>
      <c r="CPD160" s="187"/>
      <c r="CPE160" s="187"/>
      <c r="CPF160" s="187"/>
      <c r="CPG160" s="187"/>
      <c r="CPH160" s="187"/>
      <c r="CPI160" s="187"/>
      <c r="CPJ160" s="187"/>
      <c r="CPK160" s="187"/>
      <c r="CPL160" s="187"/>
      <c r="CPM160" s="187"/>
      <c r="CPN160" s="187"/>
      <c r="CPO160" s="187"/>
      <c r="CPP160" s="187"/>
      <c r="CPQ160" s="187"/>
      <c r="CPR160" s="187"/>
      <c r="CPS160" s="187"/>
      <c r="CPT160" s="187"/>
      <c r="CPU160" s="187"/>
      <c r="CPV160" s="187"/>
      <c r="CPW160" s="187"/>
      <c r="CPX160" s="187"/>
      <c r="CPY160" s="187"/>
      <c r="CPZ160" s="187"/>
      <c r="CQA160" s="187"/>
      <c r="CQB160" s="187"/>
      <c r="CQC160" s="187"/>
      <c r="CQD160" s="187"/>
      <c r="CQE160" s="187"/>
      <c r="CQF160" s="187"/>
      <c r="CQG160" s="187"/>
      <c r="CQH160" s="187"/>
      <c r="CQI160" s="187"/>
      <c r="CQJ160" s="187"/>
      <c r="CQK160" s="187"/>
      <c r="CQL160" s="187"/>
      <c r="CQM160" s="187"/>
      <c r="CQN160" s="187"/>
      <c r="CQO160" s="187"/>
      <c r="CQP160" s="187"/>
      <c r="CQQ160" s="187"/>
      <c r="CQR160" s="187"/>
      <c r="CQS160" s="187"/>
      <c r="CQT160" s="187"/>
      <c r="CQU160" s="187"/>
      <c r="CQV160" s="187"/>
      <c r="CQW160" s="187"/>
      <c r="CQX160" s="187"/>
      <c r="CQY160" s="187"/>
      <c r="CQZ160" s="187"/>
      <c r="CRA160" s="187"/>
      <c r="CRB160" s="187"/>
      <c r="CRC160" s="187"/>
      <c r="CRD160" s="187"/>
      <c r="CRE160" s="187"/>
      <c r="CRF160" s="187"/>
      <c r="CRG160" s="187"/>
      <c r="CRH160" s="187"/>
      <c r="CRI160" s="187"/>
      <c r="CRJ160" s="187"/>
      <c r="CRK160" s="187"/>
      <c r="CRL160" s="187"/>
      <c r="CRM160" s="187"/>
      <c r="CRN160" s="187"/>
      <c r="CRO160" s="187"/>
      <c r="CRP160" s="187"/>
      <c r="CRQ160" s="187"/>
      <c r="CRR160" s="187"/>
      <c r="CRS160" s="187"/>
      <c r="CRT160" s="187"/>
      <c r="CRU160" s="187"/>
      <c r="CRV160" s="187"/>
      <c r="CRW160" s="187"/>
      <c r="CRX160" s="187"/>
      <c r="CRY160" s="187"/>
      <c r="CRZ160" s="187"/>
      <c r="CSA160" s="187"/>
      <c r="CSB160" s="187"/>
      <c r="CSC160" s="187"/>
      <c r="CSD160" s="187"/>
      <c r="CSE160" s="187"/>
      <c r="CSF160" s="187"/>
      <c r="CSG160" s="187"/>
      <c r="CSH160" s="187"/>
      <c r="CSI160" s="187"/>
      <c r="CSJ160" s="187"/>
      <c r="CSK160" s="187"/>
      <c r="CSL160" s="187"/>
      <c r="CSM160" s="187"/>
      <c r="CSN160" s="187"/>
      <c r="CSO160" s="187"/>
      <c r="CSP160" s="187"/>
      <c r="CSQ160" s="187"/>
      <c r="CSR160" s="187"/>
      <c r="CSS160" s="187"/>
      <c r="CST160" s="187"/>
      <c r="CSU160" s="187"/>
      <c r="CSV160" s="187"/>
      <c r="CSW160" s="187"/>
      <c r="CSX160" s="187"/>
      <c r="CSY160" s="187"/>
      <c r="CSZ160" s="187"/>
      <c r="CTA160" s="187"/>
      <c r="CTB160" s="187"/>
      <c r="CTC160" s="187"/>
      <c r="CTD160" s="187"/>
      <c r="CTE160" s="187"/>
      <c r="CTF160" s="187"/>
      <c r="CTG160" s="187"/>
      <c r="CTH160" s="187"/>
      <c r="CTI160" s="187"/>
      <c r="CTJ160" s="187"/>
      <c r="CTK160" s="187"/>
      <c r="CTL160" s="187"/>
      <c r="CTM160" s="187"/>
      <c r="CTN160" s="187"/>
      <c r="CTO160" s="187"/>
      <c r="CTP160" s="187"/>
      <c r="CTQ160" s="187"/>
      <c r="CTR160" s="187"/>
      <c r="CTS160" s="187"/>
      <c r="CTT160" s="187"/>
      <c r="CTU160" s="187"/>
      <c r="CTV160" s="187"/>
      <c r="CTW160" s="187"/>
      <c r="CTX160" s="187"/>
      <c r="CTY160" s="187"/>
      <c r="CTZ160" s="187"/>
      <c r="CUA160" s="187"/>
      <c r="CUB160" s="187"/>
      <c r="CUC160" s="187"/>
      <c r="CUD160" s="187"/>
      <c r="CUE160" s="187"/>
      <c r="CUF160" s="187"/>
      <c r="CUG160" s="187"/>
      <c r="CUH160" s="187"/>
      <c r="CUI160" s="187"/>
      <c r="CUJ160" s="187"/>
      <c r="CUK160" s="187"/>
      <c r="CUL160" s="187"/>
      <c r="CUM160" s="187"/>
      <c r="CUN160" s="187"/>
      <c r="CUO160" s="187"/>
      <c r="CUP160" s="187"/>
      <c r="CUQ160" s="187"/>
      <c r="CUR160" s="187"/>
      <c r="CUS160" s="187"/>
      <c r="CUT160" s="187"/>
      <c r="CUU160" s="187"/>
      <c r="CUV160" s="187"/>
      <c r="CUW160" s="187"/>
      <c r="CUX160" s="187"/>
      <c r="CUY160" s="187"/>
      <c r="CUZ160" s="187"/>
      <c r="CVA160" s="187"/>
      <c r="CVB160" s="187"/>
      <c r="CVC160" s="187"/>
      <c r="CVD160" s="187"/>
      <c r="CVE160" s="187"/>
      <c r="CVF160" s="187"/>
      <c r="CVG160" s="187"/>
      <c r="CVH160" s="187"/>
      <c r="CVI160" s="187"/>
      <c r="CVJ160" s="187"/>
      <c r="CVK160" s="187"/>
      <c r="CVL160" s="187"/>
      <c r="CVM160" s="187"/>
      <c r="CVN160" s="187"/>
      <c r="CVO160" s="187"/>
      <c r="CVP160" s="187"/>
      <c r="CVQ160" s="187"/>
      <c r="CVR160" s="187"/>
      <c r="CVS160" s="187"/>
      <c r="CVT160" s="187"/>
      <c r="CVU160" s="187"/>
      <c r="CVV160" s="187"/>
      <c r="CVW160" s="187"/>
      <c r="CVX160" s="187"/>
      <c r="CVY160" s="187"/>
      <c r="CVZ160" s="187"/>
      <c r="CWA160" s="187"/>
      <c r="CWB160" s="187"/>
      <c r="CWC160" s="187"/>
      <c r="CWD160" s="187"/>
      <c r="CWE160" s="187"/>
      <c r="CWF160" s="187"/>
      <c r="CWG160" s="187"/>
      <c r="CWH160" s="187"/>
      <c r="CWI160" s="187"/>
      <c r="CWJ160" s="187"/>
      <c r="CWK160" s="187"/>
      <c r="CWL160" s="187"/>
      <c r="CWM160" s="187"/>
      <c r="CWN160" s="187"/>
      <c r="CWO160" s="187"/>
      <c r="CWP160" s="187"/>
      <c r="CWQ160" s="187"/>
      <c r="CWR160" s="187"/>
      <c r="CWS160" s="187"/>
      <c r="CWT160" s="187"/>
      <c r="CWU160" s="187"/>
      <c r="CWV160" s="187"/>
      <c r="CWW160" s="187"/>
      <c r="CWX160" s="187"/>
      <c r="CWY160" s="187"/>
      <c r="CWZ160" s="187"/>
      <c r="CXA160" s="187"/>
      <c r="CXB160" s="187"/>
      <c r="CXC160" s="187"/>
      <c r="CXD160" s="187"/>
      <c r="CXE160" s="187"/>
      <c r="CXF160" s="187"/>
      <c r="CXG160" s="187"/>
      <c r="CXH160" s="187"/>
      <c r="CXI160" s="187"/>
      <c r="CXJ160" s="187"/>
      <c r="CXK160" s="187"/>
      <c r="CXL160" s="187"/>
      <c r="CXM160" s="187"/>
      <c r="CXN160" s="187"/>
      <c r="CXO160" s="187"/>
      <c r="CXP160" s="187"/>
      <c r="CXQ160" s="187"/>
      <c r="CXR160" s="187"/>
      <c r="CXS160" s="187"/>
      <c r="CXT160" s="187"/>
      <c r="CXU160" s="187"/>
      <c r="CXV160" s="187"/>
      <c r="CXW160" s="187"/>
      <c r="CXX160" s="187"/>
      <c r="CXY160" s="187"/>
      <c r="CXZ160" s="187"/>
      <c r="CYA160" s="187"/>
      <c r="CYB160" s="187"/>
      <c r="CYC160" s="187"/>
      <c r="CYD160" s="187"/>
      <c r="CYE160" s="187"/>
      <c r="CYF160" s="187"/>
      <c r="CYG160" s="187"/>
      <c r="CYH160" s="187"/>
      <c r="CYI160" s="187"/>
      <c r="CYJ160" s="187"/>
      <c r="CYK160" s="187"/>
      <c r="CYL160" s="187"/>
      <c r="CYM160" s="187"/>
      <c r="CYN160" s="187"/>
      <c r="CYO160" s="187"/>
      <c r="CYP160" s="187"/>
      <c r="CYQ160" s="187"/>
      <c r="CYR160" s="187"/>
      <c r="CYS160" s="187"/>
      <c r="CYT160" s="187"/>
      <c r="CYU160" s="187"/>
      <c r="CYV160" s="187"/>
      <c r="CYW160" s="187"/>
      <c r="CYX160" s="187"/>
      <c r="CYY160" s="187"/>
      <c r="CYZ160" s="187"/>
      <c r="CZA160" s="187"/>
      <c r="CZB160" s="187"/>
      <c r="CZC160" s="187"/>
      <c r="CZD160" s="187"/>
      <c r="CZE160" s="187"/>
      <c r="CZF160" s="187"/>
      <c r="CZG160" s="187"/>
      <c r="CZH160" s="187"/>
      <c r="CZI160" s="187"/>
      <c r="CZJ160" s="187"/>
      <c r="CZK160" s="187"/>
      <c r="CZL160" s="187"/>
      <c r="CZM160" s="187"/>
      <c r="CZN160" s="187"/>
      <c r="CZO160" s="187"/>
      <c r="CZP160" s="187"/>
      <c r="CZQ160" s="187"/>
      <c r="CZR160" s="187"/>
      <c r="CZS160" s="187"/>
      <c r="CZT160" s="187"/>
      <c r="CZU160" s="187"/>
      <c r="CZV160" s="187"/>
      <c r="CZW160" s="187"/>
      <c r="CZX160" s="187"/>
      <c r="CZY160" s="187"/>
      <c r="CZZ160" s="187"/>
      <c r="DAA160" s="187"/>
      <c r="DAB160" s="187"/>
      <c r="DAC160" s="187"/>
      <c r="DAD160" s="187"/>
      <c r="DAE160" s="187"/>
      <c r="DAF160" s="187"/>
      <c r="DAG160" s="187"/>
      <c r="DAH160" s="187"/>
      <c r="DAI160" s="187"/>
      <c r="DAJ160" s="187"/>
      <c r="DAK160" s="187"/>
      <c r="DAL160" s="187"/>
      <c r="DAM160" s="187"/>
      <c r="DAN160" s="187"/>
      <c r="DAO160" s="187"/>
      <c r="DAP160" s="187"/>
      <c r="DAQ160" s="187"/>
      <c r="DAR160" s="187"/>
      <c r="DAS160" s="187"/>
      <c r="DAT160" s="187"/>
      <c r="DAU160" s="187"/>
      <c r="DAV160" s="187"/>
      <c r="DAW160" s="187"/>
      <c r="DAX160" s="187"/>
      <c r="DAY160" s="187"/>
      <c r="DAZ160" s="187"/>
      <c r="DBA160" s="187"/>
      <c r="DBB160" s="187"/>
      <c r="DBC160" s="187"/>
      <c r="DBD160" s="187"/>
      <c r="DBE160" s="187"/>
      <c r="DBF160" s="187"/>
      <c r="DBG160" s="187"/>
      <c r="DBH160" s="187"/>
      <c r="DBI160" s="187"/>
      <c r="DBJ160" s="187"/>
      <c r="DBK160" s="187"/>
      <c r="DBL160" s="187"/>
      <c r="DBM160" s="187"/>
      <c r="DBN160" s="187"/>
      <c r="DBO160" s="187"/>
      <c r="DBP160" s="187"/>
      <c r="DBQ160" s="187"/>
      <c r="DBR160" s="187"/>
      <c r="DBS160" s="187"/>
      <c r="DBT160" s="187"/>
      <c r="DBU160" s="187"/>
      <c r="DBV160" s="187"/>
      <c r="DBW160" s="187"/>
      <c r="DBX160" s="187"/>
      <c r="DBY160" s="187"/>
      <c r="DBZ160" s="187"/>
      <c r="DCA160" s="187"/>
      <c r="DCB160" s="187"/>
      <c r="DCC160" s="187"/>
      <c r="DCD160" s="187"/>
      <c r="DCE160" s="187"/>
      <c r="DCF160" s="187"/>
      <c r="DCG160" s="187"/>
      <c r="DCH160" s="187"/>
      <c r="DCI160" s="187"/>
      <c r="DCJ160" s="187"/>
      <c r="DCK160" s="187"/>
      <c r="DCL160" s="187"/>
      <c r="DCM160" s="187"/>
      <c r="DCN160" s="187"/>
      <c r="DCO160" s="187"/>
      <c r="DCP160" s="187"/>
      <c r="DCQ160" s="187"/>
      <c r="DCR160" s="187"/>
      <c r="DCS160" s="187"/>
      <c r="DCT160" s="187"/>
      <c r="DCU160" s="187"/>
      <c r="DCV160" s="187"/>
      <c r="DCW160" s="187"/>
      <c r="DCX160" s="187"/>
      <c r="DCY160" s="187"/>
      <c r="DCZ160" s="187"/>
      <c r="DDA160" s="187"/>
      <c r="DDB160" s="187"/>
      <c r="DDC160" s="187"/>
      <c r="DDD160" s="187"/>
      <c r="DDE160" s="187"/>
      <c r="DDF160" s="187"/>
      <c r="DDG160" s="187"/>
      <c r="DDH160" s="187"/>
      <c r="DDI160" s="187"/>
      <c r="DDJ160" s="187"/>
      <c r="DDK160" s="187"/>
      <c r="DDL160" s="187"/>
      <c r="DDM160" s="187"/>
      <c r="DDN160" s="187"/>
      <c r="DDO160" s="187"/>
      <c r="DDP160" s="187"/>
      <c r="DDQ160" s="187"/>
      <c r="DDR160" s="187"/>
      <c r="DDS160" s="187"/>
      <c r="DDT160" s="187"/>
      <c r="DDU160" s="187"/>
      <c r="DDV160" s="187"/>
      <c r="DDW160" s="187"/>
      <c r="DDX160" s="187"/>
      <c r="DDY160" s="187"/>
      <c r="DDZ160" s="187"/>
      <c r="DEA160" s="187"/>
      <c r="DEB160" s="187"/>
      <c r="DEC160" s="187"/>
      <c r="DED160" s="187"/>
      <c r="DEE160" s="187"/>
      <c r="DEF160" s="187"/>
      <c r="DEG160" s="187"/>
      <c r="DEH160" s="187"/>
      <c r="DEI160" s="187"/>
      <c r="DEJ160" s="187"/>
      <c r="DEK160" s="187"/>
      <c r="DEL160" s="187"/>
      <c r="DEM160" s="187"/>
      <c r="DEN160" s="187"/>
      <c r="DEO160" s="187"/>
      <c r="DEP160" s="187"/>
      <c r="DEQ160" s="187"/>
      <c r="DER160" s="187"/>
      <c r="DES160" s="187"/>
      <c r="DET160" s="187"/>
      <c r="DEU160" s="187"/>
      <c r="DEV160" s="187"/>
      <c r="DEW160" s="187"/>
      <c r="DEX160" s="187"/>
      <c r="DEY160" s="187"/>
      <c r="DEZ160" s="187"/>
      <c r="DFA160" s="187"/>
      <c r="DFB160" s="187"/>
      <c r="DFC160" s="187"/>
      <c r="DFD160" s="187"/>
      <c r="DFE160" s="187"/>
      <c r="DFF160" s="187"/>
      <c r="DFG160" s="187"/>
      <c r="DFH160" s="187"/>
      <c r="DFI160" s="187"/>
      <c r="DFJ160" s="187"/>
      <c r="DFK160" s="187"/>
      <c r="DFL160" s="187"/>
      <c r="DFM160" s="187"/>
      <c r="DFN160" s="187"/>
      <c r="DFO160" s="187"/>
      <c r="DFP160" s="187"/>
      <c r="DFQ160" s="187"/>
      <c r="DFR160" s="187"/>
      <c r="DFS160" s="187"/>
      <c r="DFT160" s="187"/>
      <c r="DFU160" s="187"/>
      <c r="DFV160" s="187"/>
      <c r="DFW160" s="187"/>
      <c r="DFX160" s="187"/>
      <c r="DFY160" s="187"/>
      <c r="DFZ160" s="187"/>
      <c r="DGA160" s="187"/>
      <c r="DGB160" s="187"/>
      <c r="DGC160" s="187"/>
      <c r="DGD160" s="187"/>
      <c r="DGE160" s="187"/>
      <c r="DGF160" s="187"/>
      <c r="DGG160" s="187"/>
      <c r="DGH160" s="187"/>
      <c r="DGI160" s="187"/>
      <c r="DGJ160" s="187"/>
      <c r="DGK160" s="187"/>
      <c r="DGL160" s="187"/>
      <c r="DGM160" s="187"/>
      <c r="DGN160" s="187"/>
      <c r="DGO160" s="187"/>
      <c r="DGP160" s="187"/>
      <c r="DGQ160" s="187"/>
      <c r="DGR160" s="187"/>
      <c r="DGS160" s="187"/>
      <c r="DGT160" s="187"/>
      <c r="DGU160" s="187"/>
      <c r="DGV160" s="187"/>
      <c r="DGW160" s="187"/>
      <c r="DGX160" s="187"/>
      <c r="DGY160" s="187"/>
      <c r="DGZ160" s="187"/>
      <c r="DHA160" s="187"/>
      <c r="DHB160" s="187"/>
      <c r="DHC160" s="187"/>
      <c r="DHD160" s="187"/>
      <c r="DHE160" s="187"/>
      <c r="DHF160" s="187"/>
      <c r="DHG160" s="187"/>
      <c r="DHH160" s="187"/>
      <c r="DHI160" s="187"/>
      <c r="DHJ160" s="187"/>
      <c r="DHK160" s="187"/>
      <c r="DHL160" s="187"/>
      <c r="DHM160" s="187"/>
      <c r="DHN160" s="187"/>
      <c r="DHO160" s="187"/>
      <c r="DHP160" s="187"/>
      <c r="DHQ160" s="187"/>
      <c r="DHR160" s="187"/>
      <c r="DHS160" s="187"/>
      <c r="DHT160" s="187"/>
      <c r="DHU160" s="187"/>
      <c r="DHV160" s="187"/>
      <c r="DHW160" s="187"/>
      <c r="DHX160" s="187"/>
      <c r="DHY160" s="187"/>
      <c r="DHZ160" s="187"/>
      <c r="DIA160" s="187"/>
      <c r="DIB160" s="187"/>
      <c r="DIC160" s="187"/>
      <c r="DID160" s="187"/>
      <c r="DIE160" s="187"/>
      <c r="DIF160" s="187"/>
      <c r="DIG160" s="187"/>
      <c r="DIH160" s="187"/>
      <c r="DII160" s="187"/>
      <c r="DIJ160" s="187"/>
      <c r="DIK160" s="187"/>
      <c r="DIL160" s="187"/>
      <c r="DIM160" s="187"/>
      <c r="DIN160" s="187"/>
      <c r="DIO160" s="187"/>
      <c r="DIP160" s="187"/>
      <c r="DIQ160" s="187"/>
      <c r="DIR160" s="187"/>
      <c r="DIS160" s="187"/>
      <c r="DIT160" s="187"/>
      <c r="DIU160" s="187"/>
      <c r="DIV160" s="187"/>
      <c r="DIW160" s="187"/>
      <c r="DIX160" s="187"/>
      <c r="DIY160" s="187"/>
      <c r="DIZ160" s="187"/>
      <c r="DJA160" s="187"/>
      <c r="DJB160" s="187"/>
      <c r="DJC160" s="187"/>
      <c r="DJD160" s="187"/>
      <c r="DJE160" s="187"/>
      <c r="DJF160" s="187"/>
      <c r="DJG160" s="187"/>
      <c r="DJH160" s="187"/>
      <c r="DJI160" s="187"/>
      <c r="DJJ160" s="187"/>
      <c r="DJK160" s="187"/>
      <c r="DJL160" s="187"/>
      <c r="DJM160" s="187"/>
      <c r="DJN160" s="187"/>
      <c r="DJO160" s="187"/>
      <c r="DJP160" s="187"/>
      <c r="DJQ160" s="187"/>
      <c r="DJR160" s="187"/>
      <c r="DJS160" s="187"/>
      <c r="DJT160" s="187"/>
      <c r="DJU160" s="187"/>
      <c r="DJV160" s="187"/>
      <c r="DJW160" s="187"/>
      <c r="DJX160" s="187"/>
      <c r="DJY160" s="187"/>
      <c r="DJZ160" s="187"/>
      <c r="DKA160" s="187"/>
      <c r="DKB160" s="187"/>
      <c r="DKC160" s="187"/>
      <c r="DKD160" s="187"/>
      <c r="DKE160" s="187"/>
      <c r="DKF160" s="187"/>
      <c r="DKG160" s="187"/>
      <c r="DKH160" s="187"/>
      <c r="DKI160" s="187"/>
      <c r="DKJ160" s="187"/>
      <c r="DKK160" s="187"/>
      <c r="DKL160" s="187"/>
      <c r="DKM160" s="187"/>
      <c r="DKN160" s="187"/>
      <c r="DKO160" s="187"/>
      <c r="DKP160" s="187"/>
      <c r="DKQ160" s="187"/>
      <c r="DKR160" s="187"/>
      <c r="DKS160" s="187"/>
      <c r="DKT160" s="187"/>
      <c r="DKU160" s="187"/>
      <c r="DKV160" s="187"/>
      <c r="DKW160" s="187"/>
      <c r="DKX160" s="187"/>
      <c r="DKY160" s="187"/>
      <c r="DKZ160" s="187"/>
      <c r="DLA160" s="187"/>
      <c r="DLB160" s="187"/>
      <c r="DLC160" s="187"/>
      <c r="DLD160" s="187"/>
      <c r="DLE160" s="187"/>
      <c r="DLF160" s="187"/>
      <c r="DLG160" s="187"/>
      <c r="DLH160" s="187"/>
      <c r="DLI160" s="187"/>
      <c r="DLJ160" s="187"/>
      <c r="DLK160" s="187"/>
      <c r="DLL160" s="187"/>
      <c r="DLM160" s="187"/>
      <c r="DLN160" s="187"/>
      <c r="DLO160" s="187"/>
      <c r="DLP160" s="187"/>
      <c r="DLQ160" s="187"/>
      <c r="DLR160" s="187"/>
      <c r="DLS160" s="187"/>
      <c r="DLT160" s="187"/>
      <c r="DLU160" s="187"/>
      <c r="DLV160" s="187"/>
      <c r="DLW160" s="187"/>
      <c r="DLX160" s="187"/>
      <c r="DLY160" s="187"/>
      <c r="DLZ160" s="187"/>
      <c r="DMA160" s="187"/>
      <c r="DMB160" s="187"/>
      <c r="DMC160" s="187"/>
      <c r="DMD160" s="187"/>
      <c r="DME160" s="187"/>
      <c r="DMF160" s="187"/>
      <c r="DMG160" s="187"/>
      <c r="DMH160" s="187"/>
      <c r="DMI160" s="187"/>
      <c r="DMJ160" s="187"/>
      <c r="DMK160" s="187"/>
      <c r="DML160" s="187"/>
      <c r="DMM160" s="187"/>
      <c r="DMN160" s="187"/>
      <c r="DMO160" s="187"/>
      <c r="DMP160" s="187"/>
      <c r="DMQ160" s="187"/>
      <c r="DMR160" s="187"/>
      <c r="DMS160" s="187"/>
      <c r="DMT160" s="187"/>
      <c r="DMU160" s="187"/>
      <c r="DMV160" s="187"/>
      <c r="DMW160" s="187"/>
      <c r="DMX160" s="187"/>
      <c r="DMY160" s="187"/>
      <c r="DMZ160" s="187"/>
      <c r="DNA160" s="187"/>
      <c r="DNB160" s="187"/>
      <c r="DNC160" s="187"/>
      <c r="DND160" s="187"/>
      <c r="DNE160" s="187"/>
      <c r="DNF160" s="187"/>
      <c r="DNG160" s="187"/>
      <c r="DNH160" s="187"/>
      <c r="DNI160" s="187"/>
      <c r="DNJ160" s="187"/>
      <c r="DNK160" s="187"/>
      <c r="DNL160" s="187"/>
      <c r="DNM160" s="187"/>
      <c r="DNN160" s="187"/>
      <c r="DNO160" s="187"/>
      <c r="DNP160" s="187"/>
      <c r="DNQ160" s="187"/>
      <c r="DNR160" s="187"/>
      <c r="DNS160" s="187"/>
      <c r="DNT160" s="187"/>
      <c r="DNU160" s="187"/>
      <c r="DNV160" s="187"/>
      <c r="DNW160" s="187"/>
      <c r="DNX160" s="187"/>
      <c r="DNY160" s="187"/>
      <c r="DNZ160" s="187"/>
      <c r="DOA160" s="187"/>
      <c r="DOB160" s="187"/>
      <c r="DOC160" s="187"/>
      <c r="DOD160" s="187"/>
      <c r="DOE160" s="187"/>
      <c r="DOF160" s="187"/>
      <c r="DOG160" s="187"/>
      <c r="DOH160" s="187"/>
      <c r="DOI160" s="187"/>
      <c r="DOJ160" s="187"/>
      <c r="DOK160" s="187"/>
      <c r="DOL160" s="187"/>
      <c r="DOM160" s="187"/>
      <c r="DON160" s="187"/>
      <c r="DOO160" s="187"/>
      <c r="DOP160" s="187"/>
      <c r="DOQ160" s="187"/>
      <c r="DOR160" s="187"/>
      <c r="DOS160" s="187"/>
      <c r="DOT160" s="187"/>
      <c r="DOU160" s="187"/>
      <c r="DOV160" s="187"/>
      <c r="DOW160" s="187"/>
      <c r="DOX160" s="187"/>
      <c r="DOY160" s="187"/>
      <c r="DOZ160" s="187"/>
      <c r="DPA160" s="187"/>
      <c r="DPB160" s="187"/>
      <c r="DPC160" s="187"/>
      <c r="DPD160" s="187"/>
      <c r="DPE160" s="187"/>
      <c r="DPF160" s="187"/>
      <c r="DPG160" s="187"/>
      <c r="DPH160" s="187"/>
      <c r="DPI160" s="187"/>
      <c r="DPJ160" s="187"/>
      <c r="DPK160" s="187"/>
      <c r="DPL160" s="187"/>
      <c r="DPM160" s="187"/>
      <c r="DPN160" s="187"/>
      <c r="DPO160" s="187"/>
      <c r="DPP160" s="187"/>
      <c r="DPQ160" s="187"/>
      <c r="DPR160" s="187"/>
      <c r="DPS160" s="187"/>
      <c r="DPT160" s="187"/>
      <c r="DPU160" s="187"/>
      <c r="DPV160" s="187"/>
      <c r="DPW160" s="187"/>
      <c r="DPX160" s="187"/>
      <c r="DPY160" s="187"/>
      <c r="DPZ160" s="187"/>
      <c r="DQA160" s="187"/>
      <c r="DQB160" s="187"/>
      <c r="DQC160" s="187"/>
      <c r="DQD160" s="187"/>
      <c r="DQE160" s="187"/>
      <c r="DQF160" s="187"/>
      <c r="DQG160" s="187"/>
      <c r="DQH160" s="187"/>
      <c r="DQI160" s="187"/>
      <c r="DQJ160" s="187"/>
      <c r="DQK160" s="187"/>
      <c r="DQL160" s="187"/>
      <c r="DQM160" s="187"/>
      <c r="DQN160" s="187"/>
      <c r="DQO160" s="187"/>
      <c r="DQP160" s="187"/>
      <c r="DQQ160" s="187"/>
      <c r="DQR160" s="187"/>
      <c r="DQS160" s="187"/>
      <c r="DQT160" s="187"/>
      <c r="DQU160" s="187"/>
      <c r="DQV160" s="187"/>
      <c r="DQW160" s="187"/>
      <c r="DQX160" s="187"/>
      <c r="DQY160" s="187"/>
      <c r="DQZ160" s="187"/>
      <c r="DRA160" s="187"/>
      <c r="DRB160" s="187"/>
      <c r="DRC160" s="187"/>
      <c r="DRD160" s="187"/>
      <c r="DRE160" s="187"/>
      <c r="DRF160" s="187"/>
      <c r="DRG160" s="187"/>
      <c r="DRH160" s="187"/>
      <c r="DRI160" s="187"/>
      <c r="DRJ160" s="187"/>
      <c r="DRK160" s="187"/>
      <c r="DRL160" s="187"/>
      <c r="DRM160" s="187"/>
      <c r="DRN160" s="187"/>
      <c r="DRO160" s="187"/>
      <c r="DRP160" s="187"/>
      <c r="DRQ160" s="187"/>
      <c r="DRR160" s="187"/>
      <c r="DRS160" s="187"/>
      <c r="DRT160" s="187"/>
      <c r="DRU160" s="187"/>
      <c r="DRV160" s="187"/>
      <c r="DRW160" s="187"/>
      <c r="DRX160" s="187"/>
      <c r="DRY160" s="187"/>
      <c r="DRZ160" s="187"/>
      <c r="DSA160" s="187"/>
      <c r="DSB160" s="187"/>
      <c r="DSC160" s="187"/>
      <c r="DSD160" s="187"/>
      <c r="DSE160" s="187"/>
      <c r="DSF160" s="187"/>
      <c r="DSG160" s="187"/>
      <c r="DSH160" s="187"/>
      <c r="DSI160" s="187"/>
      <c r="DSJ160" s="187"/>
      <c r="DSK160" s="187"/>
      <c r="DSL160" s="187"/>
      <c r="DSM160" s="187"/>
      <c r="DSN160" s="187"/>
      <c r="DSO160" s="187"/>
      <c r="DSP160" s="187"/>
      <c r="DSQ160" s="187"/>
      <c r="DSR160" s="187"/>
      <c r="DSS160" s="187"/>
      <c r="DST160" s="187"/>
      <c r="DSU160" s="187"/>
      <c r="DSV160" s="187"/>
      <c r="DSW160" s="187"/>
      <c r="DSX160" s="187"/>
      <c r="DSY160" s="187"/>
      <c r="DSZ160" s="187"/>
      <c r="DTA160" s="187"/>
      <c r="DTB160" s="187"/>
      <c r="DTC160" s="187"/>
      <c r="DTD160" s="187"/>
      <c r="DTE160" s="187"/>
      <c r="DTF160" s="187"/>
      <c r="DTG160" s="187"/>
      <c r="DTH160" s="187"/>
      <c r="DTI160" s="187"/>
      <c r="DTJ160" s="187"/>
      <c r="DTK160" s="187"/>
      <c r="DTL160" s="187"/>
      <c r="DTM160" s="187"/>
      <c r="DTN160" s="187"/>
      <c r="DTO160" s="187"/>
      <c r="DTP160" s="187"/>
      <c r="DTQ160" s="187"/>
      <c r="DTR160" s="187"/>
      <c r="DTS160" s="187"/>
      <c r="DTT160" s="187"/>
      <c r="DTU160" s="187"/>
      <c r="DTV160" s="187"/>
      <c r="DTW160" s="187"/>
      <c r="DTX160" s="187"/>
      <c r="DTY160" s="187"/>
      <c r="DTZ160" s="187"/>
      <c r="DUA160" s="187"/>
      <c r="DUB160" s="187"/>
      <c r="DUC160" s="187"/>
      <c r="DUD160" s="187"/>
      <c r="DUE160" s="187"/>
      <c r="DUF160" s="187"/>
      <c r="DUG160" s="187"/>
      <c r="DUH160" s="187"/>
      <c r="DUI160" s="187"/>
      <c r="DUJ160" s="187"/>
      <c r="DUK160" s="187"/>
      <c r="DUL160" s="187"/>
      <c r="DUM160" s="187"/>
      <c r="DUN160" s="187"/>
      <c r="DUO160" s="187"/>
      <c r="DUP160" s="187"/>
      <c r="DUQ160" s="187"/>
      <c r="DUR160" s="187"/>
      <c r="DUS160" s="187"/>
      <c r="DUT160" s="187"/>
      <c r="DUU160" s="187"/>
      <c r="DUV160" s="187"/>
      <c r="DUW160" s="187"/>
      <c r="DUX160" s="187"/>
      <c r="DUY160" s="187"/>
      <c r="DUZ160" s="187"/>
      <c r="DVA160" s="187"/>
      <c r="DVB160" s="187"/>
      <c r="DVC160" s="187"/>
      <c r="DVD160" s="187"/>
      <c r="DVE160" s="187"/>
      <c r="DVF160" s="187"/>
      <c r="DVG160" s="187"/>
      <c r="DVH160" s="187"/>
      <c r="DVI160" s="187"/>
      <c r="DVJ160" s="187"/>
      <c r="DVK160" s="187"/>
      <c r="DVL160" s="187"/>
      <c r="DVM160" s="187"/>
      <c r="DVN160" s="187"/>
      <c r="DVO160" s="187"/>
      <c r="DVP160" s="187"/>
      <c r="DVQ160" s="187"/>
      <c r="DVR160" s="187"/>
      <c r="DVS160" s="187"/>
      <c r="DVT160" s="187"/>
      <c r="DVU160" s="187"/>
      <c r="DVV160" s="187"/>
      <c r="DVW160" s="187"/>
      <c r="DVX160" s="187"/>
      <c r="DVY160" s="187"/>
      <c r="DVZ160" s="187"/>
      <c r="DWA160" s="187"/>
      <c r="DWB160" s="187"/>
      <c r="DWC160" s="187"/>
      <c r="DWD160" s="187"/>
      <c r="DWE160" s="187"/>
      <c r="DWF160" s="187"/>
      <c r="DWG160" s="187"/>
      <c r="DWH160" s="187"/>
      <c r="DWI160" s="187"/>
      <c r="DWJ160" s="187"/>
      <c r="DWK160" s="187"/>
      <c r="DWL160" s="187"/>
      <c r="DWM160" s="187"/>
      <c r="DWN160" s="187"/>
      <c r="DWO160" s="187"/>
      <c r="DWP160" s="187"/>
      <c r="DWQ160" s="187"/>
      <c r="DWR160" s="187"/>
      <c r="DWS160" s="187"/>
      <c r="DWT160" s="187"/>
      <c r="DWU160" s="187"/>
      <c r="DWV160" s="187"/>
      <c r="DWW160" s="187"/>
      <c r="DWX160" s="187"/>
      <c r="DWY160" s="187"/>
      <c r="DWZ160" s="187"/>
      <c r="DXA160" s="187"/>
      <c r="DXB160" s="187"/>
      <c r="DXC160" s="187"/>
      <c r="DXD160" s="187"/>
      <c r="DXE160" s="187"/>
      <c r="DXF160" s="187"/>
      <c r="DXG160" s="187"/>
      <c r="DXH160" s="187"/>
      <c r="DXI160" s="187"/>
      <c r="DXJ160" s="187"/>
      <c r="DXK160" s="187"/>
      <c r="DXL160" s="187"/>
      <c r="DXM160" s="187"/>
      <c r="DXN160" s="187"/>
      <c r="DXO160" s="187"/>
      <c r="DXP160" s="187"/>
      <c r="DXQ160" s="187"/>
      <c r="DXR160" s="187"/>
      <c r="DXS160" s="187"/>
      <c r="DXT160" s="187"/>
      <c r="DXU160" s="187"/>
      <c r="DXV160" s="187"/>
      <c r="DXW160" s="187"/>
      <c r="DXX160" s="187"/>
      <c r="DXY160" s="187"/>
      <c r="DXZ160" s="187"/>
      <c r="DYA160" s="187"/>
      <c r="DYB160" s="187"/>
      <c r="DYC160" s="187"/>
      <c r="DYD160" s="187"/>
      <c r="DYE160" s="187"/>
      <c r="DYF160" s="187"/>
      <c r="DYG160" s="187"/>
      <c r="DYH160" s="187"/>
      <c r="DYI160" s="187"/>
      <c r="DYJ160" s="187"/>
      <c r="DYK160" s="187"/>
      <c r="DYL160" s="187"/>
      <c r="DYM160" s="187"/>
      <c r="DYN160" s="187"/>
      <c r="DYO160" s="187"/>
      <c r="DYP160" s="187"/>
      <c r="DYQ160" s="187"/>
      <c r="DYR160" s="187"/>
      <c r="DYS160" s="187"/>
      <c r="DYT160" s="187"/>
      <c r="DYU160" s="187"/>
      <c r="DYV160" s="187"/>
      <c r="DYW160" s="187"/>
      <c r="DYX160" s="187"/>
      <c r="DYY160" s="187"/>
      <c r="DYZ160" s="187"/>
      <c r="DZA160" s="187"/>
      <c r="DZB160" s="187"/>
      <c r="DZC160" s="187"/>
      <c r="DZD160" s="187"/>
      <c r="DZE160" s="187"/>
      <c r="DZF160" s="187"/>
      <c r="DZG160" s="187"/>
      <c r="DZH160" s="187"/>
      <c r="DZI160" s="187"/>
      <c r="DZJ160" s="187"/>
      <c r="DZK160" s="187"/>
      <c r="DZL160" s="187"/>
      <c r="DZM160" s="187"/>
      <c r="DZN160" s="187"/>
      <c r="DZO160" s="187"/>
      <c r="DZP160" s="187"/>
      <c r="DZQ160" s="187"/>
      <c r="DZR160" s="187"/>
      <c r="DZS160" s="187"/>
      <c r="DZT160" s="187"/>
      <c r="DZU160" s="187"/>
      <c r="DZV160" s="187"/>
      <c r="DZW160" s="187"/>
      <c r="DZX160" s="187"/>
      <c r="DZY160" s="187"/>
      <c r="DZZ160" s="187"/>
      <c r="EAA160" s="187"/>
      <c r="EAB160" s="187"/>
      <c r="EAC160" s="187"/>
      <c r="EAD160" s="187"/>
      <c r="EAE160" s="187"/>
      <c r="EAF160" s="187"/>
      <c r="EAG160" s="187"/>
      <c r="EAH160" s="187"/>
      <c r="EAI160" s="187"/>
      <c r="EAJ160" s="187"/>
      <c r="EAK160" s="187"/>
      <c r="EAL160" s="187"/>
      <c r="EAM160" s="187"/>
      <c r="EAN160" s="187"/>
      <c r="EAO160" s="187"/>
      <c r="EAP160" s="187"/>
      <c r="EAQ160" s="187"/>
      <c r="EAR160" s="187"/>
      <c r="EAS160" s="187"/>
      <c r="EAT160" s="187"/>
      <c r="EAU160" s="187"/>
      <c r="EAV160" s="187"/>
      <c r="EAW160" s="187"/>
      <c r="EAX160" s="187"/>
      <c r="EAY160" s="187"/>
      <c r="EAZ160" s="187"/>
      <c r="EBA160" s="187"/>
      <c r="EBB160" s="187"/>
      <c r="EBC160" s="187"/>
      <c r="EBD160" s="187"/>
      <c r="EBE160" s="187"/>
      <c r="EBF160" s="187"/>
      <c r="EBG160" s="187"/>
      <c r="EBH160" s="187"/>
      <c r="EBI160" s="187"/>
      <c r="EBJ160" s="187"/>
      <c r="EBK160" s="187"/>
      <c r="EBL160" s="187"/>
      <c r="EBM160" s="187"/>
      <c r="EBN160" s="187"/>
      <c r="EBO160" s="187"/>
      <c r="EBP160" s="187"/>
      <c r="EBQ160" s="187"/>
      <c r="EBR160" s="187"/>
      <c r="EBS160" s="187"/>
      <c r="EBT160" s="187"/>
      <c r="EBU160" s="187"/>
      <c r="EBV160" s="187"/>
      <c r="EBW160" s="187"/>
      <c r="EBX160" s="187"/>
      <c r="EBY160" s="187"/>
      <c r="EBZ160" s="187"/>
      <c r="ECA160" s="187"/>
      <c r="ECB160" s="187"/>
      <c r="ECC160" s="187"/>
      <c r="ECD160" s="187"/>
      <c r="ECE160" s="187"/>
      <c r="ECF160" s="187"/>
      <c r="ECG160" s="187"/>
      <c r="ECH160" s="187"/>
      <c r="ECI160" s="187"/>
      <c r="ECJ160" s="187"/>
      <c r="ECK160" s="187"/>
      <c r="ECL160" s="187"/>
      <c r="ECM160" s="187"/>
      <c r="ECN160" s="187"/>
      <c r="ECO160" s="187"/>
      <c r="ECP160" s="187"/>
      <c r="ECQ160" s="187"/>
      <c r="ECR160" s="187"/>
      <c r="ECS160" s="187"/>
      <c r="ECT160" s="187"/>
      <c r="ECU160" s="187"/>
      <c r="ECV160" s="187"/>
      <c r="ECW160" s="187"/>
      <c r="ECX160" s="187"/>
      <c r="ECY160" s="187"/>
      <c r="ECZ160" s="187"/>
      <c r="EDA160" s="187"/>
      <c r="EDB160" s="187"/>
      <c r="EDC160" s="187"/>
      <c r="EDD160" s="187"/>
      <c r="EDE160" s="187"/>
      <c r="EDF160" s="187"/>
      <c r="EDG160" s="187"/>
      <c r="EDH160" s="187"/>
      <c r="EDI160" s="187"/>
      <c r="EDJ160" s="187"/>
      <c r="EDK160" s="187"/>
      <c r="EDL160" s="187"/>
      <c r="EDM160" s="187"/>
      <c r="EDN160" s="187"/>
      <c r="EDO160" s="187"/>
      <c r="EDP160" s="187"/>
      <c r="EDQ160" s="187"/>
      <c r="EDR160" s="187"/>
      <c r="EDS160" s="187"/>
      <c r="EDT160" s="187"/>
      <c r="EDU160" s="187"/>
      <c r="EDV160" s="187"/>
      <c r="EDW160" s="187"/>
      <c r="EDX160" s="187"/>
      <c r="EDY160" s="187"/>
      <c r="EDZ160" s="187"/>
      <c r="EEA160" s="187"/>
      <c r="EEB160" s="187"/>
      <c r="EEC160" s="187"/>
      <c r="EED160" s="187"/>
      <c r="EEE160" s="187"/>
      <c r="EEF160" s="187"/>
      <c r="EEG160" s="187"/>
      <c r="EEH160" s="187"/>
      <c r="EEI160" s="187"/>
      <c r="EEJ160" s="187"/>
      <c r="EEK160" s="187"/>
      <c r="EEL160" s="187"/>
      <c r="EEM160" s="187"/>
      <c r="EEN160" s="187"/>
      <c r="EEO160" s="187"/>
      <c r="EEP160" s="187"/>
      <c r="EEQ160" s="187"/>
      <c r="EER160" s="187"/>
      <c r="EES160" s="187"/>
      <c r="EET160" s="187"/>
      <c r="EEU160" s="187"/>
      <c r="EEV160" s="187"/>
      <c r="EEW160" s="187"/>
      <c r="EEX160" s="187"/>
      <c r="EEY160" s="187"/>
      <c r="EEZ160" s="187"/>
      <c r="EFA160" s="187"/>
      <c r="EFB160" s="187"/>
      <c r="EFC160" s="187"/>
      <c r="EFD160" s="187"/>
      <c r="EFE160" s="187"/>
      <c r="EFF160" s="187"/>
      <c r="EFG160" s="187"/>
      <c r="EFH160" s="187"/>
      <c r="EFI160" s="187"/>
      <c r="EFJ160" s="187"/>
      <c r="EFK160" s="187"/>
      <c r="EFL160" s="187"/>
      <c r="EFM160" s="187"/>
      <c r="EFN160" s="187"/>
      <c r="EFO160" s="187"/>
      <c r="EFP160" s="187"/>
      <c r="EFQ160" s="187"/>
      <c r="EFR160" s="187"/>
      <c r="EFS160" s="187"/>
      <c r="EFT160" s="187"/>
      <c r="EFU160" s="187"/>
      <c r="EFV160" s="187"/>
      <c r="EFW160" s="187"/>
      <c r="EFX160" s="187"/>
      <c r="EFY160" s="187"/>
      <c r="EFZ160" s="187"/>
      <c r="EGA160" s="187"/>
      <c r="EGB160" s="187"/>
      <c r="EGC160" s="187"/>
      <c r="EGD160" s="187"/>
      <c r="EGE160" s="187"/>
      <c r="EGF160" s="187"/>
      <c r="EGG160" s="187"/>
      <c r="EGH160" s="187"/>
      <c r="EGI160" s="187"/>
      <c r="EGJ160" s="187"/>
      <c r="EGK160" s="187"/>
      <c r="EGL160" s="187"/>
      <c r="EGM160" s="187"/>
      <c r="EGN160" s="187"/>
      <c r="EGO160" s="187"/>
      <c r="EGP160" s="187"/>
      <c r="EGQ160" s="187"/>
      <c r="EGR160" s="187"/>
      <c r="EGS160" s="187"/>
      <c r="EGT160" s="187"/>
      <c r="EGU160" s="187"/>
      <c r="EGV160" s="187"/>
      <c r="EGW160" s="187"/>
      <c r="EGX160" s="187"/>
      <c r="EGY160" s="187"/>
      <c r="EGZ160" s="187"/>
      <c r="EHA160" s="187"/>
      <c r="EHB160" s="187"/>
      <c r="EHC160" s="187"/>
      <c r="EHD160" s="187"/>
      <c r="EHE160" s="187"/>
      <c r="EHF160" s="187"/>
      <c r="EHG160" s="187"/>
      <c r="EHH160" s="187"/>
      <c r="EHI160" s="187"/>
      <c r="EHJ160" s="187"/>
      <c r="EHK160" s="187"/>
      <c r="EHL160" s="187"/>
      <c r="EHM160" s="187"/>
      <c r="EHN160" s="187"/>
      <c r="EHO160" s="187"/>
      <c r="EHP160" s="187"/>
      <c r="EHQ160" s="187"/>
      <c r="EHR160" s="187"/>
      <c r="EHS160" s="187"/>
      <c r="EHT160" s="187"/>
      <c r="EHU160" s="187"/>
      <c r="EHV160" s="187"/>
      <c r="EHW160" s="187"/>
      <c r="EHX160" s="187"/>
      <c r="EHY160" s="187"/>
      <c r="EHZ160" s="187"/>
      <c r="EIA160" s="187"/>
      <c r="EIB160" s="187"/>
      <c r="EIC160" s="187"/>
      <c r="EID160" s="187"/>
      <c r="EIE160" s="187"/>
      <c r="EIF160" s="187"/>
      <c r="EIG160" s="187"/>
      <c r="EIH160" s="187"/>
      <c r="EII160" s="187"/>
      <c r="EIJ160" s="187"/>
      <c r="EIK160" s="187"/>
      <c r="EIL160" s="187"/>
      <c r="EIM160" s="187"/>
      <c r="EIN160" s="187"/>
      <c r="EIO160" s="187"/>
      <c r="EIP160" s="187"/>
      <c r="EIQ160" s="187"/>
      <c r="EIR160" s="187"/>
      <c r="EIS160" s="187"/>
      <c r="EIT160" s="187"/>
      <c r="EIU160" s="187"/>
      <c r="EIV160" s="187"/>
      <c r="EIW160" s="187"/>
      <c r="EIX160" s="187"/>
      <c r="EIY160" s="187"/>
      <c r="EIZ160" s="187"/>
      <c r="EJA160" s="187"/>
      <c r="EJB160" s="187"/>
      <c r="EJC160" s="187"/>
      <c r="EJD160" s="187"/>
      <c r="EJE160" s="187"/>
      <c r="EJF160" s="187"/>
      <c r="EJG160" s="187"/>
      <c r="EJH160" s="187"/>
      <c r="EJI160" s="187"/>
      <c r="EJJ160" s="187"/>
      <c r="EJK160" s="187"/>
      <c r="EJL160" s="187"/>
      <c r="EJM160" s="187"/>
      <c r="EJN160" s="187"/>
      <c r="EJO160" s="187"/>
      <c r="EJP160" s="187"/>
      <c r="EJQ160" s="187"/>
      <c r="EJR160" s="187"/>
      <c r="EJS160" s="187"/>
      <c r="EJT160" s="187"/>
      <c r="EJU160" s="187"/>
      <c r="EJV160" s="187"/>
      <c r="EJW160" s="187"/>
      <c r="EJX160" s="187"/>
      <c r="EJY160" s="187"/>
      <c r="EJZ160" s="187"/>
      <c r="EKA160" s="187"/>
      <c r="EKB160" s="187"/>
      <c r="EKC160" s="187"/>
      <c r="EKD160" s="187"/>
      <c r="EKE160" s="187"/>
      <c r="EKF160" s="187"/>
      <c r="EKG160" s="187"/>
      <c r="EKH160" s="187"/>
      <c r="EKI160" s="187"/>
      <c r="EKJ160" s="187"/>
      <c r="EKK160" s="187"/>
      <c r="EKL160" s="187"/>
      <c r="EKM160" s="187"/>
      <c r="EKN160" s="187"/>
      <c r="EKO160" s="187"/>
      <c r="EKP160" s="187"/>
      <c r="EKQ160" s="187"/>
      <c r="EKR160" s="187"/>
      <c r="EKS160" s="187"/>
      <c r="EKT160" s="187"/>
      <c r="EKU160" s="187"/>
      <c r="EKV160" s="187"/>
      <c r="EKW160" s="187"/>
      <c r="EKX160" s="187"/>
      <c r="EKY160" s="187"/>
      <c r="EKZ160" s="187"/>
      <c r="ELA160" s="187"/>
      <c r="ELB160" s="187"/>
      <c r="ELC160" s="187"/>
      <c r="ELD160" s="187"/>
      <c r="ELE160" s="187"/>
      <c r="ELF160" s="187"/>
      <c r="ELG160" s="187"/>
      <c r="ELH160" s="187"/>
      <c r="ELI160" s="187"/>
      <c r="ELJ160" s="187"/>
      <c r="ELK160" s="187"/>
      <c r="ELL160" s="187"/>
      <c r="ELM160" s="187"/>
      <c r="ELN160" s="187"/>
      <c r="ELO160" s="187"/>
      <c r="ELP160" s="187"/>
      <c r="ELQ160" s="187"/>
      <c r="ELR160" s="187"/>
      <c r="ELS160" s="187"/>
      <c r="ELT160" s="187"/>
      <c r="ELU160" s="187"/>
      <c r="ELV160" s="187"/>
      <c r="ELW160" s="187"/>
      <c r="ELX160" s="187"/>
      <c r="ELY160" s="187"/>
      <c r="ELZ160" s="187"/>
      <c r="EMA160" s="187"/>
      <c r="EMB160" s="187"/>
      <c r="EMC160" s="187"/>
      <c r="EMD160" s="187"/>
      <c r="EME160" s="187"/>
      <c r="EMF160" s="187"/>
      <c r="EMG160" s="187"/>
      <c r="EMH160" s="187"/>
      <c r="EMI160" s="187"/>
      <c r="EMJ160" s="187"/>
      <c r="EMK160" s="187"/>
      <c r="EML160" s="187"/>
      <c r="EMM160" s="187"/>
      <c r="EMN160" s="187"/>
      <c r="EMO160" s="187"/>
      <c r="EMP160" s="187"/>
      <c r="EMQ160" s="187"/>
      <c r="EMR160" s="187"/>
      <c r="EMS160" s="187"/>
      <c r="EMT160" s="187"/>
      <c r="EMU160" s="187"/>
      <c r="EMV160" s="187"/>
      <c r="EMW160" s="187"/>
      <c r="EMX160" s="187"/>
      <c r="EMY160" s="187"/>
      <c r="EMZ160" s="187"/>
      <c r="ENA160" s="187"/>
      <c r="ENB160" s="187"/>
      <c r="ENC160" s="187"/>
      <c r="END160" s="187"/>
      <c r="ENE160" s="187"/>
      <c r="ENF160" s="187"/>
      <c r="ENG160" s="187"/>
      <c r="ENH160" s="187"/>
      <c r="ENI160" s="187"/>
      <c r="ENJ160" s="187"/>
      <c r="ENK160" s="187"/>
      <c r="ENL160" s="187"/>
      <c r="ENM160" s="187"/>
      <c r="ENN160" s="187"/>
      <c r="ENO160" s="187"/>
      <c r="ENP160" s="187"/>
      <c r="ENQ160" s="187"/>
      <c r="ENR160" s="187"/>
      <c r="ENS160" s="187"/>
      <c r="ENT160" s="187"/>
      <c r="ENU160" s="187"/>
      <c r="ENV160" s="187"/>
      <c r="ENW160" s="187"/>
      <c r="ENX160" s="187"/>
      <c r="ENY160" s="187"/>
      <c r="ENZ160" s="187"/>
      <c r="EOA160" s="187"/>
      <c r="EOB160" s="187"/>
      <c r="EOC160" s="187"/>
      <c r="EOD160" s="187"/>
      <c r="EOE160" s="187"/>
      <c r="EOF160" s="187"/>
      <c r="EOG160" s="187"/>
      <c r="EOH160" s="187"/>
      <c r="EOI160" s="187"/>
      <c r="EOJ160" s="187"/>
      <c r="EOK160" s="187"/>
      <c r="EOL160" s="187"/>
      <c r="EOM160" s="187"/>
      <c r="EON160" s="187"/>
      <c r="EOO160" s="187"/>
      <c r="EOP160" s="187"/>
      <c r="EOQ160" s="187"/>
      <c r="EOR160" s="187"/>
      <c r="EOS160" s="187"/>
      <c r="EOT160" s="187"/>
      <c r="EOU160" s="187"/>
      <c r="EOV160" s="187"/>
      <c r="EOW160" s="187"/>
      <c r="EOX160" s="187"/>
      <c r="EOY160" s="187"/>
      <c r="EOZ160" s="187"/>
      <c r="EPA160" s="187"/>
      <c r="EPB160" s="187"/>
      <c r="EPC160" s="187"/>
      <c r="EPD160" s="187"/>
      <c r="EPE160" s="187"/>
      <c r="EPF160" s="187"/>
      <c r="EPG160" s="187"/>
      <c r="EPH160" s="187"/>
      <c r="EPI160" s="187"/>
      <c r="EPJ160" s="187"/>
      <c r="EPK160" s="187"/>
      <c r="EPL160" s="187"/>
      <c r="EPM160" s="187"/>
      <c r="EPN160" s="187"/>
      <c r="EPO160" s="187"/>
      <c r="EPP160" s="187"/>
      <c r="EPQ160" s="187"/>
      <c r="EPR160" s="187"/>
      <c r="EPS160" s="187"/>
      <c r="EPT160" s="187"/>
      <c r="EPU160" s="187"/>
      <c r="EPV160" s="187"/>
      <c r="EPW160" s="187"/>
      <c r="EPX160" s="187"/>
      <c r="EPY160" s="187"/>
      <c r="EPZ160" s="187"/>
      <c r="EQA160" s="187"/>
      <c r="EQB160" s="187"/>
      <c r="EQC160" s="187"/>
      <c r="EQD160" s="187"/>
      <c r="EQE160" s="187"/>
      <c r="EQF160" s="187"/>
      <c r="EQG160" s="187"/>
      <c r="EQH160" s="187"/>
      <c r="EQI160" s="187"/>
      <c r="EQJ160" s="187"/>
      <c r="EQK160" s="187"/>
      <c r="EQL160" s="187"/>
      <c r="EQM160" s="187"/>
      <c r="EQN160" s="187"/>
      <c r="EQO160" s="187"/>
      <c r="EQP160" s="187"/>
      <c r="EQQ160" s="187"/>
      <c r="EQR160" s="187"/>
      <c r="EQS160" s="187"/>
      <c r="EQT160" s="187"/>
      <c r="EQU160" s="187"/>
      <c r="EQV160" s="187"/>
      <c r="EQW160" s="187"/>
      <c r="EQX160" s="187"/>
      <c r="EQY160" s="187"/>
      <c r="EQZ160" s="187"/>
      <c r="ERA160" s="187"/>
      <c r="ERB160" s="187"/>
      <c r="ERC160" s="187"/>
      <c r="ERD160" s="187"/>
      <c r="ERE160" s="187"/>
      <c r="ERF160" s="187"/>
      <c r="ERG160" s="187"/>
      <c r="ERH160" s="187"/>
      <c r="ERI160" s="187"/>
      <c r="ERJ160" s="187"/>
      <c r="ERK160" s="187"/>
      <c r="ERL160" s="187"/>
      <c r="ERM160" s="187"/>
      <c r="ERN160" s="187"/>
      <c r="ERO160" s="187"/>
      <c r="ERP160" s="187"/>
      <c r="ERQ160" s="187"/>
      <c r="ERR160" s="187"/>
      <c r="ERS160" s="187"/>
      <c r="ERT160" s="187"/>
      <c r="ERU160" s="187"/>
      <c r="ERV160" s="187"/>
      <c r="ERW160" s="187"/>
      <c r="ERX160" s="187"/>
      <c r="ERY160" s="187"/>
      <c r="ERZ160" s="187"/>
      <c r="ESA160" s="187"/>
      <c r="ESB160" s="187"/>
      <c r="ESC160" s="187"/>
      <c r="ESD160" s="187"/>
      <c r="ESE160" s="187"/>
      <c r="ESF160" s="187"/>
      <c r="ESG160" s="187"/>
      <c r="ESH160" s="187"/>
      <c r="ESI160" s="187"/>
      <c r="ESJ160" s="187"/>
      <c r="ESK160" s="187"/>
      <c r="ESL160" s="187"/>
      <c r="ESM160" s="187"/>
      <c r="ESN160" s="187"/>
      <c r="ESO160" s="187"/>
      <c r="ESP160" s="187"/>
      <c r="ESQ160" s="187"/>
      <c r="ESR160" s="187"/>
      <c r="ESS160" s="187"/>
      <c r="EST160" s="187"/>
      <c r="ESU160" s="187"/>
      <c r="ESV160" s="187"/>
      <c r="ESW160" s="187"/>
      <c r="ESX160" s="187"/>
      <c r="ESY160" s="187"/>
      <c r="ESZ160" s="187"/>
      <c r="ETA160" s="187"/>
      <c r="ETB160" s="187"/>
      <c r="ETC160" s="187"/>
      <c r="ETD160" s="187"/>
      <c r="ETE160" s="187"/>
      <c r="ETF160" s="187"/>
      <c r="ETG160" s="187"/>
      <c r="ETH160" s="187"/>
      <c r="ETI160" s="187"/>
      <c r="ETJ160" s="187"/>
      <c r="ETK160" s="187"/>
      <c r="ETL160" s="187"/>
      <c r="ETM160" s="187"/>
      <c r="ETN160" s="187"/>
      <c r="ETO160" s="187"/>
      <c r="ETP160" s="187"/>
      <c r="ETQ160" s="187"/>
      <c r="ETR160" s="187"/>
      <c r="ETS160" s="187"/>
      <c r="ETT160" s="187"/>
      <c r="ETU160" s="187"/>
      <c r="ETV160" s="187"/>
      <c r="ETW160" s="187"/>
      <c r="ETX160" s="187"/>
      <c r="ETY160" s="187"/>
      <c r="ETZ160" s="187"/>
      <c r="EUA160" s="187"/>
      <c r="EUB160" s="187"/>
      <c r="EUC160" s="187"/>
      <c r="EUD160" s="187"/>
      <c r="EUE160" s="187"/>
      <c r="EUF160" s="187"/>
      <c r="EUG160" s="187"/>
      <c r="EUH160" s="187"/>
      <c r="EUI160" s="187"/>
      <c r="EUJ160" s="187"/>
      <c r="EUK160" s="187"/>
      <c r="EUL160" s="187"/>
      <c r="EUM160" s="187"/>
      <c r="EUN160" s="187"/>
      <c r="EUO160" s="187"/>
      <c r="EUP160" s="187"/>
      <c r="EUQ160" s="187"/>
      <c r="EUR160" s="187"/>
      <c r="EUS160" s="187"/>
      <c r="EUT160" s="187"/>
      <c r="EUU160" s="187"/>
      <c r="EUV160" s="187"/>
      <c r="EUW160" s="187"/>
      <c r="EUX160" s="187"/>
      <c r="EUY160" s="187"/>
      <c r="EUZ160" s="187"/>
      <c r="EVA160" s="187"/>
      <c r="EVB160" s="187"/>
      <c r="EVC160" s="187"/>
      <c r="EVD160" s="187"/>
      <c r="EVE160" s="187"/>
      <c r="EVF160" s="187"/>
      <c r="EVG160" s="187"/>
      <c r="EVH160" s="187"/>
      <c r="EVI160" s="187"/>
      <c r="EVJ160" s="187"/>
      <c r="EVK160" s="187"/>
      <c r="EVL160" s="187"/>
      <c r="EVM160" s="187"/>
      <c r="EVN160" s="187"/>
      <c r="EVO160" s="187"/>
      <c r="EVP160" s="187"/>
      <c r="EVQ160" s="187"/>
      <c r="EVR160" s="187"/>
      <c r="EVS160" s="187"/>
      <c r="EVT160" s="187"/>
      <c r="EVU160" s="187"/>
      <c r="EVV160" s="187"/>
      <c r="EVW160" s="187"/>
      <c r="EVX160" s="187"/>
      <c r="EVY160" s="187"/>
      <c r="EVZ160" s="187"/>
      <c r="EWA160" s="187"/>
      <c r="EWB160" s="187"/>
      <c r="EWC160" s="187"/>
      <c r="EWD160" s="187"/>
      <c r="EWE160" s="187"/>
      <c r="EWF160" s="187"/>
      <c r="EWG160" s="187"/>
      <c r="EWH160" s="187"/>
      <c r="EWI160" s="187"/>
      <c r="EWJ160" s="187"/>
      <c r="EWK160" s="187"/>
      <c r="EWL160" s="187"/>
      <c r="EWM160" s="187"/>
      <c r="EWN160" s="187"/>
      <c r="EWO160" s="187"/>
      <c r="EWP160" s="187"/>
      <c r="EWQ160" s="187"/>
      <c r="EWR160" s="187"/>
      <c r="EWS160" s="187"/>
      <c r="EWT160" s="187"/>
      <c r="EWU160" s="187"/>
      <c r="EWV160" s="187"/>
      <c r="EWW160" s="187"/>
      <c r="EWX160" s="187"/>
      <c r="EWY160" s="187"/>
      <c r="EWZ160" s="187"/>
      <c r="EXA160" s="187"/>
      <c r="EXB160" s="187"/>
      <c r="EXC160" s="187"/>
      <c r="EXD160" s="187"/>
      <c r="EXE160" s="187"/>
      <c r="EXF160" s="187"/>
      <c r="EXG160" s="187"/>
      <c r="EXH160" s="187"/>
      <c r="EXI160" s="187"/>
      <c r="EXJ160" s="187"/>
      <c r="EXK160" s="187"/>
      <c r="EXL160" s="187"/>
      <c r="EXM160" s="187"/>
      <c r="EXN160" s="187"/>
      <c r="EXO160" s="187"/>
      <c r="EXP160" s="187"/>
      <c r="EXQ160" s="187"/>
      <c r="EXR160" s="187"/>
      <c r="EXS160" s="187"/>
      <c r="EXT160" s="187"/>
      <c r="EXU160" s="187"/>
      <c r="EXV160" s="187"/>
      <c r="EXW160" s="187"/>
      <c r="EXX160" s="187"/>
      <c r="EXY160" s="187"/>
      <c r="EXZ160" s="187"/>
      <c r="EYA160" s="187"/>
      <c r="EYB160" s="187"/>
      <c r="EYC160" s="187"/>
      <c r="EYD160" s="187"/>
      <c r="EYE160" s="187"/>
      <c r="EYF160" s="187"/>
      <c r="EYG160" s="187"/>
      <c r="EYH160" s="187"/>
      <c r="EYI160" s="187"/>
      <c r="EYJ160" s="187"/>
      <c r="EYK160" s="187"/>
      <c r="EYL160" s="187"/>
      <c r="EYM160" s="187"/>
      <c r="EYN160" s="187"/>
      <c r="EYO160" s="187"/>
      <c r="EYP160" s="187"/>
      <c r="EYQ160" s="187"/>
      <c r="EYR160" s="187"/>
      <c r="EYS160" s="187"/>
      <c r="EYT160" s="187"/>
      <c r="EYU160" s="187"/>
      <c r="EYV160" s="187"/>
      <c r="EYW160" s="187"/>
      <c r="EYX160" s="187"/>
      <c r="EYY160" s="187"/>
      <c r="EYZ160" s="187"/>
      <c r="EZA160" s="187"/>
      <c r="EZB160" s="187"/>
      <c r="EZC160" s="187"/>
      <c r="EZD160" s="187"/>
      <c r="EZE160" s="187"/>
      <c r="EZF160" s="187"/>
      <c r="EZG160" s="187"/>
      <c r="EZH160" s="187"/>
      <c r="EZI160" s="187"/>
      <c r="EZJ160" s="187"/>
      <c r="EZK160" s="187"/>
      <c r="EZL160" s="187"/>
      <c r="EZM160" s="187"/>
      <c r="EZN160" s="187"/>
      <c r="EZO160" s="187"/>
      <c r="EZP160" s="187"/>
      <c r="EZQ160" s="187"/>
      <c r="EZR160" s="187"/>
      <c r="EZS160" s="187"/>
      <c r="EZT160" s="187"/>
      <c r="EZU160" s="187"/>
      <c r="EZV160" s="187"/>
      <c r="EZW160" s="187"/>
      <c r="EZX160" s="187"/>
      <c r="EZY160" s="187"/>
      <c r="EZZ160" s="187"/>
      <c r="FAA160" s="187"/>
      <c r="FAB160" s="187"/>
      <c r="FAC160" s="187"/>
      <c r="FAD160" s="187"/>
      <c r="FAE160" s="187"/>
      <c r="FAF160" s="187"/>
      <c r="FAG160" s="187"/>
      <c r="FAH160" s="187"/>
      <c r="FAI160" s="187"/>
      <c r="FAJ160" s="187"/>
      <c r="FAK160" s="187"/>
      <c r="FAL160" s="187"/>
      <c r="FAM160" s="187"/>
      <c r="FAN160" s="187"/>
      <c r="FAO160" s="187"/>
      <c r="FAP160" s="187"/>
      <c r="FAQ160" s="187"/>
      <c r="FAR160" s="187"/>
      <c r="FAS160" s="187"/>
      <c r="FAT160" s="187"/>
      <c r="FAU160" s="187"/>
      <c r="FAV160" s="187"/>
      <c r="FAW160" s="187"/>
      <c r="FAX160" s="187"/>
      <c r="FAY160" s="187"/>
      <c r="FAZ160" s="187"/>
      <c r="FBA160" s="187"/>
      <c r="FBB160" s="187"/>
      <c r="FBC160" s="187"/>
      <c r="FBD160" s="187"/>
      <c r="FBE160" s="187"/>
      <c r="FBF160" s="187"/>
      <c r="FBG160" s="187"/>
      <c r="FBH160" s="187"/>
      <c r="FBI160" s="187"/>
      <c r="FBJ160" s="187"/>
      <c r="FBK160" s="187"/>
      <c r="FBL160" s="187"/>
      <c r="FBM160" s="187"/>
      <c r="FBN160" s="187"/>
      <c r="FBO160" s="187"/>
      <c r="FBP160" s="187"/>
      <c r="FBQ160" s="187"/>
      <c r="FBR160" s="187"/>
      <c r="FBS160" s="187"/>
      <c r="FBT160" s="187"/>
      <c r="FBU160" s="187"/>
      <c r="FBV160" s="187"/>
      <c r="FBW160" s="187"/>
      <c r="FBX160" s="187"/>
      <c r="FBY160" s="187"/>
      <c r="FBZ160" s="187"/>
      <c r="FCA160" s="187"/>
      <c r="FCB160" s="187"/>
      <c r="FCC160" s="187"/>
      <c r="FCD160" s="187"/>
      <c r="FCE160" s="187"/>
      <c r="FCF160" s="187"/>
      <c r="FCG160" s="187"/>
      <c r="FCH160" s="187"/>
      <c r="FCI160" s="187"/>
      <c r="FCJ160" s="187"/>
      <c r="FCK160" s="187"/>
      <c r="FCL160" s="187"/>
      <c r="FCM160" s="187"/>
      <c r="FCN160" s="187"/>
      <c r="FCO160" s="187"/>
      <c r="FCP160" s="187"/>
      <c r="FCQ160" s="187"/>
      <c r="FCR160" s="187"/>
      <c r="FCS160" s="187"/>
      <c r="FCT160" s="187"/>
      <c r="FCU160" s="187"/>
      <c r="FCV160" s="187"/>
      <c r="FCW160" s="187"/>
      <c r="FCX160" s="187"/>
      <c r="FCY160" s="187"/>
      <c r="FCZ160" s="187"/>
      <c r="FDA160" s="187"/>
      <c r="FDB160" s="187"/>
      <c r="FDC160" s="187"/>
      <c r="FDD160" s="187"/>
      <c r="FDE160" s="187"/>
      <c r="FDF160" s="187"/>
      <c r="FDG160" s="187"/>
      <c r="FDH160" s="187"/>
      <c r="FDI160" s="187"/>
      <c r="FDJ160" s="187"/>
      <c r="FDK160" s="187"/>
      <c r="FDL160" s="187"/>
      <c r="FDM160" s="187"/>
      <c r="FDN160" s="187"/>
      <c r="FDO160" s="187"/>
      <c r="FDP160" s="187"/>
      <c r="FDQ160" s="187"/>
      <c r="FDR160" s="187"/>
      <c r="FDS160" s="187"/>
      <c r="FDT160" s="187"/>
      <c r="FDU160" s="187"/>
      <c r="FDV160" s="187"/>
      <c r="FDW160" s="187"/>
      <c r="FDX160" s="187"/>
      <c r="FDY160" s="187"/>
      <c r="FDZ160" s="187"/>
      <c r="FEA160" s="187"/>
      <c r="FEB160" s="187"/>
      <c r="FEC160" s="187"/>
      <c r="FED160" s="187"/>
      <c r="FEE160" s="187"/>
      <c r="FEF160" s="187"/>
      <c r="FEG160" s="187"/>
      <c r="FEH160" s="187"/>
      <c r="FEI160" s="187"/>
      <c r="FEJ160" s="187"/>
      <c r="FEK160" s="187"/>
      <c r="FEL160" s="187"/>
      <c r="FEM160" s="187"/>
      <c r="FEN160" s="187"/>
      <c r="FEO160" s="187"/>
      <c r="FEP160" s="187"/>
      <c r="FEQ160" s="187"/>
      <c r="FER160" s="187"/>
      <c r="FES160" s="187"/>
      <c r="FET160" s="187"/>
      <c r="FEU160" s="187"/>
      <c r="FEV160" s="187"/>
      <c r="FEW160" s="187"/>
      <c r="FEX160" s="187"/>
      <c r="FEY160" s="187"/>
      <c r="FEZ160" s="187"/>
      <c r="FFA160" s="187"/>
      <c r="FFB160" s="187"/>
      <c r="FFC160" s="187"/>
      <c r="FFD160" s="187"/>
      <c r="FFE160" s="187"/>
      <c r="FFF160" s="187"/>
      <c r="FFG160" s="187"/>
      <c r="FFH160" s="187"/>
      <c r="FFI160" s="187"/>
      <c r="FFJ160" s="187"/>
      <c r="FFK160" s="187"/>
      <c r="FFL160" s="187"/>
      <c r="FFM160" s="187"/>
      <c r="FFN160" s="187"/>
      <c r="FFO160" s="187"/>
      <c r="FFP160" s="187"/>
      <c r="FFQ160" s="187"/>
      <c r="FFR160" s="187"/>
      <c r="FFS160" s="187"/>
      <c r="FFT160" s="187"/>
      <c r="FFU160" s="187"/>
      <c r="FFV160" s="187"/>
      <c r="FFW160" s="187"/>
      <c r="FFX160" s="187"/>
      <c r="FFY160" s="187"/>
      <c r="FFZ160" s="187"/>
      <c r="FGA160" s="187"/>
      <c r="FGB160" s="187"/>
      <c r="FGC160" s="187"/>
      <c r="FGD160" s="187"/>
      <c r="FGE160" s="187"/>
      <c r="FGF160" s="187"/>
      <c r="FGG160" s="187"/>
      <c r="FGH160" s="187"/>
      <c r="FGI160" s="187"/>
      <c r="FGJ160" s="187"/>
      <c r="FGK160" s="187"/>
      <c r="FGL160" s="187"/>
      <c r="FGM160" s="187"/>
      <c r="FGN160" s="187"/>
      <c r="FGO160" s="187"/>
      <c r="FGP160" s="187"/>
      <c r="FGQ160" s="187"/>
      <c r="FGR160" s="187"/>
      <c r="FGS160" s="187"/>
      <c r="FGT160" s="187"/>
      <c r="FGU160" s="187"/>
      <c r="FGV160" s="187"/>
      <c r="FGW160" s="187"/>
      <c r="FGX160" s="187"/>
      <c r="FGY160" s="187"/>
      <c r="FGZ160" s="187"/>
      <c r="FHA160" s="187"/>
      <c r="FHB160" s="187"/>
      <c r="FHC160" s="187"/>
      <c r="FHD160" s="187"/>
      <c r="FHE160" s="187"/>
      <c r="FHF160" s="187"/>
      <c r="FHG160" s="187"/>
      <c r="FHH160" s="187"/>
      <c r="FHI160" s="187"/>
      <c r="FHJ160" s="187"/>
      <c r="FHK160" s="187"/>
      <c r="FHL160" s="187"/>
      <c r="FHM160" s="187"/>
      <c r="FHN160" s="187"/>
      <c r="FHO160" s="187"/>
      <c r="FHP160" s="187"/>
      <c r="FHQ160" s="187"/>
      <c r="FHR160" s="187"/>
      <c r="FHS160" s="187"/>
      <c r="FHT160" s="187"/>
      <c r="FHU160" s="187"/>
      <c r="FHV160" s="187"/>
      <c r="FHW160" s="187"/>
      <c r="FHX160" s="187"/>
      <c r="FHY160" s="187"/>
      <c r="FHZ160" s="187"/>
      <c r="FIA160" s="187"/>
      <c r="FIB160" s="187"/>
      <c r="FIC160" s="187"/>
      <c r="FID160" s="187"/>
      <c r="FIE160" s="187"/>
      <c r="FIF160" s="187"/>
      <c r="FIG160" s="187"/>
      <c r="FIH160" s="187"/>
      <c r="FII160" s="187"/>
      <c r="FIJ160" s="187"/>
      <c r="FIK160" s="187"/>
      <c r="FIL160" s="187"/>
      <c r="FIM160" s="187"/>
      <c r="FIN160" s="187"/>
      <c r="FIO160" s="187"/>
      <c r="FIP160" s="187"/>
      <c r="FIQ160" s="187"/>
      <c r="FIR160" s="187"/>
      <c r="FIS160" s="187"/>
      <c r="FIT160" s="187"/>
      <c r="FIU160" s="187"/>
      <c r="FIV160" s="187"/>
      <c r="FIW160" s="187"/>
      <c r="FIX160" s="187"/>
      <c r="FIY160" s="187"/>
      <c r="FIZ160" s="187"/>
      <c r="FJA160" s="187"/>
      <c r="FJB160" s="187"/>
      <c r="FJC160" s="187"/>
      <c r="FJD160" s="187"/>
      <c r="FJE160" s="187"/>
      <c r="FJF160" s="187"/>
      <c r="FJG160" s="187"/>
      <c r="FJH160" s="187"/>
      <c r="FJI160" s="187"/>
      <c r="FJJ160" s="187"/>
      <c r="FJK160" s="187"/>
      <c r="FJL160" s="187"/>
      <c r="FJM160" s="187"/>
      <c r="FJN160" s="187"/>
      <c r="FJO160" s="187"/>
      <c r="FJP160" s="187"/>
      <c r="FJQ160" s="187"/>
      <c r="FJR160" s="187"/>
      <c r="FJS160" s="187"/>
      <c r="FJT160" s="187"/>
      <c r="FJU160" s="187"/>
      <c r="FJV160" s="187"/>
      <c r="FJW160" s="187"/>
      <c r="FJX160" s="187"/>
      <c r="FJY160" s="187"/>
      <c r="FJZ160" s="187"/>
      <c r="FKA160" s="187"/>
      <c r="FKB160" s="187"/>
      <c r="FKC160" s="187"/>
      <c r="FKD160" s="187"/>
      <c r="FKE160" s="187"/>
      <c r="FKF160" s="187"/>
      <c r="FKG160" s="187"/>
      <c r="FKH160" s="187"/>
      <c r="FKI160" s="187"/>
      <c r="FKJ160" s="187"/>
      <c r="FKK160" s="187"/>
      <c r="FKL160" s="187"/>
      <c r="FKM160" s="187"/>
      <c r="FKN160" s="187"/>
      <c r="FKO160" s="187"/>
      <c r="FKP160" s="187"/>
      <c r="FKQ160" s="187"/>
      <c r="FKR160" s="187"/>
      <c r="FKS160" s="187"/>
      <c r="FKT160" s="187"/>
      <c r="FKU160" s="187"/>
      <c r="FKV160" s="187"/>
      <c r="FKW160" s="187"/>
      <c r="FKX160" s="187"/>
      <c r="FKY160" s="187"/>
      <c r="FKZ160" s="187"/>
      <c r="FLA160" s="187"/>
      <c r="FLB160" s="187"/>
      <c r="FLC160" s="187"/>
      <c r="FLD160" s="187"/>
      <c r="FLE160" s="187"/>
      <c r="FLF160" s="187"/>
      <c r="FLG160" s="187"/>
      <c r="FLH160" s="187"/>
      <c r="FLI160" s="187"/>
      <c r="FLJ160" s="187"/>
      <c r="FLK160" s="187"/>
      <c r="FLL160" s="187"/>
      <c r="FLM160" s="187"/>
      <c r="FLN160" s="187"/>
      <c r="FLO160" s="187"/>
      <c r="FLP160" s="187"/>
      <c r="FLQ160" s="187"/>
      <c r="FLR160" s="187"/>
      <c r="FLS160" s="187"/>
      <c r="FLT160" s="187"/>
      <c r="FLU160" s="187"/>
      <c r="FLV160" s="187"/>
      <c r="FLW160" s="187"/>
      <c r="FLX160" s="187"/>
      <c r="FLY160" s="187"/>
      <c r="FLZ160" s="187"/>
      <c r="FMA160" s="187"/>
      <c r="FMB160" s="187"/>
      <c r="FMC160" s="187"/>
      <c r="FMD160" s="187"/>
      <c r="FME160" s="187"/>
      <c r="FMF160" s="187"/>
      <c r="FMG160" s="187"/>
      <c r="FMH160" s="187"/>
      <c r="FMI160" s="187"/>
      <c r="FMJ160" s="187"/>
      <c r="FMK160" s="187"/>
      <c r="FML160" s="187"/>
      <c r="FMM160" s="187"/>
      <c r="FMN160" s="187"/>
      <c r="FMO160" s="187"/>
      <c r="FMP160" s="187"/>
      <c r="FMQ160" s="187"/>
      <c r="FMR160" s="187"/>
      <c r="FMS160" s="187"/>
      <c r="FMT160" s="187"/>
      <c r="FMU160" s="187"/>
      <c r="FMV160" s="187"/>
      <c r="FMW160" s="187"/>
      <c r="FMX160" s="187"/>
      <c r="FMY160" s="187"/>
      <c r="FMZ160" s="187"/>
      <c r="FNA160" s="187"/>
      <c r="FNB160" s="187"/>
      <c r="FNC160" s="187"/>
      <c r="FND160" s="187"/>
      <c r="FNE160" s="187"/>
      <c r="FNF160" s="187"/>
      <c r="FNG160" s="187"/>
      <c r="FNH160" s="187"/>
      <c r="FNI160" s="187"/>
      <c r="FNJ160" s="187"/>
      <c r="FNK160" s="187"/>
      <c r="FNL160" s="187"/>
      <c r="FNM160" s="187"/>
      <c r="FNN160" s="187"/>
      <c r="FNO160" s="187"/>
      <c r="FNP160" s="187"/>
      <c r="FNQ160" s="187"/>
      <c r="FNR160" s="187"/>
      <c r="FNS160" s="187"/>
      <c r="FNT160" s="187"/>
      <c r="FNU160" s="187"/>
      <c r="FNV160" s="187"/>
      <c r="FNW160" s="187"/>
      <c r="FNX160" s="187"/>
      <c r="FNY160" s="187"/>
      <c r="FNZ160" s="187"/>
      <c r="FOA160" s="187"/>
      <c r="FOB160" s="187"/>
      <c r="FOC160" s="187"/>
      <c r="FOD160" s="187"/>
      <c r="FOE160" s="187"/>
      <c r="FOF160" s="187"/>
      <c r="FOG160" s="187"/>
      <c r="FOH160" s="187"/>
      <c r="FOI160" s="187"/>
      <c r="FOJ160" s="187"/>
      <c r="FOK160" s="187"/>
      <c r="FOL160" s="187"/>
      <c r="FOM160" s="187"/>
      <c r="FON160" s="187"/>
      <c r="FOO160" s="187"/>
      <c r="FOP160" s="187"/>
      <c r="FOQ160" s="187"/>
      <c r="FOR160" s="187"/>
      <c r="FOS160" s="187"/>
      <c r="FOT160" s="187"/>
      <c r="FOU160" s="187"/>
      <c r="FOV160" s="187"/>
      <c r="FOW160" s="187"/>
      <c r="FOX160" s="187"/>
      <c r="FOY160" s="187"/>
      <c r="FOZ160" s="187"/>
      <c r="FPA160" s="187"/>
      <c r="FPB160" s="187"/>
      <c r="FPC160" s="187"/>
      <c r="FPD160" s="187"/>
      <c r="FPE160" s="187"/>
      <c r="FPF160" s="187"/>
      <c r="FPG160" s="187"/>
      <c r="FPH160" s="187"/>
      <c r="FPI160" s="187"/>
      <c r="FPJ160" s="187"/>
      <c r="FPK160" s="187"/>
      <c r="FPL160" s="187"/>
      <c r="FPM160" s="187"/>
      <c r="FPN160" s="187"/>
      <c r="FPO160" s="187"/>
      <c r="FPP160" s="187"/>
      <c r="FPQ160" s="187"/>
      <c r="FPR160" s="187"/>
      <c r="FPS160" s="187"/>
      <c r="FPT160" s="187"/>
      <c r="FPU160" s="187"/>
      <c r="FPV160" s="187"/>
      <c r="FPW160" s="187"/>
      <c r="FPX160" s="187"/>
      <c r="FPY160" s="187"/>
      <c r="FPZ160" s="187"/>
      <c r="FQA160" s="187"/>
      <c r="FQB160" s="187"/>
      <c r="FQC160" s="187"/>
      <c r="FQD160" s="187"/>
      <c r="FQE160" s="187"/>
      <c r="FQF160" s="187"/>
      <c r="FQG160" s="187"/>
      <c r="FQH160" s="187"/>
      <c r="FQI160" s="187"/>
      <c r="FQJ160" s="187"/>
      <c r="FQK160" s="187"/>
      <c r="FQL160" s="187"/>
      <c r="FQM160" s="187"/>
      <c r="FQN160" s="187"/>
      <c r="FQO160" s="187"/>
      <c r="FQP160" s="187"/>
      <c r="FQQ160" s="187"/>
      <c r="FQR160" s="187"/>
      <c r="FQS160" s="187"/>
      <c r="FQT160" s="187"/>
      <c r="FQU160" s="187"/>
      <c r="FQV160" s="187"/>
      <c r="FQW160" s="187"/>
      <c r="FQX160" s="187"/>
      <c r="FQY160" s="187"/>
      <c r="FQZ160" s="187"/>
      <c r="FRA160" s="187"/>
      <c r="FRB160" s="187"/>
      <c r="FRC160" s="187"/>
      <c r="FRD160" s="187"/>
      <c r="FRE160" s="187"/>
      <c r="FRF160" s="187"/>
      <c r="FRG160" s="187"/>
      <c r="FRH160" s="187"/>
      <c r="FRI160" s="187"/>
      <c r="FRJ160" s="187"/>
      <c r="FRK160" s="187"/>
      <c r="FRL160" s="187"/>
      <c r="FRM160" s="187"/>
      <c r="FRN160" s="187"/>
      <c r="FRO160" s="187"/>
      <c r="FRP160" s="187"/>
      <c r="FRQ160" s="187"/>
      <c r="FRR160" s="187"/>
      <c r="FRS160" s="187"/>
      <c r="FRT160" s="187"/>
      <c r="FRU160" s="187"/>
      <c r="FRV160" s="187"/>
      <c r="FRW160" s="187"/>
      <c r="FRX160" s="187"/>
      <c r="FRY160" s="187"/>
      <c r="FRZ160" s="187"/>
      <c r="FSA160" s="187"/>
      <c r="FSB160" s="187"/>
      <c r="FSC160" s="187"/>
      <c r="FSD160" s="187"/>
      <c r="FSE160" s="187"/>
      <c r="FSF160" s="187"/>
      <c r="FSG160" s="187"/>
      <c r="FSH160" s="187"/>
      <c r="FSI160" s="187"/>
      <c r="FSJ160" s="187"/>
      <c r="FSK160" s="187"/>
      <c r="FSL160" s="187"/>
      <c r="FSM160" s="187"/>
      <c r="FSN160" s="187"/>
      <c r="FSO160" s="187"/>
      <c r="FSP160" s="187"/>
      <c r="FSQ160" s="187"/>
      <c r="FSR160" s="187"/>
      <c r="FSS160" s="187"/>
      <c r="FST160" s="187"/>
      <c r="FSU160" s="187"/>
      <c r="FSV160" s="187"/>
      <c r="FSW160" s="187"/>
      <c r="FSX160" s="187"/>
      <c r="FSY160" s="187"/>
      <c r="FSZ160" s="187"/>
      <c r="FTA160" s="187"/>
      <c r="FTB160" s="187"/>
      <c r="FTC160" s="187"/>
      <c r="FTD160" s="187"/>
      <c r="FTE160" s="187"/>
      <c r="FTF160" s="187"/>
      <c r="FTG160" s="187"/>
      <c r="FTH160" s="187"/>
      <c r="FTI160" s="187"/>
      <c r="FTJ160" s="187"/>
      <c r="FTK160" s="187"/>
      <c r="FTL160" s="187"/>
      <c r="FTM160" s="187"/>
      <c r="FTN160" s="187"/>
      <c r="FTO160" s="187"/>
      <c r="FTP160" s="187"/>
      <c r="FTQ160" s="187"/>
      <c r="FTR160" s="187"/>
      <c r="FTS160" s="187"/>
      <c r="FTT160" s="187"/>
      <c r="FTU160" s="187"/>
      <c r="FTV160" s="187"/>
      <c r="FTW160" s="187"/>
      <c r="FTX160" s="187"/>
      <c r="FTY160" s="187"/>
      <c r="FTZ160" s="187"/>
      <c r="FUA160" s="187"/>
      <c r="FUB160" s="187"/>
      <c r="FUC160" s="187"/>
      <c r="FUD160" s="187"/>
      <c r="FUE160" s="187"/>
      <c r="FUF160" s="187"/>
      <c r="FUG160" s="187"/>
      <c r="FUH160" s="187"/>
      <c r="FUI160" s="187"/>
      <c r="FUJ160" s="187"/>
      <c r="FUK160" s="187"/>
      <c r="FUL160" s="187"/>
      <c r="FUM160" s="187"/>
      <c r="FUN160" s="187"/>
      <c r="FUO160" s="187"/>
      <c r="FUP160" s="187"/>
      <c r="FUQ160" s="187"/>
      <c r="FUR160" s="187"/>
      <c r="FUS160" s="187"/>
      <c r="FUT160" s="187"/>
      <c r="FUU160" s="187"/>
      <c r="FUV160" s="187"/>
      <c r="FUW160" s="187"/>
      <c r="FUX160" s="187"/>
      <c r="FUY160" s="187"/>
      <c r="FUZ160" s="187"/>
      <c r="FVA160" s="187"/>
      <c r="FVB160" s="187"/>
      <c r="FVC160" s="187"/>
      <c r="FVD160" s="187"/>
      <c r="FVE160" s="187"/>
      <c r="FVF160" s="187"/>
      <c r="FVG160" s="187"/>
      <c r="FVH160" s="187"/>
      <c r="FVI160" s="187"/>
      <c r="FVJ160" s="187"/>
      <c r="FVK160" s="187"/>
      <c r="FVL160" s="187"/>
      <c r="FVM160" s="187"/>
      <c r="FVN160" s="187"/>
      <c r="FVO160" s="187"/>
      <c r="FVP160" s="187"/>
      <c r="FVQ160" s="187"/>
      <c r="FVR160" s="187"/>
      <c r="FVS160" s="187"/>
      <c r="FVT160" s="187"/>
      <c r="FVU160" s="187"/>
      <c r="FVV160" s="187"/>
      <c r="FVW160" s="187"/>
      <c r="FVX160" s="187"/>
      <c r="FVY160" s="187"/>
      <c r="FVZ160" s="187"/>
      <c r="FWA160" s="187"/>
      <c r="FWB160" s="187"/>
      <c r="FWC160" s="187"/>
      <c r="FWD160" s="187"/>
      <c r="FWE160" s="187"/>
      <c r="FWF160" s="187"/>
      <c r="FWG160" s="187"/>
      <c r="FWH160" s="187"/>
      <c r="FWI160" s="187"/>
      <c r="FWJ160" s="187"/>
      <c r="FWK160" s="187"/>
      <c r="FWL160" s="187"/>
      <c r="FWM160" s="187"/>
      <c r="FWN160" s="187"/>
      <c r="FWO160" s="187"/>
      <c r="FWP160" s="187"/>
      <c r="FWQ160" s="187"/>
      <c r="FWR160" s="187"/>
      <c r="FWS160" s="187"/>
      <c r="FWT160" s="187"/>
      <c r="FWU160" s="187"/>
      <c r="FWV160" s="187"/>
      <c r="FWW160" s="187"/>
      <c r="FWX160" s="187"/>
      <c r="FWY160" s="187"/>
      <c r="FWZ160" s="187"/>
      <c r="FXA160" s="187"/>
      <c r="FXB160" s="187"/>
      <c r="FXC160" s="187"/>
      <c r="FXD160" s="187"/>
      <c r="FXE160" s="187"/>
      <c r="FXF160" s="187"/>
      <c r="FXG160" s="187"/>
      <c r="FXH160" s="187"/>
      <c r="FXI160" s="187"/>
      <c r="FXJ160" s="187"/>
      <c r="FXK160" s="187"/>
      <c r="FXL160" s="187"/>
      <c r="FXM160" s="187"/>
      <c r="FXN160" s="187"/>
      <c r="FXO160" s="187"/>
      <c r="FXP160" s="187"/>
      <c r="FXQ160" s="187"/>
      <c r="FXR160" s="187"/>
      <c r="FXS160" s="187"/>
      <c r="FXT160" s="187"/>
      <c r="FXU160" s="187"/>
      <c r="FXV160" s="187"/>
      <c r="FXW160" s="187"/>
      <c r="FXX160" s="187"/>
      <c r="FXY160" s="187"/>
      <c r="FXZ160" s="187"/>
      <c r="FYA160" s="187"/>
      <c r="FYB160" s="187"/>
      <c r="FYC160" s="187"/>
      <c r="FYD160" s="187"/>
      <c r="FYE160" s="187"/>
      <c r="FYF160" s="187"/>
      <c r="FYG160" s="187"/>
      <c r="FYH160" s="187"/>
      <c r="FYI160" s="187"/>
      <c r="FYJ160" s="187"/>
      <c r="FYK160" s="187"/>
      <c r="FYL160" s="187"/>
      <c r="FYM160" s="187"/>
      <c r="FYN160" s="187"/>
      <c r="FYO160" s="187"/>
      <c r="FYP160" s="187"/>
      <c r="FYQ160" s="187"/>
      <c r="FYR160" s="187"/>
      <c r="FYS160" s="187"/>
      <c r="FYT160" s="187"/>
      <c r="FYU160" s="187"/>
      <c r="FYV160" s="187"/>
      <c r="FYW160" s="187"/>
      <c r="FYX160" s="187"/>
      <c r="FYY160" s="187"/>
      <c r="FYZ160" s="187"/>
      <c r="FZA160" s="187"/>
      <c r="FZB160" s="187"/>
      <c r="FZC160" s="187"/>
      <c r="FZD160" s="187"/>
      <c r="FZE160" s="187"/>
      <c r="FZF160" s="187"/>
      <c r="FZG160" s="187"/>
      <c r="FZH160" s="187"/>
      <c r="FZI160" s="187"/>
      <c r="FZJ160" s="187"/>
      <c r="FZK160" s="187"/>
      <c r="FZL160" s="187"/>
      <c r="FZM160" s="187"/>
      <c r="FZN160" s="187"/>
      <c r="FZO160" s="187"/>
      <c r="FZP160" s="187"/>
      <c r="FZQ160" s="187"/>
      <c r="FZR160" s="187"/>
      <c r="FZS160" s="187"/>
      <c r="FZT160" s="187"/>
      <c r="FZU160" s="187"/>
      <c r="FZV160" s="187"/>
      <c r="FZW160" s="187"/>
      <c r="FZX160" s="187"/>
      <c r="FZY160" s="187"/>
      <c r="FZZ160" s="187"/>
      <c r="GAA160" s="187"/>
      <c r="GAB160" s="187"/>
      <c r="GAC160" s="187"/>
      <c r="GAD160" s="187"/>
      <c r="GAE160" s="187"/>
      <c r="GAF160" s="187"/>
      <c r="GAG160" s="187"/>
      <c r="GAH160" s="187"/>
      <c r="GAI160" s="187"/>
      <c r="GAJ160" s="187"/>
      <c r="GAK160" s="187"/>
      <c r="GAL160" s="187"/>
      <c r="GAM160" s="187"/>
      <c r="GAN160" s="187"/>
      <c r="GAO160" s="187"/>
      <c r="GAP160" s="187"/>
      <c r="GAQ160" s="187"/>
      <c r="GAR160" s="187"/>
      <c r="GAS160" s="187"/>
      <c r="GAT160" s="187"/>
      <c r="GAU160" s="187"/>
      <c r="GAV160" s="187"/>
      <c r="GAW160" s="187"/>
      <c r="GAX160" s="187"/>
      <c r="GAY160" s="187"/>
      <c r="GAZ160" s="187"/>
      <c r="GBA160" s="187"/>
      <c r="GBB160" s="187"/>
      <c r="GBC160" s="187"/>
      <c r="GBD160" s="187"/>
      <c r="GBE160" s="187"/>
      <c r="GBF160" s="187"/>
      <c r="GBG160" s="187"/>
      <c r="GBH160" s="187"/>
      <c r="GBI160" s="187"/>
      <c r="GBJ160" s="187"/>
      <c r="GBK160" s="187"/>
      <c r="GBL160" s="187"/>
      <c r="GBM160" s="187"/>
      <c r="GBN160" s="187"/>
      <c r="GBO160" s="187"/>
      <c r="GBP160" s="187"/>
      <c r="GBQ160" s="187"/>
      <c r="GBR160" s="187"/>
      <c r="GBS160" s="187"/>
      <c r="GBT160" s="187"/>
      <c r="GBU160" s="187"/>
      <c r="GBV160" s="187"/>
      <c r="GBW160" s="187"/>
      <c r="GBX160" s="187"/>
      <c r="GBY160" s="187"/>
      <c r="GBZ160" s="187"/>
      <c r="GCA160" s="187"/>
      <c r="GCB160" s="187"/>
      <c r="GCC160" s="187"/>
      <c r="GCD160" s="187"/>
      <c r="GCE160" s="187"/>
      <c r="GCF160" s="187"/>
      <c r="GCG160" s="187"/>
      <c r="GCH160" s="187"/>
      <c r="GCI160" s="187"/>
      <c r="GCJ160" s="187"/>
      <c r="GCK160" s="187"/>
      <c r="GCL160" s="187"/>
      <c r="GCM160" s="187"/>
      <c r="GCN160" s="187"/>
      <c r="GCO160" s="187"/>
      <c r="GCP160" s="187"/>
      <c r="GCQ160" s="187"/>
      <c r="GCR160" s="187"/>
      <c r="GCS160" s="187"/>
      <c r="GCT160" s="187"/>
      <c r="GCU160" s="187"/>
      <c r="GCV160" s="187"/>
      <c r="GCW160" s="187"/>
      <c r="GCX160" s="187"/>
      <c r="GCY160" s="187"/>
      <c r="GCZ160" s="187"/>
      <c r="GDA160" s="187"/>
      <c r="GDB160" s="187"/>
      <c r="GDC160" s="187"/>
      <c r="GDD160" s="187"/>
      <c r="GDE160" s="187"/>
      <c r="GDF160" s="187"/>
      <c r="GDG160" s="187"/>
      <c r="GDH160" s="187"/>
      <c r="GDI160" s="187"/>
      <c r="GDJ160" s="187"/>
      <c r="GDK160" s="187"/>
      <c r="GDL160" s="187"/>
      <c r="GDM160" s="187"/>
      <c r="GDN160" s="187"/>
      <c r="GDO160" s="187"/>
      <c r="GDP160" s="187"/>
      <c r="GDQ160" s="187"/>
      <c r="GDR160" s="187"/>
      <c r="GDS160" s="187"/>
      <c r="GDT160" s="187"/>
      <c r="GDU160" s="187"/>
      <c r="GDV160" s="187"/>
      <c r="GDW160" s="187"/>
      <c r="GDX160" s="187"/>
      <c r="GDY160" s="187"/>
      <c r="GDZ160" s="187"/>
      <c r="GEA160" s="187"/>
      <c r="GEB160" s="187"/>
      <c r="GEC160" s="187"/>
      <c r="GED160" s="187"/>
      <c r="GEE160" s="187"/>
      <c r="GEF160" s="187"/>
      <c r="GEG160" s="187"/>
      <c r="GEH160" s="187"/>
      <c r="GEI160" s="187"/>
      <c r="GEJ160" s="187"/>
      <c r="GEK160" s="187"/>
      <c r="GEL160" s="187"/>
      <c r="GEM160" s="187"/>
      <c r="GEN160" s="187"/>
      <c r="GEO160" s="187"/>
      <c r="GEP160" s="187"/>
      <c r="GEQ160" s="187"/>
      <c r="GER160" s="187"/>
      <c r="GES160" s="187"/>
      <c r="GET160" s="187"/>
      <c r="GEU160" s="187"/>
      <c r="GEV160" s="187"/>
      <c r="GEW160" s="187"/>
      <c r="GEX160" s="187"/>
      <c r="GEY160" s="187"/>
      <c r="GEZ160" s="187"/>
      <c r="GFA160" s="187"/>
      <c r="GFB160" s="187"/>
      <c r="GFC160" s="187"/>
      <c r="GFD160" s="187"/>
      <c r="GFE160" s="187"/>
      <c r="GFF160" s="187"/>
      <c r="GFG160" s="187"/>
      <c r="GFH160" s="187"/>
      <c r="GFI160" s="187"/>
      <c r="GFJ160" s="187"/>
      <c r="GFK160" s="187"/>
      <c r="GFL160" s="187"/>
      <c r="GFM160" s="187"/>
      <c r="GFN160" s="187"/>
      <c r="GFO160" s="187"/>
      <c r="GFP160" s="187"/>
      <c r="GFQ160" s="187"/>
      <c r="GFR160" s="187"/>
      <c r="GFS160" s="187"/>
      <c r="GFT160" s="187"/>
      <c r="GFU160" s="187"/>
      <c r="GFV160" s="187"/>
      <c r="GFW160" s="187"/>
      <c r="GFX160" s="187"/>
      <c r="GFY160" s="187"/>
      <c r="GFZ160" s="187"/>
      <c r="GGA160" s="187"/>
      <c r="GGB160" s="187"/>
      <c r="GGC160" s="187"/>
      <c r="GGD160" s="187"/>
      <c r="GGE160" s="187"/>
      <c r="GGF160" s="187"/>
      <c r="GGG160" s="187"/>
      <c r="GGH160" s="187"/>
      <c r="GGI160" s="187"/>
      <c r="GGJ160" s="187"/>
      <c r="GGK160" s="187"/>
      <c r="GGL160" s="187"/>
      <c r="GGM160" s="187"/>
      <c r="GGN160" s="187"/>
      <c r="GGO160" s="187"/>
      <c r="GGP160" s="187"/>
      <c r="GGQ160" s="187"/>
      <c r="GGR160" s="187"/>
      <c r="GGS160" s="187"/>
      <c r="GGT160" s="187"/>
      <c r="GGU160" s="187"/>
      <c r="GGV160" s="187"/>
      <c r="GGW160" s="187"/>
      <c r="GGX160" s="187"/>
      <c r="GGY160" s="187"/>
      <c r="GGZ160" s="187"/>
      <c r="GHA160" s="187"/>
      <c r="GHB160" s="187"/>
      <c r="GHC160" s="187"/>
      <c r="GHD160" s="187"/>
      <c r="GHE160" s="187"/>
      <c r="GHF160" s="187"/>
      <c r="GHG160" s="187"/>
      <c r="GHH160" s="187"/>
      <c r="GHI160" s="187"/>
      <c r="GHJ160" s="187"/>
      <c r="GHK160" s="187"/>
      <c r="GHL160" s="187"/>
      <c r="GHM160" s="187"/>
      <c r="GHN160" s="187"/>
      <c r="GHO160" s="187"/>
      <c r="GHP160" s="187"/>
      <c r="GHQ160" s="187"/>
      <c r="GHR160" s="187"/>
      <c r="GHS160" s="187"/>
      <c r="GHT160" s="187"/>
      <c r="GHU160" s="187"/>
      <c r="GHV160" s="187"/>
      <c r="GHW160" s="187"/>
      <c r="GHX160" s="187"/>
      <c r="GHY160" s="187"/>
      <c r="GHZ160" s="187"/>
      <c r="GIA160" s="187"/>
      <c r="GIB160" s="187"/>
      <c r="GIC160" s="187"/>
      <c r="GID160" s="187"/>
      <c r="GIE160" s="187"/>
      <c r="GIF160" s="187"/>
      <c r="GIG160" s="187"/>
      <c r="GIH160" s="187"/>
      <c r="GII160" s="187"/>
      <c r="GIJ160" s="187"/>
      <c r="GIK160" s="187"/>
      <c r="GIL160" s="187"/>
      <c r="GIM160" s="187"/>
      <c r="GIN160" s="187"/>
      <c r="GIO160" s="187"/>
      <c r="GIP160" s="187"/>
      <c r="GIQ160" s="187"/>
      <c r="GIR160" s="187"/>
      <c r="GIS160" s="187"/>
      <c r="GIT160" s="187"/>
      <c r="GIU160" s="187"/>
      <c r="GIV160" s="187"/>
      <c r="GIW160" s="187"/>
      <c r="GIX160" s="187"/>
      <c r="GIY160" s="187"/>
      <c r="GIZ160" s="187"/>
      <c r="GJA160" s="187"/>
      <c r="GJB160" s="187"/>
      <c r="GJC160" s="187"/>
      <c r="GJD160" s="187"/>
      <c r="GJE160" s="187"/>
      <c r="GJF160" s="187"/>
      <c r="GJG160" s="187"/>
      <c r="GJH160" s="187"/>
      <c r="GJI160" s="187"/>
      <c r="GJJ160" s="187"/>
      <c r="GJK160" s="187"/>
      <c r="GJL160" s="187"/>
      <c r="GJM160" s="187"/>
      <c r="GJN160" s="187"/>
      <c r="GJO160" s="187"/>
      <c r="GJP160" s="187"/>
      <c r="GJQ160" s="187"/>
      <c r="GJR160" s="187"/>
      <c r="GJS160" s="187"/>
      <c r="GJT160" s="187"/>
      <c r="GJU160" s="187"/>
      <c r="GJV160" s="187"/>
      <c r="GJW160" s="187"/>
      <c r="GJX160" s="187"/>
      <c r="GJY160" s="187"/>
      <c r="GJZ160" s="187"/>
      <c r="GKA160" s="187"/>
      <c r="GKB160" s="187"/>
      <c r="GKC160" s="187"/>
      <c r="GKD160" s="187"/>
      <c r="GKE160" s="187"/>
      <c r="GKF160" s="187"/>
      <c r="GKG160" s="187"/>
      <c r="GKH160" s="187"/>
      <c r="GKI160" s="187"/>
      <c r="GKJ160" s="187"/>
      <c r="GKK160" s="187"/>
      <c r="GKL160" s="187"/>
      <c r="GKM160" s="187"/>
      <c r="GKN160" s="187"/>
      <c r="GKO160" s="187"/>
      <c r="GKP160" s="187"/>
      <c r="GKQ160" s="187"/>
      <c r="GKR160" s="187"/>
      <c r="GKS160" s="187"/>
      <c r="GKT160" s="187"/>
      <c r="GKU160" s="187"/>
      <c r="GKV160" s="187"/>
      <c r="GKW160" s="187"/>
      <c r="GKX160" s="187"/>
      <c r="GKY160" s="187"/>
      <c r="GKZ160" s="187"/>
      <c r="GLA160" s="187"/>
      <c r="GLB160" s="187"/>
      <c r="GLC160" s="187"/>
      <c r="GLD160" s="187"/>
      <c r="GLE160" s="187"/>
      <c r="GLF160" s="187"/>
      <c r="GLG160" s="187"/>
      <c r="GLH160" s="187"/>
      <c r="GLI160" s="187"/>
      <c r="GLJ160" s="187"/>
      <c r="GLK160" s="187"/>
      <c r="GLL160" s="187"/>
      <c r="GLM160" s="187"/>
      <c r="GLN160" s="187"/>
      <c r="GLO160" s="187"/>
      <c r="GLP160" s="187"/>
      <c r="GLQ160" s="187"/>
      <c r="GLR160" s="187"/>
      <c r="GLS160" s="187"/>
      <c r="GLT160" s="187"/>
      <c r="GLU160" s="187"/>
      <c r="GLV160" s="187"/>
      <c r="GLW160" s="187"/>
      <c r="GLX160" s="187"/>
      <c r="GLY160" s="187"/>
      <c r="GLZ160" s="187"/>
      <c r="GMA160" s="187"/>
      <c r="GMB160" s="187"/>
      <c r="GMC160" s="187"/>
      <c r="GMD160" s="187"/>
      <c r="GME160" s="187"/>
      <c r="GMF160" s="187"/>
      <c r="GMG160" s="187"/>
      <c r="GMH160" s="187"/>
      <c r="GMI160" s="187"/>
      <c r="GMJ160" s="187"/>
      <c r="GMK160" s="187"/>
      <c r="GML160" s="187"/>
      <c r="GMM160" s="187"/>
      <c r="GMN160" s="187"/>
      <c r="GMO160" s="187"/>
      <c r="GMP160" s="187"/>
      <c r="GMQ160" s="187"/>
      <c r="GMR160" s="187"/>
      <c r="GMS160" s="187"/>
      <c r="GMT160" s="187"/>
      <c r="GMU160" s="187"/>
      <c r="GMV160" s="187"/>
      <c r="GMW160" s="187"/>
      <c r="GMX160" s="187"/>
      <c r="GMY160" s="187"/>
      <c r="GMZ160" s="187"/>
      <c r="GNA160" s="187"/>
      <c r="GNB160" s="187"/>
      <c r="GNC160" s="187"/>
      <c r="GND160" s="187"/>
      <c r="GNE160" s="187"/>
      <c r="GNF160" s="187"/>
      <c r="GNG160" s="187"/>
      <c r="GNH160" s="187"/>
      <c r="GNI160" s="187"/>
      <c r="GNJ160" s="187"/>
      <c r="GNK160" s="187"/>
      <c r="GNL160" s="187"/>
      <c r="GNM160" s="187"/>
      <c r="GNN160" s="187"/>
      <c r="GNO160" s="187"/>
      <c r="GNP160" s="187"/>
      <c r="GNQ160" s="187"/>
      <c r="GNR160" s="187"/>
      <c r="GNS160" s="187"/>
      <c r="GNT160" s="187"/>
      <c r="GNU160" s="187"/>
      <c r="GNV160" s="187"/>
      <c r="GNW160" s="187"/>
      <c r="GNX160" s="187"/>
      <c r="GNY160" s="187"/>
      <c r="GNZ160" s="187"/>
      <c r="GOA160" s="187"/>
      <c r="GOB160" s="187"/>
      <c r="GOC160" s="187"/>
      <c r="GOD160" s="187"/>
      <c r="GOE160" s="187"/>
      <c r="GOF160" s="187"/>
      <c r="GOG160" s="187"/>
      <c r="GOH160" s="187"/>
      <c r="GOI160" s="187"/>
      <c r="GOJ160" s="187"/>
      <c r="GOK160" s="187"/>
      <c r="GOL160" s="187"/>
      <c r="GOM160" s="187"/>
      <c r="GON160" s="187"/>
      <c r="GOO160" s="187"/>
      <c r="GOP160" s="187"/>
      <c r="GOQ160" s="187"/>
      <c r="GOR160" s="187"/>
      <c r="GOS160" s="187"/>
      <c r="GOT160" s="187"/>
      <c r="GOU160" s="187"/>
      <c r="GOV160" s="187"/>
      <c r="GOW160" s="187"/>
      <c r="GOX160" s="187"/>
      <c r="GOY160" s="187"/>
      <c r="GOZ160" s="187"/>
      <c r="GPA160" s="187"/>
      <c r="GPB160" s="187"/>
      <c r="GPC160" s="187"/>
      <c r="GPD160" s="187"/>
      <c r="GPE160" s="187"/>
      <c r="GPF160" s="187"/>
      <c r="GPG160" s="187"/>
      <c r="GPH160" s="187"/>
      <c r="GPI160" s="187"/>
      <c r="GPJ160" s="187"/>
      <c r="GPK160" s="187"/>
      <c r="GPL160" s="187"/>
      <c r="GPM160" s="187"/>
      <c r="GPN160" s="187"/>
      <c r="GPO160" s="187"/>
      <c r="GPP160" s="187"/>
      <c r="GPQ160" s="187"/>
      <c r="GPR160" s="187"/>
      <c r="GPS160" s="187"/>
      <c r="GPT160" s="187"/>
      <c r="GPU160" s="187"/>
      <c r="GPV160" s="187"/>
      <c r="GPW160" s="187"/>
      <c r="GPX160" s="187"/>
      <c r="GPY160" s="187"/>
      <c r="GPZ160" s="187"/>
      <c r="GQA160" s="187"/>
      <c r="GQB160" s="187"/>
      <c r="GQC160" s="187"/>
      <c r="GQD160" s="187"/>
      <c r="GQE160" s="187"/>
      <c r="GQF160" s="187"/>
      <c r="GQG160" s="187"/>
      <c r="GQH160" s="187"/>
      <c r="GQI160" s="187"/>
      <c r="GQJ160" s="187"/>
      <c r="GQK160" s="187"/>
      <c r="GQL160" s="187"/>
      <c r="GQM160" s="187"/>
      <c r="GQN160" s="187"/>
      <c r="GQO160" s="187"/>
      <c r="GQP160" s="187"/>
      <c r="GQQ160" s="187"/>
      <c r="GQR160" s="187"/>
      <c r="GQS160" s="187"/>
      <c r="GQT160" s="187"/>
      <c r="GQU160" s="187"/>
      <c r="GQV160" s="187"/>
      <c r="GQW160" s="187"/>
      <c r="GQX160" s="187"/>
      <c r="GQY160" s="187"/>
      <c r="GQZ160" s="187"/>
      <c r="GRA160" s="187"/>
      <c r="GRB160" s="187"/>
      <c r="GRC160" s="187"/>
      <c r="GRD160" s="187"/>
      <c r="GRE160" s="187"/>
      <c r="GRF160" s="187"/>
      <c r="GRG160" s="187"/>
      <c r="GRH160" s="187"/>
      <c r="GRI160" s="187"/>
      <c r="GRJ160" s="187"/>
      <c r="GRK160" s="187"/>
      <c r="GRL160" s="187"/>
      <c r="GRM160" s="187"/>
      <c r="GRN160" s="187"/>
      <c r="GRO160" s="187"/>
      <c r="GRP160" s="187"/>
      <c r="GRQ160" s="187"/>
      <c r="GRR160" s="187"/>
      <c r="GRS160" s="187"/>
      <c r="GRT160" s="187"/>
      <c r="GRU160" s="187"/>
      <c r="GRV160" s="187"/>
      <c r="GRW160" s="187"/>
      <c r="GRX160" s="187"/>
      <c r="GRY160" s="187"/>
      <c r="GRZ160" s="187"/>
      <c r="GSA160" s="187"/>
      <c r="GSB160" s="187"/>
      <c r="GSC160" s="187"/>
      <c r="GSD160" s="187"/>
      <c r="GSE160" s="187"/>
      <c r="GSF160" s="187"/>
      <c r="GSG160" s="187"/>
      <c r="GSH160" s="187"/>
      <c r="GSI160" s="187"/>
      <c r="GSJ160" s="187"/>
      <c r="GSK160" s="187"/>
      <c r="GSL160" s="187"/>
      <c r="GSM160" s="187"/>
      <c r="GSN160" s="187"/>
      <c r="GSO160" s="187"/>
      <c r="GSP160" s="187"/>
      <c r="GSQ160" s="187"/>
      <c r="GSR160" s="187"/>
      <c r="GSS160" s="187"/>
      <c r="GST160" s="187"/>
      <c r="GSU160" s="187"/>
      <c r="GSV160" s="187"/>
      <c r="GSW160" s="187"/>
      <c r="GSX160" s="187"/>
      <c r="GSY160" s="187"/>
      <c r="GSZ160" s="187"/>
      <c r="GTA160" s="187"/>
      <c r="GTB160" s="187"/>
      <c r="GTC160" s="187"/>
      <c r="GTD160" s="187"/>
      <c r="GTE160" s="187"/>
      <c r="GTF160" s="187"/>
      <c r="GTG160" s="187"/>
      <c r="GTH160" s="187"/>
      <c r="GTI160" s="187"/>
      <c r="GTJ160" s="187"/>
      <c r="GTK160" s="187"/>
      <c r="GTL160" s="187"/>
      <c r="GTM160" s="187"/>
      <c r="GTN160" s="187"/>
      <c r="GTO160" s="187"/>
      <c r="GTP160" s="187"/>
      <c r="GTQ160" s="187"/>
      <c r="GTR160" s="187"/>
      <c r="GTS160" s="187"/>
      <c r="GTT160" s="187"/>
      <c r="GTU160" s="187"/>
      <c r="GTV160" s="187"/>
      <c r="GTW160" s="187"/>
      <c r="GTX160" s="187"/>
      <c r="GTY160" s="187"/>
      <c r="GTZ160" s="187"/>
      <c r="GUA160" s="187"/>
      <c r="GUB160" s="187"/>
      <c r="GUC160" s="187"/>
      <c r="GUD160" s="187"/>
      <c r="GUE160" s="187"/>
      <c r="GUF160" s="187"/>
      <c r="GUG160" s="187"/>
      <c r="GUH160" s="187"/>
      <c r="GUI160" s="187"/>
      <c r="GUJ160" s="187"/>
      <c r="GUK160" s="187"/>
      <c r="GUL160" s="187"/>
      <c r="GUM160" s="187"/>
      <c r="GUN160" s="187"/>
      <c r="GUO160" s="187"/>
      <c r="GUP160" s="187"/>
      <c r="GUQ160" s="187"/>
      <c r="GUR160" s="187"/>
      <c r="GUS160" s="187"/>
      <c r="GUT160" s="187"/>
      <c r="GUU160" s="187"/>
      <c r="GUV160" s="187"/>
      <c r="GUW160" s="187"/>
      <c r="GUX160" s="187"/>
      <c r="GUY160" s="187"/>
      <c r="GUZ160" s="187"/>
      <c r="GVA160" s="187"/>
      <c r="GVB160" s="187"/>
      <c r="GVC160" s="187"/>
      <c r="GVD160" s="187"/>
      <c r="GVE160" s="187"/>
      <c r="GVF160" s="187"/>
      <c r="GVG160" s="187"/>
      <c r="GVH160" s="187"/>
      <c r="GVI160" s="187"/>
      <c r="GVJ160" s="187"/>
      <c r="GVK160" s="187"/>
      <c r="GVL160" s="187"/>
      <c r="GVM160" s="187"/>
      <c r="GVN160" s="187"/>
      <c r="GVO160" s="187"/>
      <c r="GVP160" s="187"/>
      <c r="GVQ160" s="187"/>
      <c r="GVR160" s="187"/>
      <c r="GVS160" s="187"/>
      <c r="GVT160" s="187"/>
      <c r="GVU160" s="187"/>
      <c r="GVV160" s="187"/>
      <c r="GVW160" s="187"/>
      <c r="GVX160" s="187"/>
      <c r="GVY160" s="187"/>
      <c r="GVZ160" s="187"/>
      <c r="GWA160" s="187"/>
      <c r="GWB160" s="187"/>
      <c r="GWC160" s="187"/>
      <c r="GWD160" s="187"/>
      <c r="GWE160" s="187"/>
      <c r="GWF160" s="187"/>
      <c r="GWG160" s="187"/>
      <c r="GWH160" s="187"/>
      <c r="GWI160" s="187"/>
      <c r="GWJ160" s="187"/>
      <c r="GWK160" s="187"/>
      <c r="GWL160" s="187"/>
      <c r="GWM160" s="187"/>
      <c r="GWN160" s="187"/>
      <c r="GWO160" s="187"/>
      <c r="GWP160" s="187"/>
      <c r="GWQ160" s="187"/>
      <c r="GWR160" s="187"/>
      <c r="GWS160" s="187"/>
      <c r="GWT160" s="187"/>
      <c r="GWU160" s="187"/>
      <c r="GWV160" s="187"/>
      <c r="GWW160" s="187"/>
      <c r="GWX160" s="187"/>
      <c r="GWY160" s="187"/>
      <c r="GWZ160" s="187"/>
      <c r="GXA160" s="187"/>
      <c r="GXB160" s="187"/>
      <c r="GXC160" s="187"/>
      <c r="GXD160" s="187"/>
      <c r="GXE160" s="187"/>
      <c r="GXF160" s="187"/>
      <c r="GXG160" s="187"/>
      <c r="GXH160" s="187"/>
      <c r="GXI160" s="187"/>
      <c r="GXJ160" s="187"/>
      <c r="GXK160" s="187"/>
      <c r="GXL160" s="187"/>
      <c r="GXM160" s="187"/>
      <c r="GXN160" s="187"/>
      <c r="GXO160" s="187"/>
      <c r="GXP160" s="187"/>
      <c r="GXQ160" s="187"/>
      <c r="GXR160" s="187"/>
      <c r="GXS160" s="187"/>
      <c r="GXT160" s="187"/>
      <c r="GXU160" s="187"/>
      <c r="GXV160" s="187"/>
      <c r="GXW160" s="187"/>
      <c r="GXX160" s="187"/>
      <c r="GXY160" s="187"/>
      <c r="GXZ160" s="187"/>
      <c r="GYA160" s="187"/>
      <c r="GYB160" s="187"/>
      <c r="GYC160" s="187"/>
      <c r="GYD160" s="187"/>
      <c r="GYE160" s="187"/>
      <c r="GYF160" s="187"/>
      <c r="GYG160" s="187"/>
      <c r="GYH160" s="187"/>
      <c r="GYI160" s="187"/>
      <c r="GYJ160" s="187"/>
      <c r="GYK160" s="187"/>
      <c r="GYL160" s="187"/>
      <c r="GYM160" s="187"/>
      <c r="GYN160" s="187"/>
      <c r="GYO160" s="187"/>
      <c r="GYP160" s="187"/>
      <c r="GYQ160" s="187"/>
      <c r="GYR160" s="187"/>
      <c r="GYS160" s="187"/>
      <c r="GYT160" s="187"/>
      <c r="GYU160" s="187"/>
      <c r="GYV160" s="187"/>
      <c r="GYW160" s="187"/>
      <c r="GYX160" s="187"/>
      <c r="GYY160" s="187"/>
      <c r="GYZ160" s="187"/>
      <c r="GZA160" s="187"/>
      <c r="GZB160" s="187"/>
      <c r="GZC160" s="187"/>
      <c r="GZD160" s="187"/>
      <c r="GZE160" s="187"/>
      <c r="GZF160" s="187"/>
      <c r="GZG160" s="187"/>
      <c r="GZH160" s="187"/>
      <c r="GZI160" s="187"/>
      <c r="GZJ160" s="187"/>
      <c r="GZK160" s="187"/>
      <c r="GZL160" s="187"/>
      <c r="GZM160" s="187"/>
      <c r="GZN160" s="187"/>
      <c r="GZO160" s="187"/>
      <c r="GZP160" s="187"/>
      <c r="GZQ160" s="187"/>
      <c r="GZR160" s="187"/>
      <c r="GZS160" s="187"/>
      <c r="GZT160" s="187"/>
      <c r="GZU160" s="187"/>
      <c r="GZV160" s="187"/>
      <c r="GZW160" s="187"/>
      <c r="GZX160" s="187"/>
      <c r="GZY160" s="187"/>
      <c r="GZZ160" s="187"/>
      <c r="HAA160" s="187"/>
      <c r="HAB160" s="187"/>
      <c r="HAC160" s="187"/>
      <c r="HAD160" s="187"/>
      <c r="HAE160" s="187"/>
      <c r="HAF160" s="187"/>
      <c r="HAG160" s="187"/>
      <c r="HAH160" s="187"/>
      <c r="HAI160" s="187"/>
      <c r="HAJ160" s="187"/>
      <c r="HAK160" s="187"/>
      <c r="HAL160" s="187"/>
      <c r="HAM160" s="187"/>
      <c r="HAN160" s="187"/>
      <c r="HAO160" s="187"/>
      <c r="HAP160" s="187"/>
      <c r="HAQ160" s="187"/>
      <c r="HAR160" s="187"/>
      <c r="HAS160" s="187"/>
      <c r="HAT160" s="187"/>
      <c r="HAU160" s="187"/>
      <c r="HAV160" s="187"/>
      <c r="HAW160" s="187"/>
      <c r="HAX160" s="187"/>
      <c r="HAY160" s="187"/>
      <c r="HAZ160" s="187"/>
      <c r="HBA160" s="187"/>
      <c r="HBB160" s="187"/>
      <c r="HBC160" s="187"/>
      <c r="HBD160" s="187"/>
      <c r="HBE160" s="187"/>
      <c r="HBF160" s="187"/>
      <c r="HBG160" s="187"/>
      <c r="HBH160" s="187"/>
      <c r="HBI160" s="187"/>
      <c r="HBJ160" s="187"/>
      <c r="HBK160" s="187"/>
      <c r="HBL160" s="187"/>
      <c r="HBM160" s="187"/>
      <c r="HBN160" s="187"/>
      <c r="HBO160" s="187"/>
      <c r="HBP160" s="187"/>
      <c r="HBQ160" s="187"/>
      <c r="HBR160" s="187"/>
      <c r="HBS160" s="187"/>
      <c r="HBT160" s="187"/>
      <c r="HBU160" s="187"/>
      <c r="HBV160" s="187"/>
      <c r="HBW160" s="187"/>
      <c r="HBX160" s="187"/>
      <c r="HBY160" s="187"/>
      <c r="HBZ160" s="187"/>
      <c r="HCA160" s="187"/>
      <c r="HCB160" s="187"/>
      <c r="HCC160" s="187"/>
      <c r="HCD160" s="187"/>
      <c r="HCE160" s="187"/>
      <c r="HCF160" s="187"/>
      <c r="HCG160" s="187"/>
      <c r="HCH160" s="187"/>
      <c r="HCI160" s="187"/>
      <c r="HCJ160" s="187"/>
      <c r="HCK160" s="187"/>
      <c r="HCL160" s="187"/>
      <c r="HCM160" s="187"/>
      <c r="HCN160" s="187"/>
      <c r="HCO160" s="187"/>
      <c r="HCP160" s="187"/>
      <c r="HCQ160" s="187"/>
      <c r="HCR160" s="187"/>
      <c r="HCS160" s="187"/>
      <c r="HCT160" s="187"/>
      <c r="HCU160" s="187"/>
      <c r="HCV160" s="187"/>
      <c r="HCW160" s="187"/>
      <c r="HCX160" s="187"/>
      <c r="HCY160" s="187"/>
      <c r="HCZ160" s="187"/>
      <c r="HDA160" s="187"/>
      <c r="HDB160" s="187"/>
      <c r="HDC160" s="187"/>
      <c r="HDD160" s="187"/>
      <c r="HDE160" s="187"/>
      <c r="HDF160" s="187"/>
      <c r="HDG160" s="187"/>
      <c r="HDH160" s="187"/>
      <c r="HDI160" s="187"/>
      <c r="HDJ160" s="187"/>
      <c r="HDK160" s="187"/>
      <c r="HDL160" s="187"/>
      <c r="HDM160" s="187"/>
      <c r="HDN160" s="187"/>
      <c r="HDO160" s="187"/>
      <c r="HDP160" s="187"/>
      <c r="HDQ160" s="187"/>
      <c r="HDR160" s="187"/>
      <c r="HDS160" s="187"/>
      <c r="HDT160" s="187"/>
      <c r="HDU160" s="187"/>
      <c r="HDV160" s="187"/>
      <c r="HDW160" s="187"/>
      <c r="HDX160" s="187"/>
      <c r="HDY160" s="187"/>
      <c r="HDZ160" s="187"/>
      <c r="HEA160" s="187"/>
      <c r="HEB160" s="187"/>
      <c r="HEC160" s="187"/>
      <c r="HED160" s="187"/>
      <c r="HEE160" s="187"/>
      <c r="HEF160" s="187"/>
      <c r="HEG160" s="187"/>
      <c r="HEH160" s="187"/>
      <c r="HEI160" s="187"/>
      <c r="HEJ160" s="187"/>
      <c r="HEK160" s="187"/>
      <c r="HEL160" s="187"/>
      <c r="HEM160" s="187"/>
      <c r="HEN160" s="187"/>
      <c r="HEO160" s="187"/>
      <c r="HEP160" s="187"/>
      <c r="HEQ160" s="187"/>
      <c r="HER160" s="187"/>
      <c r="HES160" s="187"/>
      <c r="HET160" s="187"/>
      <c r="HEU160" s="187"/>
      <c r="HEV160" s="187"/>
      <c r="HEW160" s="187"/>
      <c r="HEX160" s="187"/>
      <c r="HEY160" s="187"/>
      <c r="HEZ160" s="187"/>
      <c r="HFA160" s="187"/>
      <c r="HFB160" s="187"/>
      <c r="HFC160" s="187"/>
      <c r="HFD160" s="187"/>
      <c r="HFE160" s="187"/>
      <c r="HFF160" s="187"/>
      <c r="HFG160" s="187"/>
      <c r="HFH160" s="187"/>
      <c r="HFI160" s="187"/>
      <c r="HFJ160" s="187"/>
      <c r="HFK160" s="187"/>
      <c r="HFL160" s="187"/>
      <c r="HFM160" s="187"/>
      <c r="HFN160" s="187"/>
      <c r="HFO160" s="187"/>
      <c r="HFP160" s="187"/>
      <c r="HFQ160" s="187"/>
      <c r="HFR160" s="187"/>
      <c r="HFS160" s="187"/>
      <c r="HFT160" s="187"/>
      <c r="HFU160" s="187"/>
      <c r="HFV160" s="187"/>
      <c r="HFW160" s="187"/>
      <c r="HFX160" s="187"/>
      <c r="HFY160" s="187"/>
      <c r="HFZ160" s="187"/>
      <c r="HGA160" s="187"/>
      <c r="HGB160" s="187"/>
      <c r="HGC160" s="187"/>
      <c r="HGD160" s="187"/>
      <c r="HGE160" s="187"/>
      <c r="HGF160" s="187"/>
      <c r="HGG160" s="187"/>
      <c r="HGH160" s="187"/>
      <c r="HGI160" s="187"/>
      <c r="HGJ160" s="187"/>
      <c r="HGK160" s="187"/>
      <c r="HGL160" s="187"/>
      <c r="HGM160" s="187"/>
      <c r="HGN160" s="187"/>
      <c r="HGO160" s="187"/>
      <c r="HGP160" s="187"/>
      <c r="HGQ160" s="187"/>
      <c r="HGR160" s="187"/>
      <c r="HGS160" s="187"/>
      <c r="HGT160" s="187"/>
      <c r="HGU160" s="187"/>
      <c r="HGV160" s="187"/>
      <c r="HGW160" s="187"/>
      <c r="HGX160" s="187"/>
      <c r="HGY160" s="187"/>
      <c r="HGZ160" s="187"/>
      <c r="HHA160" s="187"/>
      <c r="HHB160" s="187"/>
      <c r="HHC160" s="187"/>
      <c r="HHD160" s="187"/>
      <c r="HHE160" s="187"/>
      <c r="HHF160" s="187"/>
      <c r="HHG160" s="187"/>
      <c r="HHH160" s="187"/>
      <c r="HHI160" s="187"/>
      <c r="HHJ160" s="187"/>
      <c r="HHK160" s="187"/>
      <c r="HHL160" s="187"/>
      <c r="HHM160" s="187"/>
      <c r="HHN160" s="187"/>
      <c r="HHO160" s="187"/>
      <c r="HHP160" s="187"/>
      <c r="HHQ160" s="187"/>
      <c r="HHR160" s="187"/>
      <c r="HHS160" s="187"/>
      <c r="HHT160" s="187"/>
      <c r="HHU160" s="187"/>
      <c r="HHV160" s="187"/>
      <c r="HHW160" s="187"/>
      <c r="HHX160" s="187"/>
      <c r="HHY160" s="187"/>
      <c r="HHZ160" s="187"/>
      <c r="HIA160" s="187"/>
      <c r="HIB160" s="187"/>
      <c r="HIC160" s="187"/>
      <c r="HID160" s="187"/>
      <c r="HIE160" s="187"/>
      <c r="HIF160" s="187"/>
      <c r="HIG160" s="187"/>
      <c r="HIH160" s="187"/>
      <c r="HII160" s="187"/>
      <c r="HIJ160" s="187"/>
      <c r="HIK160" s="187"/>
      <c r="HIL160" s="187"/>
      <c r="HIM160" s="187"/>
      <c r="HIN160" s="187"/>
      <c r="HIO160" s="187"/>
      <c r="HIP160" s="187"/>
      <c r="HIQ160" s="187"/>
      <c r="HIR160" s="187"/>
      <c r="HIS160" s="187"/>
      <c r="HIT160" s="187"/>
      <c r="HIU160" s="187"/>
      <c r="HIV160" s="187"/>
      <c r="HIW160" s="187"/>
      <c r="HIX160" s="187"/>
      <c r="HIY160" s="187"/>
      <c r="HIZ160" s="187"/>
      <c r="HJA160" s="187"/>
      <c r="HJB160" s="187"/>
      <c r="HJC160" s="187"/>
      <c r="HJD160" s="187"/>
      <c r="HJE160" s="187"/>
      <c r="HJF160" s="187"/>
      <c r="HJG160" s="187"/>
      <c r="HJH160" s="187"/>
      <c r="HJI160" s="187"/>
      <c r="HJJ160" s="187"/>
      <c r="HJK160" s="187"/>
      <c r="HJL160" s="187"/>
      <c r="HJM160" s="187"/>
      <c r="HJN160" s="187"/>
      <c r="HJO160" s="187"/>
      <c r="HJP160" s="187"/>
      <c r="HJQ160" s="187"/>
      <c r="HJR160" s="187"/>
      <c r="HJS160" s="187"/>
      <c r="HJT160" s="187"/>
      <c r="HJU160" s="187"/>
      <c r="HJV160" s="187"/>
      <c r="HJW160" s="187"/>
      <c r="HJX160" s="187"/>
      <c r="HJY160" s="187"/>
      <c r="HJZ160" s="187"/>
      <c r="HKA160" s="187"/>
      <c r="HKB160" s="187"/>
      <c r="HKC160" s="187"/>
      <c r="HKD160" s="187"/>
      <c r="HKE160" s="187"/>
      <c r="HKF160" s="187"/>
      <c r="HKG160" s="187"/>
      <c r="HKH160" s="187"/>
      <c r="HKI160" s="187"/>
      <c r="HKJ160" s="187"/>
      <c r="HKK160" s="187"/>
      <c r="HKL160" s="187"/>
      <c r="HKM160" s="187"/>
      <c r="HKN160" s="187"/>
      <c r="HKO160" s="187"/>
      <c r="HKP160" s="187"/>
      <c r="HKQ160" s="187"/>
      <c r="HKR160" s="187"/>
      <c r="HKS160" s="187"/>
      <c r="HKT160" s="187"/>
      <c r="HKU160" s="187"/>
      <c r="HKV160" s="187"/>
      <c r="HKW160" s="187"/>
      <c r="HKX160" s="187"/>
      <c r="HKY160" s="187"/>
      <c r="HKZ160" s="187"/>
      <c r="HLA160" s="187"/>
      <c r="HLB160" s="187"/>
      <c r="HLC160" s="187"/>
      <c r="HLD160" s="187"/>
      <c r="HLE160" s="187"/>
      <c r="HLF160" s="187"/>
      <c r="HLG160" s="187"/>
      <c r="HLH160" s="187"/>
      <c r="HLI160" s="187"/>
      <c r="HLJ160" s="187"/>
      <c r="HLK160" s="187"/>
      <c r="HLL160" s="187"/>
      <c r="HLM160" s="187"/>
      <c r="HLN160" s="187"/>
      <c r="HLO160" s="187"/>
      <c r="HLP160" s="187"/>
      <c r="HLQ160" s="187"/>
      <c r="HLR160" s="187"/>
      <c r="HLS160" s="187"/>
      <c r="HLT160" s="187"/>
      <c r="HLU160" s="187"/>
      <c r="HLV160" s="187"/>
      <c r="HLW160" s="187"/>
      <c r="HLX160" s="187"/>
      <c r="HLY160" s="187"/>
      <c r="HLZ160" s="187"/>
      <c r="HMA160" s="187"/>
      <c r="HMB160" s="187"/>
      <c r="HMC160" s="187"/>
      <c r="HMD160" s="187"/>
      <c r="HME160" s="187"/>
      <c r="HMF160" s="187"/>
      <c r="HMG160" s="187"/>
      <c r="HMH160" s="187"/>
      <c r="HMI160" s="187"/>
      <c r="HMJ160" s="187"/>
      <c r="HMK160" s="187"/>
      <c r="HML160" s="187"/>
      <c r="HMM160" s="187"/>
      <c r="HMN160" s="187"/>
      <c r="HMO160" s="187"/>
      <c r="HMP160" s="187"/>
      <c r="HMQ160" s="187"/>
      <c r="HMR160" s="187"/>
      <c r="HMS160" s="187"/>
      <c r="HMT160" s="187"/>
      <c r="HMU160" s="187"/>
      <c r="HMV160" s="187"/>
      <c r="HMW160" s="187"/>
      <c r="HMX160" s="187"/>
      <c r="HMY160" s="187"/>
      <c r="HMZ160" s="187"/>
      <c r="HNA160" s="187"/>
      <c r="HNB160" s="187"/>
      <c r="HNC160" s="187"/>
      <c r="HND160" s="187"/>
      <c r="HNE160" s="187"/>
      <c r="HNF160" s="187"/>
      <c r="HNG160" s="187"/>
      <c r="HNH160" s="187"/>
      <c r="HNI160" s="187"/>
      <c r="HNJ160" s="187"/>
      <c r="HNK160" s="187"/>
      <c r="HNL160" s="187"/>
      <c r="HNM160" s="187"/>
      <c r="HNN160" s="187"/>
      <c r="HNO160" s="187"/>
      <c r="HNP160" s="187"/>
      <c r="HNQ160" s="187"/>
      <c r="HNR160" s="187"/>
      <c r="HNS160" s="187"/>
      <c r="HNT160" s="187"/>
      <c r="HNU160" s="187"/>
      <c r="HNV160" s="187"/>
      <c r="HNW160" s="187"/>
      <c r="HNX160" s="187"/>
      <c r="HNY160" s="187"/>
      <c r="HNZ160" s="187"/>
      <c r="HOA160" s="187"/>
      <c r="HOB160" s="187"/>
      <c r="HOC160" s="187"/>
      <c r="HOD160" s="187"/>
      <c r="HOE160" s="187"/>
      <c r="HOF160" s="187"/>
      <c r="HOG160" s="187"/>
      <c r="HOH160" s="187"/>
      <c r="HOI160" s="187"/>
      <c r="HOJ160" s="187"/>
      <c r="HOK160" s="187"/>
      <c r="HOL160" s="187"/>
      <c r="HOM160" s="187"/>
      <c r="HON160" s="187"/>
      <c r="HOO160" s="187"/>
      <c r="HOP160" s="187"/>
      <c r="HOQ160" s="187"/>
      <c r="HOR160" s="187"/>
      <c r="HOS160" s="187"/>
      <c r="HOT160" s="187"/>
      <c r="HOU160" s="187"/>
      <c r="HOV160" s="187"/>
      <c r="HOW160" s="187"/>
      <c r="HOX160" s="187"/>
      <c r="HOY160" s="187"/>
      <c r="HOZ160" s="187"/>
      <c r="HPA160" s="187"/>
      <c r="HPB160" s="187"/>
      <c r="HPC160" s="187"/>
      <c r="HPD160" s="187"/>
      <c r="HPE160" s="187"/>
      <c r="HPF160" s="187"/>
      <c r="HPG160" s="187"/>
      <c r="HPH160" s="187"/>
      <c r="HPI160" s="187"/>
      <c r="HPJ160" s="187"/>
      <c r="HPK160" s="187"/>
      <c r="HPL160" s="187"/>
      <c r="HPM160" s="187"/>
      <c r="HPN160" s="187"/>
      <c r="HPO160" s="187"/>
      <c r="HPP160" s="187"/>
      <c r="HPQ160" s="187"/>
      <c r="HPR160" s="187"/>
      <c r="HPS160" s="187"/>
      <c r="HPT160" s="187"/>
      <c r="HPU160" s="187"/>
      <c r="HPV160" s="187"/>
      <c r="HPW160" s="187"/>
      <c r="HPX160" s="187"/>
      <c r="HPY160" s="187"/>
      <c r="HPZ160" s="187"/>
      <c r="HQA160" s="187"/>
      <c r="HQB160" s="187"/>
      <c r="HQC160" s="187"/>
      <c r="HQD160" s="187"/>
      <c r="HQE160" s="187"/>
      <c r="HQF160" s="187"/>
      <c r="HQG160" s="187"/>
      <c r="HQH160" s="187"/>
      <c r="HQI160" s="187"/>
      <c r="HQJ160" s="187"/>
      <c r="HQK160" s="187"/>
      <c r="HQL160" s="187"/>
      <c r="HQM160" s="187"/>
      <c r="HQN160" s="187"/>
      <c r="HQO160" s="187"/>
      <c r="HQP160" s="187"/>
      <c r="HQQ160" s="187"/>
      <c r="HQR160" s="187"/>
      <c r="HQS160" s="187"/>
      <c r="HQT160" s="187"/>
      <c r="HQU160" s="187"/>
      <c r="HQV160" s="187"/>
      <c r="HQW160" s="187"/>
      <c r="HQX160" s="187"/>
      <c r="HQY160" s="187"/>
      <c r="HQZ160" s="187"/>
      <c r="HRA160" s="187"/>
      <c r="HRB160" s="187"/>
      <c r="HRC160" s="187"/>
      <c r="HRD160" s="187"/>
      <c r="HRE160" s="187"/>
      <c r="HRF160" s="187"/>
      <c r="HRG160" s="187"/>
      <c r="HRH160" s="187"/>
      <c r="HRI160" s="187"/>
      <c r="HRJ160" s="187"/>
      <c r="HRK160" s="187"/>
      <c r="HRL160" s="187"/>
      <c r="HRM160" s="187"/>
      <c r="HRN160" s="187"/>
      <c r="HRO160" s="187"/>
      <c r="HRP160" s="187"/>
      <c r="HRQ160" s="187"/>
      <c r="HRR160" s="187"/>
      <c r="HRS160" s="187"/>
      <c r="HRT160" s="187"/>
      <c r="HRU160" s="187"/>
      <c r="HRV160" s="187"/>
      <c r="HRW160" s="187"/>
      <c r="HRX160" s="187"/>
      <c r="HRY160" s="187"/>
      <c r="HRZ160" s="187"/>
      <c r="HSA160" s="187"/>
      <c r="HSB160" s="187"/>
      <c r="HSC160" s="187"/>
      <c r="HSD160" s="187"/>
      <c r="HSE160" s="187"/>
      <c r="HSF160" s="187"/>
      <c r="HSG160" s="187"/>
      <c r="HSH160" s="187"/>
      <c r="HSI160" s="187"/>
      <c r="HSJ160" s="187"/>
      <c r="HSK160" s="187"/>
      <c r="HSL160" s="187"/>
      <c r="HSM160" s="187"/>
      <c r="HSN160" s="187"/>
      <c r="HSO160" s="187"/>
      <c r="HSP160" s="187"/>
      <c r="HSQ160" s="187"/>
      <c r="HSR160" s="187"/>
      <c r="HSS160" s="187"/>
      <c r="HST160" s="187"/>
      <c r="HSU160" s="187"/>
      <c r="HSV160" s="187"/>
      <c r="HSW160" s="187"/>
      <c r="HSX160" s="187"/>
      <c r="HSY160" s="187"/>
      <c r="HSZ160" s="187"/>
      <c r="HTA160" s="187"/>
      <c r="HTB160" s="187"/>
      <c r="HTC160" s="187"/>
      <c r="HTD160" s="187"/>
      <c r="HTE160" s="187"/>
      <c r="HTF160" s="187"/>
      <c r="HTG160" s="187"/>
      <c r="HTH160" s="187"/>
      <c r="HTI160" s="187"/>
      <c r="HTJ160" s="187"/>
      <c r="HTK160" s="187"/>
      <c r="HTL160" s="187"/>
      <c r="HTM160" s="187"/>
      <c r="HTN160" s="187"/>
      <c r="HTO160" s="187"/>
      <c r="HTP160" s="187"/>
      <c r="HTQ160" s="187"/>
      <c r="HTR160" s="187"/>
      <c r="HTS160" s="187"/>
      <c r="HTT160" s="187"/>
      <c r="HTU160" s="187"/>
      <c r="HTV160" s="187"/>
      <c r="HTW160" s="187"/>
      <c r="HTX160" s="187"/>
      <c r="HTY160" s="187"/>
      <c r="HTZ160" s="187"/>
      <c r="HUA160" s="187"/>
      <c r="HUB160" s="187"/>
      <c r="HUC160" s="187"/>
      <c r="HUD160" s="187"/>
      <c r="HUE160" s="187"/>
      <c r="HUF160" s="187"/>
      <c r="HUG160" s="187"/>
      <c r="HUH160" s="187"/>
      <c r="HUI160" s="187"/>
      <c r="HUJ160" s="187"/>
      <c r="HUK160" s="187"/>
      <c r="HUL160" s="187"/>
      <c r="HUM160" s="187"/>
      <c r="HUN160" s="187"/>
      <c r="HUO160" s="187"/>
      <c r="HUP160" s="187"/>
      <c r="HUQ160" s="187"/>
      <c r="HUR160" s="187"/>
      <c r="HUS160" s="187"/>
      <c r="HUT160" s="187"/>
      <c r="HUU160" s="187"/>
      <c r="HUV160" s="187"/>
      <c r="HUW160" s="187"/>
      <c r="HUX160" s="187"/>
      <c r="HUY160" s="187"/>
      <c r="HUZ160" s="187"/>
      <c r="HVA160" s="187"/>
      <c r="HVB160" s="187"/>
      <c r="HVC160" s="187"/>
      <c r="HVD160" s="187"/>
      <c r="HVE160" s="187"/>
      <c r="HVF160" s="187"/>
      <c r="HVG160" s="187"/>
      <c r="HVH160" s="187"/>
      <c r="HVI160" s="187"/>
      <c r="HVJ160" s="187"/>
      <c r="HVK160" s="187"/>
      <c r="HVL160" s="187"/>
      <c r="HVM160" s="187"/>
      <c r="HVN160" s="187"/>
      <c r="HVO160" s="187"/>
      <c r="HVP160" s="187"/>
      <c r="HVQ160" s="187"/>
      <c r="HVR160" s="187"/>
      <c r="HVS160" s="187"/>
      <c r="HVT160" s="187"/>
      <c r="HVU160" s="187"/>
      <c r="HVV160" s="187"/>
      <c r="HVW160" s="187"/>
      <c r="HVX160" s="187"/>
      <c r="HVY160" s="187"/>
      <c r="HVZ160" s="187"/>
      <c r="HWA160" s="187"/>
      <c r="HWB160" s="187"/>
      <c r="HWC160" s="187"/>
      <c r="HWD160" s="187"/>
      <c r="HWE160" s="187"/>
      <c r="HWF160" s="187"/>
      <c r="HWG160" s="187"/>
      <c r="HWH160" s="187"/>
      <c r="HWI160" s="187"/>
      <c r="HWJ160" s="187"/>
      <c r="HWK160" s="187"/>
      <c r="HWL160" s="187"/>
      <c r="HWM160" s="187"/>
      <c r="HWN160" s="187"/>
      <c r="HWO160" s="187"/>
      <c r="HWP160" s="187"/>
      <c r="HWQ160" s="187"/>
      <c r="HWR160" s="187"/>
      <c r="HWS160" s="187"/>
      <c r="HWT160" s="187"/>
      <c r="HWU160" s="187"/>
      <c r="HWV160" s="187"/>
      <c r="HWW160" s="187"/>
      <c r="HWX160" s="187"/>
      <c r="HWY160" s="187"/>
      <c r="HWZ160" s="187"/>
      <c r="HXA160" s="187"/>
      <c r="HXB160" s="187"/>
      <c r="HXC160" s="187"/>
      <c r="HXD160" s="187"/>
      <c r="HXE160" s="187"/>
      <c r="HXF160" s="187"/>
      <c r="HXG160" s="187"/>
      <c r="HXH160" s="187"/>
      <c r="HXI160" s="187"/>
      <c r="HXJ160" s="187"/>
      <c r="HXK160" s="187"/>
      <c r="HXL160" s="187"/>
      <c r="HXM160" s="187"/>
      <c r="HXN160" s="187"/>
      <c r="HXO160" s="187"/>
      <c r="HXP160" s="187"/>
      <c r="HXQ160" s="187"/>
      <c r="HXR160" s="187"/>
      <c r="HXS160" s="187"/>
      <c r="HXT160" s="187"/>
      <c r="HXU160" s="187"/>
      <c r="HXV160" s="187"/>
      <c r="HXW160" s="187"/>
      <c r="HXX160" s="187"/>
      <c r="HXY160" s="187"/>
      <c r="HXZ160" s="187"/>
      <c r="HYA160" s="187"/>
      <c r="HYB160" s="187"/>
      <c r="HYC160" s="187"/>
      <c r="HYD160" s="187"/>
      <c r="HYE160" s="187"/>
      <c r="HYF160" s="187"/>
      <c r="HYG160" s="187"/>
      <c r="HYH160" s="187"/>
      <c r="HYI160" s="187"/>
      <c r="HYJ160" s="187"/>
      <c r="HYK160" s="187"/>
      <c r="HYL160" s="187"/>
      <c r="HYM160" s="187"/>
      <c r="HYN160" s="187"/>
      <c r="HYO160" s="187"/>
      <c r="HYP160" s="187"/>
      <c r="HYQ160" s="187"/>
      <c r="HYR160" s="187"/>
      <c r="HYS160" s="187"/>
      <c r="HYT160" s="187"/>
      <c r="HYU160" s="187"/>
      <c r="HYV160" s="187"/>
      <c r="HYW160" s="187"/>
      <c r="HYX160" s="187"/>
      <c r="HYY160" s="187"/>
      <c r="HYZ160" s="187"/>
      <c r="HZA160" s="187"/>
      <c r="HZB160" s="187"/>
      <c r="HZC160" s="187"/>
      <c r="HZD160" s="187"/>
      <c r="HZE160" s="187"/>
      <c r="HZF160" s="187"/>
      <c r="HZG160" s="187"/>
      <c r="HZH160" s="187"/>
      <c r="HZI160" s="187"/>
      <c r="HZJ160" s="187"/>
      <c r="HZK160" s="187"/>
      <c r="HZL160" s="187"/>
      <c r="HZM160" s="187"/>
      <c r="HZN160" s="187"/>
      <c r="HZO160" s="187"/>
      <c r="HZP160" s="187"/>
      <c r="HZQ160" s="187"/>
      <c r="HZR160" s="187"/>
      <c r="HZS160" s="187"/>
      <c r="HZT160" s="187"/>
      <c r="HZU160" s="187"/>
      <c r="HZV160" s="187"/>
      <c r="HZW160" s="187"/>
      <c r="HZX160" s="187"/>
      <c r="HZY160" s="187"/>
      <c r="HZZ160" s="187"/>
      <c r="IAA160" s="187"/>
      <c r="IAB160" s="187"/>
      <c r="IAC160" s="187"/>
      <c r="IAD160" s="187"/>
      <c r="IAE160" s="187"/>
      <c r="IAF160" s="187"/>
      <c r="IAG160" s="187"/>
      <c r="IAH160" s="187"/>
      <c r="IAI160" s="187"/>
      <c r="IAJ160" s="187"/>
      <c r="IAK160" s="187"/>
      <c r="IAL160" s="187"/>
      <c r="IAM160" s="187"/>
      <c r="IAN160" s="187"/>
      <c r="IAO160" s="187"/>
      <c r="IAP160" s="187"/>
      <c r="IAQ160" s="187"/>
      <c r="IAR160" s="187"/>
      <c r="IAS160" s="187"/>
      <c r="IAT160" s="187"/>
      <c r="IAU160" s="187"/>
      <c r="IAV160" s="187"/>
      <c r="IAW160" s="187"/>
      <c r="IAX160" s="187"/>
      <c r="IAY160" s="187"/>
      <c r="IAZ160" s="187"/>
      <c r="IBA160" s="187"/>
      <c r="IBB160" s="187"/>
      <c r="IBC160" s="187"/>
      <c r="IBD160" s="187"/>
      <c r="IBE160" s="187"/>
      <c r="IBF160" s="187"/>
      <c r="IBG160" s="187"/>
      <c r="IBH160" s="187"/>
      <c r="IBI160" s="187"/>
      <c r="IBJ160" s="187"/>
      <c r="IBK160" s="187"/>
      <c r="IBL160" s="187"/>
      <c r="IBM160" s="187"/>
      <c r="IBN160" s="187"/>
      <c r="IBO160" s="187"/>
      <c r="IBP160" s="187"/>
      <c r="IBQ160" s="187"/>
      <c r="IBR160" s="187"/>
      <c r="IBS160" s="187"/>
      <c r="IBT160" s="187"/>
      <c r="IBU160" s="187"/>
      <c r="IBV160" s="187"/>
      <c r="IBW160" s="187"/>
      <c r="IBX160" s="187"/>
      <c r="IBY160" s="187"/>
      <c r="IBZ160" s="187"/>
      <c r="ICA160" s="187"/>
      <c r="ICB160" s="187"/>
      <c r="ICC160" s="187"/>
      <c r="ICD160" s="187"/>
      <c r="ICE160" s="187"/>
      <c r="ICF160" s="187"/>
      <c r="ICG160" s="187"/>
      <c r="ICH160" s="187"/>
      <c r="ICI160" s="187"/>
      <c r="ICJ160" s="187"/>
      <c r="ICK160" s="187"/>
      <c r="ICL160" s="187"/>
      <c r="ICM160" s="187"/>
      <c r="ICN160" s="187"/>
      <c r="ICO160" s="187"/>
      <c r="ICP160" s="187"/>
      <c r="ICQ160" s="187"/>
      <c r="ICR160" s="187"/>
      <c r="ICS160" s="187"/>
      <c r="ICT160" s="187"/>
      <c r="ICU160" s="187"/>
      <c r="ICV160" s="187"/>
      <c r="ICW160" s="187"/>
      <c r="ICX160" s="187"/>
      <c r="ICY160" s="187"/>
      <c r="ICZ160" s="187"/>
      <c r="IDA160" s="187"/>
      <c r="IDB160" s="187"/>
      <c r="IDC160" s="187"/>
      <c r="IDD160" s="187"/>
      <c r="IDE160" s="187"/>
      <c r="IDF160" s="187"/>
      <c r="IDG160" s="187"/>
      <c r="IDH160" s="187"/>
      <c r="IDI160" s="187"/>
      <c r="IDJ160" s="187"/>
      <c r="IDK160" s="187"/>
      <c r="IDL160" s="187"/>
      <c r="IDM160" s="187"/>
      <c r="IDN160" s="187"/>
      <c r="IDO160" s="187"/>
      <c r="IDP160" s="187"/>
      <c r="IDQ160" s="187"/>
      <c r="IDR160" s="187"/>
      <c r="IDS160" s="187"/>
      <c r="IDT160" s="187"/>
      <c r="IDU160" s="187"/>
      <c r="IDV160" s="187"/>
      <c r="IDW160" s="187"/>
      <c r="IDX160" s="187"/>
      <c r="IDY160" s="187"/>
      <c r="IDZ160" s="187"/>
      <c r="IEA160" s="187"/>
      <c r="IEB160" s="187"/>
      <c r="IEC160" s="187"/>
      <c r="IED160" s="187"/>
      <c r="IEE160" s="187"/>
      <c r="IEF160" s="187"/>
      <c r="IEG160" s="187"/>
      <c r="IEH160" s="187"/>
      <c r="IEI160" s="187"/>
      <c r="IEJ160" s="187"/>
      <c r="IEK160" s="187"/>
      <c r="IEL160" s="187"/>
      <c r="IEM160" s="187"/>
      <c r="IEN160" s="187"/>
      <c r="IEO160" s="187"/>
      <c r="IEP160" s="187"/>
      <c r="IEQ160" s="187"/>
      <c r="IER160" s="187"/>
      <c r="IES160" s="187"/>
      <c r="IET160" s="187"/>
      <c r="IEU160" s="187"/>
      <c r="IEV160" s="187"/>
      <c r="IEW160" s="187"/>
      <c r="IEX160" s="187"/>
      <c r="IEY160" s="187"/>
      <c r="IEZ160" s="187"/>
      <c r="IFA160" s="187"/>
      <c r="IFB160" s="187"/>
      <c r="IFC160" s="187"/>
      <c r="IFD160" s="187"/>
      <c r="IFE160" s="187"/>
      <c r="IFF160" s="187"/>
      <c r="IFG160" s="187"/>
      <c r="IFH160" s="187"/>
      <c r="IFI160" s="187"/>
      <c r="IFJ160" s="187"/>
      <c r="IFK160" s="187"/>
      <c r="IFL160" s="187"/>
      <c r="IFM160" s="187"/>
      <c r="IFN160" s="187"/>
      <c r="IFO160" s="187"/>
      <c r="IFP160" s="187"/>
      <c r="IFQ160" s="187"/>
      <c r="IFR160" s="187"/>
      <c r="IFS160" s="187"/>
      <c r="IFT160" s="187"/>
      <c r="IFU160" s="187"/>
      <c r="IFV160" s="187"/>
      <c r="IFW160" s="187"/>
      <c r="IFX160" s="187"/>
      <c r="IFY160" s="187"/>
      <c r="IFZ160" s="187"/>
      <c r="IGA160" s="187"/>
      <c r="IGB160" s="187"/>
      <c r="IGC160" s="187"/>
      <c r="IGD160" s="187"/>
      <c r="IGE160" s="187"/>
      <c r="IGF160" s="187"/>
      <c r="IGG160" s="187"/>
      <c r="IGH160" s="187"/>
      <c r="IGI160" s="187"/>
      <c r="IGJ160" s="187"/>
      <c r="IGK160" s="187"/>
      <c r="IGL160" s="187"/>
      <c r="IGM160" s="187"/>
      <c r="IGN160" s="187"/>
      <c r="IGO160" s="187"/>
      <c r="IGP160" s="187"/>
      <c r="IGQ160" s="187"/>
      <c r="IGR160" s="187"/>
      <c r="IGS160" s="187"/>
      <c r="IGT160" s="187"/>
      <c r="IGU160" s="187"/>
      <c r="IGV160" s="187"/>
      <c r="IGW160" s="187"/>
      <c r="IGX160" s="187"/>
      <c r="IGY160" s="187"/>
      <c r="IGZ160" s="187"/>
      <c r="IHA160" s="187"/>
      <c r="IHB160" s="187"/>
      <c r="IHC160" s="187"/>
      <c r="IHD160" s="187"/>
      <c r="IHE160" s="187"/>
      <c r="IHF160" s="187"/>
      <c r="IHG160" s="187"/>
      <c r="IHH160" s="187"/>
      <c r="IHI160" s="187"/>
      <c r="IHJ160" s="187"/>
      <c r="IHK160" s="187"/>
      <c r="IHL160" s="187"/>
      <c r="IHM160" s="187"/>
      <c r="IHN160" s="187"/>
      <c r="IHO160" s="187"/>
      <c r="IHP160" s="187"/>
      <c r="IHQ160" s="187"/>
      <c r="IHR160" s="187"/>
      <c r="IHS160" s="187"/>
      <c r="IHT160" s="187"/>
      <c r="IHU160" s="187"/>
      <c r="IHV160" s="187"/>
      <c r="IHW160" s="187"/>
      <c r="IHX160" s="187"/>
      <c r="IHY160" s="187"/>
      <c r="IHZ160" s="187"/>
      <c r="IIA160" s="187"/>
      <c r="IIB160" s="187"/>
      <c r="IIC160" s="187"/>
      <c r="IID160" s="187"/>
      <c r="IIE160" s="187"/>
      <c r="IIF160" s="187"/>
      <c r="IIG160" s="187"/>
      <c r="IIH160" s="187"/>
      <c r="III160" s="187"/>
      <c r="IIJ160" s="187"/>
      <c r="IIK160" s="187"/>
      <c r="IIL160" s="187"/>
      <c r="IIM160" s="187"/>
      <c r="IIN160" s="187"/>
      <c r="IIO160" s="187"/>
      <c r="IIP160" s="187"/>
      <c r="IIQ160" s="187"/>
      <c r="IIR160" s="187"/>
      <c r="IIS160" s="187"/>
      <c r="IIT160" s="187"/>
      <c r="IIU160" s="187"/>
      <c r="IIV160" s="187"/>
      <c r="IIW160" s="187"/>
      <c r="IIX160" s="187"/>
      <c r="IIY160" s="187"/>
      <c r="IIZ160" s="187"/>
      <c r="IJA160" s="187"/>
      <c r="IJB160" s="187"/>
      <c r="IJC160" s="187"/>
      <c r="IJD160" s="187"/>
      <c r="IJE160" s="187"/>
      <c r="IJF160" s="187"/>
      <c r="IJG160" s="187"/>
      <c r="IJH160" s="187"/>
      <c r="IJI160" s="187"/>
      <c r="IJJ160" s="187"/>
      <c r="IJK160" s="187"/>
      <c r="IJL160" s="187"/>
      <c r="IJM160" s="187"/>
      <c r="IJN160" s="187"/>
      <c r="IJO160" s="187"/>
      <c r="IJP160" s="187"/>
      <c r="IJQ160" s="187"/>
      <c r="IJR160" s="187"/>
      <c r="IJS160" s="187"/>
      <c r="IJT160" s="187"/>
      <c r="IJU160" s="187"/>
      <c r="IJV160" s="187"/>
      <c r="IJW160" s="187"/>
      <c r="IJX160" s="187"/>
      <c r="IJY160" s="187"/>
      <c r="IJZ160" s="187"/>
      <c r="IKA160" s="187"/>
      <c r="IKB160" s="187"/>
      <c r="IKC160" s="187"/>
      <c r="IKD160" s="187"/>
      <c r="IKE160" s="187"/>
      <c r="IKF160" s="187"/>
      <c r="IKG160" s="187"/>
      <c r="IKH160" s="187"/>
      <c r="IKI160" s="187"/>
      <c r="IKJ160" s="187"/>
      <c r="IKK160" s="187"/>
      <c r="IKL160" s="187"/>
      <c r="IKM160" s="187"/>
      <c r="IKN160" s="187"/>
      <c r="IKO160" s="187"/>
      <c r="IKP160" s="187"/>
      <c r="IKQ160" s="187"/>
      <c r="IKR160" s="187"/>
      <c r="IKS160" s="187"/>
      <c r="IKT160" s="187"/>
      <c r="IKU160" s="187"/>
      <c r="IKV160" s="187"/>
      <c r="IKW160" s="187"/>
      <c r="IKX160" s="187"/>
      <c r="IKY160" s="187"/>
      <c r="IKZ160" s="187"/>
      <c r="ILA160" s="187"/>
      <c r="ILB160" s="187"/>
      <c r="ILC160" s="187"/>
      <c r="ILD160" s="187"/>
      <c r="ILE160" s="187"/>
      <c r="ILF160" s="187"/>
      <c r="ILG160" s="187"/>
      <c r="ILH160" s="187"/>
      <c r="ILI160" s="187"/>
      <c r="ILJ160" s="187"/>
      <c r="ILK160" s="187"/>
      <c r="ILL160" s="187"/>
      <c r="ILM160" s="187"/>
      <c r="ILN160" s="187"/>
      <c r="ILO160" s="187"/>
      <c r="ILP160" s="187"/>
      <c r="ILQ160" s="187"/>
      <c r="ILR160" s="187"/>
      <c r="ILS160" s="187"/>
      <c r="ILT160" s="187"/>
      <c r="ILU160" s="187"/>
      <c r="ILV160" s="187"/>
      <c r="ILW160" s="187"/>
      <c r="ILX160" s="187"/>
      <c r="ILY160" s="187"/>
      <c r="ILZ160" s="187"/>
      <c r="IMA160" s="187"/>
      <c r="IMB160" s="187"/>
      <c r="IMC160" s="187"/>
      <c r="IMD160" s="187"/>
      <c r="IME160" s="187"/>
      <c r="IMF160" s="187"/>
      <c r="IMG160" s="187"/>
      <c r="IMH160" s="187"/>
      <c r="IMI160" s="187"/>
      <c r="IMJ160" s="187"/>
      <c r="IMK160" s="187"/>
      <c r="IML160" s="187"/>
      <c r="IMM160" s="187"/>
      <c r="IMN160" s="187"/>
      <c r="IMO160" s="187"/>
      <c r="IMP160" s="187"/>
      <c r="IMQ160" s="187"/>
      <c r="IMR160" s="187"/>
      <c r="IMS160" s="187"/>
      <c r="IMT160" s="187"/>
      <c r="IMU160" s="187"/>
      <c r="IMV160" s="187"/>
      <c r="IMW160" s="187"/>
      <c r="IMX160" s="187"/>
      <c r="IMY160" s="187"/>
      <c r="IMZ160" s="187"/>
      <c r="INA160" s="187"/>
      <c r="INB160" s="187"/>
      <c r="INC160" s="187"/>
      <c r="IND160" s="187"/>
      <c r="INE160" s="187"/>
      <c r="INF160" s="187"/>
      <c r="ING160" s="187"/>
      <c r="INH160" s="187"/>
      <c r="INI160" s="187"/>
      <c r="INJ160" s="187"/>
      <c r="INK160" s="187"/>
      <c r="INL160" s="187"/>
      <c r="INM160" s="187"/>
      <c r="INN160" s="187"/>
      <c r="INO160" s="187"/>
      <c r="INP160" s="187"/>
      <c r="INQ160" s="187"/>
      <c r="INR160" s="187"/>
      <c r="INS160" s="187"/>
      <c r="INT160" s="187"/>
      <c r="INU160" s="187"/>
      <c r="INV160" s="187"/>
      <c r="INW160" s="187"/>
      <c r="INX160" s="187"/>
      <c r="INY160" s="187"/>
      <c r="INZ160" s="187"/>
      <c r="IOA160" s="187"/>
      <c r="IOB160" s="187"/>
      <c r="IOC160" s="187"/>
      <c r="IOD160" s="187"/>
      <c r="IOE160" s="187"/>
      <c r="IOF160" s="187"/>
      <c r="IOG160" s="187"/>
      <c r="IOH160" s="187"/>
      <c r="IOI160" s="187"/>
      <c r="IOJ160" s="187"/>
      <c r="IOK160" s="187"/>
      <c r="IOL160" s="187"/>
      <c r="IOM160" s="187"/>
      <c r="ION160" s="187"/>
      <c r="IOO160" s="187"/>
      <c r="IOP160" s="187"/>
      <c r="IOQ160" s="187"/>
      <c r="IOR160" s="187"/>
      <c r="IOS160" s="187"/>
      <c r="IOT160" s="187"/>
      <c r="IOU160" s="187"/>
      <c r="IOV160" s="187"/>
      <c r="IOW160" s="187"/>
      <c r="IOX160" s="187"/>
      <c r="IOY160" s="187"/>
      <c r="IOZ160" s="187"/>
      <c r="IPA160" s="187"/>
      <c r="IPB160" s="187"/>
      <c r="IPC160" s="187"/>
      <c r="IPD160" s="187"/>
      <c r="IPE160" s="187"/>
      <c r="IPF160" s="187"/>
      <c r="IPG160" s="187"/>
      <c r="IPH160" s="187"/>
      <c r="IPI160" s="187"/>
      <c r="IPJ160" s="187"/>
      <c r="IPK160" s="187"/>
      <c r="IPL160" s="187"/>
      <c r="IPM160" s="187"/>
      <c r="IPN160" s="187"/>
      <c r="IPO160" s="187"/>
      <c r="IPP160" s="187"/>
      <c r="IPQ160" s="187"/>
      <c r="IPR160" s="187"/>
      <c r="IPS160" s="187"/>
      <c r="IPT160" s="187"/>
      <c r="IPU160" s="187"/>
      <c r="IPV160" s="187"/>
      <c r="IPW160" s="187"/>
      <c r="IPX160" s="187"/>
      <c r="IPY160" s="187"/>
      <c r="IPZ160" s="187"/>
      <c r="IQA160" s="187"/>
      <c r="IQB160" s="187"/>
      <c r="IQC160" s="187"/>
      <c r="IQD160" s="187"/>
      <c r="IQE160" s="187"/>
      <c r="IQF160" s="187"/>
      <c r="IQG160" s="187"/>
      <c r="IQH160" s="187"/>
      <c r="IQI160" s="187"/>
      <c r="IQJ160" s="187"/>
      <c r="IQK160" s="187"/>
      <c r="IQL160" s="187"/>
      <c r="IQM160" s="187"/>
      <c r="IQN160" s="187"/>
      <c r="IQO160" s="187"/>
      <c r="IQP160" s="187"/>
      <c r="IQQ160" s="187"/>
      <c r="IQR160" s="187"/>
      <c r="IQS160" s="187"/>
      <c r="IQT160" s="187"/>
      <c r="IQU160" s="187"/>
      <c r="IQV160" s="187"/>
      <c r="IQW160" s="187"/>
      <c r="IQX160" s="187"/>
      <c r="IQY160" s="187"/>
      <c r="IQZ160" s="187"/>
      <c r="IRA160" s="187"/>
      <c r="IRB160" s="187"/>
      <c r="IRC160" s="187"/>
      <c r="IRD160" s="187"/>
      <c r="IRE160" s="187"/>
      <c r="IRF160" s="187"/>
      <c r="IRG160" s="187"/>
      <c r="IRH160" s="187"/>
      <c r="IRI160" s="187"/>
      <c r="IRJ160" s="187"/>
      <c r="IRK160" s="187"/>
      <c r="IRL160" s="187"/>
      <c r="IRM160" s="187"/>
      <c r="IRN160" s="187"/>
      <c r="IRO160" s="187"/>
      <c r="IRP160" s="187"/>
      <c r="IRQ160" s="187"/>
      <c r="IRR160" s="187"/>
      <c r="IRS160" s="187"/>
      <c r="IRT160" s="187"/>
      <c r="IRU160" s="187"/>
      <c r="IRV160" s="187"/>
      <c r="IRW160" s="187"/>
      <c r="IRX160" s="187"/>
      <c r="IRY160" s="187"/>
      <c r="IRZ160" s="187"/>
      <c r="ISA160" s="187"/>
      <c r="ISB160" s="187"/>
      <c r="ISC160" s="187"/>
      <c r="ISD160" s="187"/>
      <c r="ISE160" s="187"/>
      <c r="ISF160" s="187"/>
      <c r="ISG160" s="187"/>
      <c r="ISH160" s="187"/>
      <c r="ISI160" s="187"/>
      <c r="ISJ160" s="187"/>
      <c r="ISK160" s="187"/>
      <c r="ISL160" s="187"/>
      <c r="ISM160" s="187"/>
      <c r="ISN160" s="187"/>
      <c r="ISO160" s="187"/>
      <c r="ISP160" s="187"/>
      <c r="ISQ160" s="187"/>
      <c r="ISR160" s="187"/>
      <c r="ISS160" s="187"/>
      <c r="IST160" s="187"/>
      <c r="ISU160" s="187"/>
      <c r="ISV160" s="187"/>
      <c r="ISW160" s="187"/>
      <c r="ISX160" s="187"/>
      <c r="ISY160" s="187"/>
      <c r="ISZ160" s="187"/>
      <c r="ITA160" s="187"/>
      <c r="ITB160" s="187"/>
      <c r="ITC160" s="187"/>
      <c r="ITD160" s="187"/>
      <c r="ITE160" s="187"/>
      <c r="ITF160" s="187"/>
      <c r="ITG160" s="187"/>
      <c r="ITH160" s="187"/>
      <c r="ITI160" s="187"/>
      <c r="ITJ160" s="187"/>
      <c r="ITK160" s="187"/>
      <c r="ITL160" s="187"/>
      <c r="ITM160" s="187"/>
      <c r="ITN160" s="187"/>
      <c r="ITO160" s="187"/>
      <c r="ITP160" s="187"/>
      <c r="ITQ160" s="187"/>
      <c r="ITR160" s="187"/>
      <c r="ITS160" s="187"/>
      <c r="ITT160" s="187"/>
      <c r="ITU160" s="187"/>
      <c r="ITV160" s="187"/>
      <c r="ITW160" s="187"/>
      <c r="ITX160" s="187"/>
      <c r="ITY160" s="187"/>
      <c r="ITZ160" s="187"/>
      <c r="IUA160" s="187"/>
      <c r="IUB160" s="187"/>
      <c r="IUC160" s="187"/>
      <c r="IUD160" s="187"/>
      <c r="IUE160" s="187"/>
      <c r="IUF160" s="187"/>
      <c r="IUG160" s="187"/>
      <c r="IUH160" s="187"/>
      <c r="IUI160" s="187"/>
      <c r="IUJ160" s="187"/>
      <c r="IUK160" s="187"/>
      <c r="IUL160" s="187"/>
      <c r="IUM160" s="187"/>
      <c r="IUN160" s="187"/>
      <c r="IUO160" s="187"/>
      <c r="IUP160" s="187"/>
      <c r="IUQ160" s="187"/>
      <c r="IUR160" s="187"/>
      <c r="IUS160" s="187"/>
      <c r="IUT160" s="187"/>
      <c r="IUU160" s="187"/>
      <c r="IUV160" s="187"/>
      <c r="IUW160" s="187"/>
      <c r="IUX160" s="187"/>
      <c r="IUY160" s="187"/>
      <c r="IUZ160" s="187"/>
      <c r="IVA160" s="187"/>
      <c r="IVB160" s="187"/>
      <c r="IVC160" s="187"/>
      <c r="IVD160" s="187"/>
      <c r="IVE160" s="187"/>
      <c r="IVF160" s="187"/>
      <c r="IVG160" s="187"/>
      <c r="IVH160" s="187"/>
      <c r="IVI160" s="187"/>
      <c r="IVJ160" s="187"/>
      <c r="IVK160" s="187"/>
      <c r="IVL160" s="187"/>
      <c r="IVM160" s="187"/>
      <c r="IVN160" s="187"/>
      <c r="IVO160" s="187"/>
      <c r="IVP160" s="187"/>
      <c r="IVQ160" s="187"/>
      <c r="IVR160" s="187"/>
      <c r="IVS160" s="187"/>
      <c r="IVT160" s="187"/>
      <c r="IVU160" s="187"/>
      <c r="IVV160" s="187"/>
      <c r="IVW160" s="187"/>
      <c r="IVX160" s="187"/>
      <c r="IVY160" s="187"/>
      <c r="IVZ160" s="187"/>
      <c r="IWA160" s="187"/>
      <c r="IWB160" s="187"/>
      <c r="IWC160" s="187"/>
      <c r="IWD160" s="187"/>
      <c r="IWE160" s="187"/>
      <c r="IWF160" s="187"/>
      <c r="IWG160" s="187"/>
      <c r="IWH160" s="187"/>
      <c r="IWI160" s="187"/>
      <c r="IWJ160" s="187"/>
      <c r="IWK160" s="187"/>
      <c r="IWL160" s="187"/>
      <c r="IWM160" s="187"/>
      <c r="IWN160" s="187"/>
      <c r="IWO160" s="187"/>
      <c r="IWP160" s="187"/>
      <c r="IWQ160" s="187"/>
      <c r="IWR160" s="187"/>
      <c r="IWS160" s="187"/>
      <c r="IWT160" s="187"/>
      <c r="IWU160" s="187"/>
      <c r="IWV160" s="187"/>
      <c r="IWW160" s="187"/>
      <c r="IWX160" s="187"/>
      <c r="IWY160" s="187"/>
      <c r="IWZ160" s="187"/>
      <c r="IXA160" s="187"/>
      <c r="IXB160" s="187"/>
      <c r="IXC160" s="187"/>
      <c r="IXD160" s="187"/>
      <c r="IXE160" s="187"/>
      <c r="IXF160" s="187"/>
      <c r="IXG160" s="187"/>
      <c r="IXH160" s="187"/>
      <c r="IXI160" s="187"/>
      <c r="IXJ160" s="187"/>
      <c r="IXK160" s="187"/>
      <c r="IXL160" s="187"/>
      <c r="IXM160" s="187"/>
      <c r="IXN160" s="187"/>
      <c r="IXO160" s="187"/>
      <c r="IXP160" s="187"/>
      <c r="IXQ160" s="187"/>
      <c r="IXR160" s="187"/>
      <c r="IXS160" s="187"/>
      <c r="IXT160" s="187"/>
      <c r="IXU160" s="187"/>
      <c r="IXV160" s="187"/>
      <c r="IXW160" s="187"/>
      <c r="IXX160" s="187"/>
      <c r="IXY160" s="187"/>
      <c r="IXZ160" s="187"/>
      <c r="IYA160" s="187"/>
      <c r="IYB160" s="187"/>
      <c r="IYC160" s="187"/>
      <c r="IYD160" s="187"/>
      <c r="IYE160" s="187"/>
      <c r="IYF160" s="187"/>
      <c r="IYG160" s="187"/>
      <c r="IYH160" s="187"/>
      <c r="IYI160" s="187"/>
      <c r="IYJ160" s="187"/>
      <c r="IYK160" s="187"/>
      <c r="IYL160" s="187"/>
      <c r="IYM160" s="187"/>
      <c r="IYN160" s="187"/>
      <c r="IYO160" s="187"/>
      <c r="IYP160" s="187"/>
      <c r="IYQ160" s="187"/>
      <c r="IYR160" s="187"/>
      <c r="IYS160" s="187"/>
      <c r="IYT160" s="187"/>
      <c r="IYU160" s="187"/>
      <c r="IYV160" s="187"/>
      <c r="IYW160" s="187"/>
      <c r="IYX160" s="187"/>
      <c r="IYY160" s="187"/>
      <c r="IYZ160" s="187"/>
      <c r="IZA160" s="187"/>
      <c r="IZB160" s="187"/>
      <c r="IZC160" s="187"/>
      <c r="IZD160" s="187"/>
      <c r="IZE160" s="187"/>
      <c r="IZF160" s="187"/>
      <c r="IZG160" s="187"/>
      <c r="IZH160" s="187"/>
      <c r="IZI160" s="187"/>
      <c r="IZJ160" s="187"/>
      <c r="IZK160" s="187"/>
      <c r="IZL160" s="187"/>
      <c r="IZM160" s="187"/>
      <c r="IZN160" s="187"/>
      <c r="IZO160" s="187"/>
      <c r="IZP160" s="187"/>
      <c r="IZQ160" s="187"/>
      <c r="IZR160" s="187"/>
      <c r="IZS160" s="187"/>
      <c r="IZT160" s="187"/>
      <c r="IZU160" s="187"/>
      <c r="IZV160" s="187"/>
      <c r="IZW160" s="187"/>
      <c r="IZX160" s="187"/>
      <c r="IZY160" s="187"/>
      <c r="IZZ160" s="187"/>
      <c r="JAA160" s="187"/>
      <c r="JAB160" s="187"/>
      <c r="JAC160" s="187"/>
      <c r="JAD160" s="187"/>
      <c r="JAE160" s="187"/>
      <c r="JAF160" s="187"/>
      <c r="JAG160" s="187"/>
      <c r="JAH160" s="187"/>
      <c r="JAI160" s="187"/>
      <c r="JAJ160" s="187"/>
      <c r="JAK160" s="187"/>
      <c r="JAL160" s="187"/>
      <c r="JAM160" s="187"/>
      <c r="JAN160" s="187"/>
      <c r="JAO160" s="187"/>
      <c r="JAP160" s="187"/>
      <c r="JAQ160" s="187"/>
      <c r="JAR160" s="187"/>
      <c r="JAS160" s="187"/>
      <c r="JAT160" s="187"/>
      <c r="JAU160" s="187"/>
      <c r="JAV160" s="187"/>
      <c r="JAW160" s="187"/>
      <c r="JAX160" s="187"/>
      <c r="JAY160" s="187"/>
      <c r="JAZ160" s="187"/>
      <c r="JBA160" s="187"/>
      <c r="JBB160" s="187"/>
      <c r="JBC160" s="187"/>
      <c r="JBD160" s="187"/>
      <c r="JBE160" s="187"/>
      <c r="JBF160" s="187"/>
      <c r="JBG160" s="187"/>
      <c r="JBH160" s="187"/>
      <c r="JBI160" s="187"/>
      <c r="JBJ160" s="187"/>
      <c r="JBK160" s="187"/>
      <c r="JBL160" s="187"/>
      <c r="JBM160" s="187"/>
      <c r="JBN160" s="187"/>
      <c r="JBO160" s="187"/>
      <c r="JBP160" s="187"/>
      <c r="JBQ160" s="187"/>
      <c r="JBR160" s="187"/>
      <c r="JBS160" s="187"/>
      <c r="JBT160" s="187"/>
      <c r="JBU160" s="187"/>
      <c r="JBV160" s="187"/>
      <c r="JBW160" s="187"/>
      <c r="JBX160" s="187"/>
      <c r="JBY160" s="187"/>
      <c r="JBZ160" s="187"/>
      <c r="JCA160" s="187"/>
      <c r="JCB160" s="187"/>
      <c r="JCC160" s="187"/>
      <c r="JCD160" s="187"/>
      <c r="JCE160" s="187"/>
      <c r="JCF160" s="187"/>
      <c r="JCG160" s="187"/>
      <c r="JCH160" s="187"/>
      <c r="JCI160" s="187"/>
      <c r="JCJ160" s="187"/>
      <c r="JCK160" s="187"/>
      <c r="JCL160" s="187"/>
      <c r="JCM160" s="187"/>
      <c r="JCN160" s="187"/>
      <c r="JCO160" s="187"/>
      <c r="JCP160" s="187"/>
      <c r="JCQ160" s="187"/>
      <c r="JCR160" s="187"/>
      <c r="JCS160" s="187"/>
      <c r="JCT160" s="187"/>
      <c r="JCU160" s="187"/>
      <c r="JCV160" s="187"/>
      <c r="JCW160" s="187"/>
      <c r="JCX160" s="187"/>
      <c r="JCY160" s="187"/>
      <c r="JCZ160" s="187"/>
      <c r="JDA160" s="187"/>
      <c r="JDB160" s="187"/>
      <c r="JDC160" s="187"/>
      <c r="JDD160" s="187"/>
      <c r="JDE160" s="187"/>
      <c r="JDF160" s="187"/>
      <c r="JDG160" s="187"/>
      <c r="JDH160" s="187"/>
      <c r="JDI160" s="187"/>
      <c r="JDJ160" s="187"/>
      <c r="JDK160" s="187"/>
      <c r="JDL160" s="187"/>
      <c r="JDM160" s="187"/>
      <c r="JDN160" s="187"/>
      <c r="JDO160" s="187"/>
      <c r="JDP160" s="187"/>
      <c r="JDQ160" s="187"/>
      <c r="JDR160" s="187"/>
      <c r="JDS160" s="187"/>
      <c r="JDT160" s="187"/>
      <c r="JDU160" s="187"/>
      <c r="JDV160" s="187"/>
      <c r="JDW160" s="187"/>
      <c r="JDX160" s="187"/>
      <c r="JDY160" s="187"/>
      <c r="JDZ160" s="187"/>
      <c r="JEA160" s="187"/>
      <c r="JEB160" s="187"/>
      <c r="JEC160" s="187"/>
      <c r="JED160" s="187"/>
      <c r="JEE160" s="187"/>
      <c r="JEF160" s="187"/>
      <c r="JEG160" s="187"/>
      <c r="JEH160" s="187"/>
      <c r="JEI160" s="187"/>
      <c r="JEJ160" s="187"/>
      <c r="JEK160" s="187"/>
      <c r="JEL160" s="187"/>
      <c r="JEM160" s="187"/>
      <c r="JEN160" s="187"/>
      <c r="JEO160" s="187"/>
      <c r="JEP160" s="187"/>
      <c r="JEQ160" s="187"/>
      <c r="JER160" s="187"/>
      <c r="JES160" s="187"/>
      <c r="JET160" s="187"/>
      <c r="JEU160" s="187"/>
      <c r="JEV160" s="187"/>
      <c r="JEW160" s="187"/>
      <c r="JEX160" s="187"/>
      <c r="JEY160" s="187"/>
      <c r="JEZ160" s="187"/>
      <c r="JFA160" s="187"/>
      <c r="JFB160" s="187"/>
      <c r="JFC160" s="187"/>
      <c r="JFD160" s="187"/>
      <c r="JFE160" s="187"/>
      <c r="JFF160" s="187"/>
      <c r="JFG160" s="187"/>
      <c r="JFH160" s="187"/>
      <c r="JFI160" s="187"/>
      <c r="JFJ160" s="187"/>
      <c r="JFK160" s="187"/>
      <c r="JFL160" s="187"/>
      <c r="JFM160" s="187"/>
      <c r="JFN160" s="187"/>
      <c r="JFO160" s="187"/>
      <c r="JFP160" s="187"/>
      <c r="JFQ160" s="187"/>
      <c r="JFR160" s="187"/>
      <c r="JFS160" s="187"/>
      <c r="JFT160" s="187"/>
      <c r="JFU160" s="187"/>
      <c r="JFV160" s="187"/>
      <c r="JFW160" s="187"/>
      <c r="JFX160" s="187"/>
      <c r="JFY160" s="187"/>
      <c r="JFZ160" s="187"/>
      <c r="JGA160" s="187"/>
      <c r="JGB160" s="187"/>
      <c r="JGC160" s="187"/>
      <c r="JGD160" s="187"/>
      <c r="JGE160" s="187"/>
      <c r="JGF160" s="187"/>
      <c r="JGG160" s="187"/>
      <c r="JGH160" s="187"/>
      <c r="JGI160" s="187"/>
      <c r="JGJ160" s="187"/>
      <c r="JGK160" s="187"/>
      <c r="JGL160" s="187"/>
      <c r="JGM160" s="187"/>
      <c r="JGN160" s="187"/>
      <c r="JGO160" s="187"/>
      <c r="JGP160" s="187"/>
      <c r="JGQ160" s="187"/>
      <c r="JGR160" s="187"/>
      <c r="JGS160" s="187"/>
      <c r="JGT160" s="187"/>
      <c r="JGU160" s="187"/>
      <c r="JGV160" s="187"/>
      <c r="JGW160" s="187"/>
      <c r="JGX160" s="187"/>
      <c r="JGY160" s="187"/>
      <c r="JGZ160" s="187"/>
      <c r="JHA160" s="187"/>
      <c r="JHB160" s="187"/>
      <c r="JHC160" s="187"/>
      <c r="JHD160" s="187"/>
      <c r="JHE160" s="187"/>
      <c r="JHF160" s="187"/>
      <c r="JHG160" s="187"/>
      <c r="JHH160" s="187"/>
      <c r="JHI160" s="187"/>
      <c r="JHJ160" s="187"/>
      <c r="JHK160" s="187"/>
      <c r="JHL160" s="187"/>
      <c r="JHM160" s="187"/>
      <c r="JHN160" s="187"/>
      <c r="JHO160" s="187"/>
      <c r="JHP160" s="187"/>
      <c r="JHQ160" s="187"/>
      <c r="JHR160" s="187"/>
      <c r="JHS160" s="187"/>
      <c r="JHT160" s="187"/>
      <c r="JHU160" s="187"/>
      <c r="JHV160" s="187"/>
      <c r="JHW160" s="187"/>
      <c r="JHX160" s="187"/>
      <c r="JHY160" s="187"/>
      <c r="JHZ160" s="187"/>
      <c r="JIA160" s="187"/>
      <c r="JIB160" s="187"/>
      <c r="JIC160" s="187"/>
      <c r="JID160" s="187"/>
      <c r="JIE160" s="187"/>
      <c r="JIF160" s="187"/>
      <c r="JIG160" s="187"/>
      <c r="JIH160" s="187"/>
      <c r="JII160" s="187"/>
      <c r="JIJ160" s="187"/>
      <c r="JIK160" s="187"/>
      <c r="JIL160" s="187"/>
      <c r="JIM160" s="187"/>
      <c r="JIN160" s="187"/>
      <c r="JIO160" s="187"/>
      <c r="JIP160" s="187"/>
      <c r="JIQ160" s="187"/>
      <c r="JIR160" s="187"/>
      <c r="JIS160" s="187"/>
      <c r="JIT160" s="187"/>
      <c r="JIU160" s="187"/>
      <c r="JIV160" s="187"/>
      <c r="JIW160" s="187"/>
      <c r="JIX160" s="187"/>
      <c r="JIY160" s="187"/>
      <c r="JIZ160" s="187"/>
      <c r="JJA160" s="187"/>
      <c r="JJB160" s="187"/>
      <c r="JJC160" s="187"/>
      <c r="JJD160" s="187"/>
      <c r="JJE160" s="187"/>
      <c r="JJF160" s="187"/>
      <c r="JJG160" s="187"/>
      <c r="JJH160" s="187"/>
      <c r="JJI160" s="187"/>
      <c r="JJJ160" s="187"/>
      <c r="JJK160" s="187"/>
      <c r="JJL160" s="187"/>
      <c r="JJM160" s="187"/>
      <c r="JJN160" s="187"/>
      <c r="JJO160" s="187"/>
      <c r="JJP160" s="187"/>
      <c r="JJQ160" s="187"/>
      <c r="JJR160" s="187"/>
      <c r="JJS160" s="187"/>
      <c r="JJT160" s="187"/>
      <c r="JJU160" s="187"/>
      <c r="JJV160" s="187"/>
      <c r="JJW160" s="187"/>
      <c r="JJX160" s="187"/>
      <c r="JJY160" s="187"/>
      <c r="JJZ160" s="187"/>
      <c r="JKA160" s="187"/>
      <c r="JKB160" s="187"/>
      <c r="JKC160" s="187"/>
      <c r="JKD160" s="187"/>
      <c r="JKE160" s="187"/>
      <c r="JKF160" s="187"/>
      <c r="JKG160" s="187"/>
      <c r="JKH160" s="187"/>
      <c r="JKI160" s="187"/>
      <c r="JKJ160" s="187"/>
      <c r="JKK160" s="187"/>
      <c r="JKL160" s="187"/>
      <c r="JKM160" s="187"/>
      <c r="JKN160" s="187"/>
      <c r="JKO160" s="187"/>
      <c r="JKP160" s="187"/>
      <c r="JKQ160" s="187"/>
      <c r="JKR160" s="187"/>
      <c r="JKS160" s="187"/>
      <c r="JKT160" s="187"/>
      <c r="JKU160" s="187"/>
      <c r="JKV160" s="187"/>
      <c r="JKW160" s="187"/>
      <c r="JKX160" s="187"/>
      <c r="JKY160" s="187"/>
      <c r="JKZ160" s="187"/>
      <c r="JLA160" s="187"/>
      <c r="JLB160" s="187"/>
      <c r="JLC160" s="187"/>
      <c r="JLD160" s="187"/>
      <c r="JLE160" s="187"/>
      <c r="JLF160" s="187"/>
      <c r="JLG160" s="187"/>
      <c r="JLH160" s="187"/>
      <c r="JLI160" s="187"/>
      <c r="JLJ160" s="187"/>
      <c r="JLK160" s="187"/>
      <c r="JLL160" s="187"/>
      <c r="JLM160" s="187"/>
      <c r="JLN160" s="187"/>
      <c r="JLO160" s="187"/>
      <c r="JLP160" s="187"/>
      <c r="JLQ160" s="187"/>
      <c r="JLR160" s="187"/>
      <c r="JLS160" s="187"/>
      <c r="JLT160" s="187"/>
      <c r="JLU160" s="187"/>
      <c r="JLV160" s="187"/>
      <c r="JLW160" s="187"/>
      <c r="JLX160" s="187"/>
      <c r="JLY160" s="187"/>
      <c r="JLZ160" s="187"/>
      <c r="JMA160" s="187"/>
      <c r="JMB160" s="187"/>
      <c r="JMC160" s="187"/>
      <c r="JMD160" s="187"/>
      <c r="JME160" s="187"/>
      <c r="JMF160" s="187"/>
      <c r="JMG160" s="187"/>
      <c r="JMH160" s="187"/>
      <c r="JMI160" s="187"/>
      <c r="JMJ160" s="187"/>
      <c r="JMK160" s="187"/>
      <c r="JML160" s="187"/>
      <c r="JMM160" s="187"/>
      <c r="JMN160" s="187"/>
      <c r="JMO160" s="187"/>
      <c r="JMP160" s="187"/>
      <c r="JMQ160" s="187"/>
      <c r="JMR160" s="187"/>
      <c r="JMS160" s="187"/>
      <c r="JMT160" s="187"/>
      <c r="JMU160" s="187"/>
      <c r="JMV160" s="187"/>
      <c r="JMW160" s="187"/>
      <c r="JMX160" s="187"/>
      <c r="JMY160" s="187"/>
      <c r="JMZ160" s="187"/>
      <c r="JNA160" s="187"/>
      <c r="JNB160" s="187"/>
      <c r="JNC160" s="187"/>
      <c r="JND160" s="187"/>
      <c r="JNE160" s="187"/>
      <c r="JNF160" s="187"/>
      <c r="JNG160" s="187"/>
      <c r="JNH160" s="187"/>
      <c r="JNI160" s="187"/>
      <c r="JNJ160" s="187"/>
      <c r="JNK160" s="187"/>
      <c r="JNL160" s="187"/>
      <c r="JNM160" s="187"/>
      <c r="JNN160" s="187"/>
      <c r="JNO160" s="187"/>
      <c r="JNP160" s="187"/>
      <c r="JNQ160" s="187"/>
      <c r="JNR160" s="187"/>
      <c r="JNS160" s="187"/>
      <c r="JNT160" s="187"/>
      <c r="JNU160" s="187"/>
      <c r="JNV160" s="187"/>
      <c r="JNW160" s="187"/>
      <c r="JNX160" s="187"/>
      <c r="JNY160" s="187"/>
      <c r="JNZ160" s="187"/>
      <c r="JOA160" s="187"/>
      <c r="JOB160" s="187"/>
      <c r="JOC160" s="187"/>
      <c r="JOD160" s="187"/>
      <c r="JOE160" s="187"/>
      <c r="JOF160" s="187"/>
      <c r="JOG160" s="187"/>
      <c r="JOH160" s="187"/>
      <c r="JOI160" s="187"/>
      <c r="JOJ160" s="187"/>
      <c r="JOK160" s="187"/>
      <c r="JOL160" s="187"/>
      <c r="JOM160" s="187"/>
      <c r="JON160" s="187"/>
      <c r="JOO160" s="187"/>
      <c r="JOP160" s="187"/>
      <c r="JOQ160" s="187"/>
      <c r="JOR160" s="187"/>
      <c r="JOS160" s="187"/>
      <c r="JOT160" s="187"/>
      <c r="JOU160" s="187"/>
      <c r="JOV160" s="187"/>
      <c r="JOW160" s="187"/>
      <c r="JOX160" s="187"/>
      <c r="JOY160" s="187"/>
      <c r="JOZ160" s="187"/>
      <c r="JPA160" s="187"/>
      <c r="JPB160" s="187"/>
      <c r="JPC160" s="187"/>
      <c r="JPD160" s="187"/>
      <c r="JPE160" s="187"/>
      <c r="JPF160" s="187"/>
      <c r="JPG160" s="187"/>
      <c r="JPH160" s="187"/>
      <c r="JPI160" s="187"/>
      <c r="JPJ160" s="187"/>
      <c r="JPK160" s="187"/>
      <c r="JPL160" s="187"/>
      <c r="JPM160" s="187"/>
      <c r="JPN160" s="187"/>
      <c r="JPO160" s="187"/>
      <c r="JPP160" s="187"/>
      <c r="JPQ160" s="187"/>
      <c r="JPR160" s="187"/>
      <c r="JPS160" s="187"/>
      <c r="JPT160" s="187"/>
      <c r="JPU160" s="187"/>
      <c r="JPV160" s="187"/>
      <c r="JPW160" s="187"/>
      <c r="JPX160" s="187"/>
      <c r="JPY160" s="187"/>
      <c r="JPZ160" s="187"/>
      <c r="JQA160" s="187"/>
      <c r="JQB160" s="187"/>
      <c r="JQC160" s="187"/>
      <c r="JQD160" s="187"/>
      <c r="JQE160" s="187"/>
      <c r="JQF160" s="187"/>
      <c r="JQG160" s="187"/>
      <c r="JQH160" s="187"/>
      <c r="JQI160" s="187"/>
      <c r="JQJ160" s="187"/>
      <c r="JQK160" s="187"/>
      <c r="JQL160" s="187"/>
      <c r="JQM160" s="187"/>
      <c r="JQN160" s="187"/>
      <c r="JQO160" s="187"/>
      <c r="JQP160" s="187"/>
      <c r="JQQ160" s="187"/>
      <c r="JQR160" s="187"/>
      <c r="JQS160" s="187"/>
      <c r="JQT160" s="187"/>
      <c r="JQU160" s="187"/>
      <c r="JQV160" s="187"/>
      <c r="JQW160" s="187"/>
      <c r="JQX160" s="187"/>
      <c r="JQY160" s="187"/>
      <c r="JQZ160" s="187"/>
      <c r="JRA160" s="187"/>
      <c r="JRB160" s="187"/>
      <c r="JRC160" s="187"/>
      <c r="JRD160" s="187"/>
      <c r="JRE160" s="187"/>
      <c r="JRF160" s="187"/>
      <c r="JRG160" s="187"/>
      <c r="JRH160" s="187"/>
      <c r="JRI160" s="187"/>
      <c r="JRJ160" s="187"/>
      <c r="JRK160" s="187"/>
      <c r="JRL160" s="187"/>
      <c r="JRM160" s="187"/>
      <c r="JRN160" s="187"/>
      <c r="JRO160" s="187"/>
      <c r="JRP160" s="187"/>
      <c r="JRQ160" s="187"/>
      <c r="JRR160" s="187"/>
      <c r="JRS160" s="187"/>
      <c r="JRT160" s="187"/>
      <c r="JRU160" s="187"/>
      <c r="JRV160" s="187"/>
      <c r="JRW160" s="187"/>
      <c r="JRX160" s="187"/>
      <c r="JRY160" s="187"/>
      <c r="JRZ160" s="187"/>
      <c r="JSA160" s="187"/>
      <c r="JSB160" s="187"/>
      <c r="JSC160" s="187"/>
      <c r="JSD160" s="187"/>
      <c r="JSE160" s="187"/>
      <c r="JSF160" s="187"/>
      <c r="JSG160" s="187"/>
      <c r="JSH160" s="187"/>
      <c r="JSI160" s="187"/>
      <c r="JSJ160" s="187"/>
      <c r="JSK160" s="187"/>
      <c r="JSL160" s="187"/>
      <c r="JSM160" s="187"/>
      <c r="JSN160" s="187"/>
      <c r="JSO160" s="187"/>
      <c r="JSP160" s="187"/>
      <c r="JSQ160" s="187"/>
      <c r="JSR160" s="187"/>
      <c r="JSS160" s="187"/>
      <c r="JST160" s="187"/>
      <c r="JSU160" s="187"/>
      <c r="JSV160" s="187"/>
      <c r="JSW160" s="187"/>
      <c r="JSX160" s="187"/>
      <c r="JSY160" s="187"/>
      <c r="JSZ160" s="187"/>
      <c r="JTA160" s="187"/>
      <c r="JTB160" s="187"/>
      <c r="JTC160" s="187"/>
      <c r="JTD160" s="187"/>
      <c r="JTE160" s="187"/>
      <c r="JTF160" s="187"/>
      <c r="JTG160" s="187"/>
      <c r="JTH160" s="187"/>
      <c r="JTI160" s="187"/>
      <c r="JTJ160" s="187"/>
      <c r="JTK160" s="187"/>
      <c r="JTL160" s="187"/>
      <c r="JTM160" s="187"/>
      <c r="JTN160" s="187"/>
      <c r="JTO160" s="187"/>
      <c r="JTP160" s="187"/>
      <c r="JTQ160" s="187"/>
      <c r="JTR160" s="187"/>
      <c r="JTS160" s="187"/>
      <c r="JTT160" s="187"/>
      <c r="JTU160" s="187"/>
      <c r="JTV160" s="187"/>
      <c r="JTW160" s="187"/>
      <c r="JTX160" s="187"/>
      <c r="JTY160" s="187"/>
      <c r="JTZ160" s="187"/>
      <c r="JUA160" s="187"/>
      <c r="JUB160" s="187"/>
      <c r="JUC160" s="187"/>
      <c r="JUD160" s="187"/>
      <c r="JUE160" s="187"/>
      <c r="JUF160" s="187"/>
      <c r="JUG160" s="187"/>
      <c r="JUH160" s="187"/>
      <c r="JUI160" s="187"/>
      <c r="JUJ160" s="187"/>
      <c r="JUK160" s="187"/>
      <c r="JUL160" s="187"/>
      <c r="JUM160" s="187"/>
      <c r="JUN160" s="187"/>
      <c r="JUO160" s="187"/>
      <c r="JUP160" s="187"/>
      <c r="JUQ160" s="187"/>
      <c r="JUR160" s="187"/>
      <c r="JUS160" s="187"/>
      <c r="JUT160" s="187"/>
      <c r="JUU160" s="187"/>
      <c r="JUV160" s="187"/>
      <c r="JUW160" s="187"/>
      <c r="JUX160" s="187"/>
      <c r="JUY160" s="187"/>
      <c r="JUZ160" s="187"/>
      <c r="JVA160" s="187"/>
      <c r="JVB160" s="187"/>
      <c r="JVC160" s="187"/>
      <c r="JVD160" s="187"/>
      <c r="JVE160" s="187"/>
      <c r="JVF160" s="187"/>
      <c r="JVG160" s="187"/>
      <c r="JVH160" s="187"/>
      <c r="JVI160" s="187"/>
      <c r="JVJ160" s="187"/>
      <c r="JVK160" s="187"/>
      <c r="JVL160" s="187"/>
      <c r="JVM160" s="187"/>
      <c r="JVN160" s="187"/>
      <c r="JVO160" s="187"/>
      <c r="JVP160" s="187"/>
      <c r="JVQ160" s="187"/>
      <c r="JVR160" s="187"/>
      <c r="JVS160" s="187"/>
      <c r="JVT160" s="187"/>
      <c r="JVU160" s="187"/>
      <c r="JVV160" s="187"/>
      <c r="JVW160" s="187"/>
      <c r="JVX160" s="187"/>
      <c r="JVY160" s="187"/>
      <c r="JVZ160" s="187"/>
      <c r="JWA160" s="187"/>
      <c r="JWB160" s="187"/>
      <c r="JWC160" s="187"/>
      <c r="JWD160" s="187"/>
      <c r="JWE160" s="187"/>
      <c r="JWF160" s="187"/>
      <c r="JWG160" s="187"/>
      <c r="JWH160" s="187"/>
      <c r="JWI160" s="187"/>
      <c r="JWJ160" s="187"/>
      <c r="JWK160" s="187"/>
      <c r="JWL160" s="187"/>
      <c r="JWM160" s="187"/>
      <c r="JWN160" s="187"/>
      <c r="JWO160" s="187"/>
      <c r="JWP160" s="187"/>
      <c r="JWQ160" s="187"/>
      <c r="JWR160" s="187"/>
      <c r="JWS160" s="187"/>
      <c r="JWT160" s="187"/>
      <c r="JWU160" s="187"/>
      <c r="JWV160" s="187"/>
      <c r="JWW160" s="187"/>
      <c r="JWX160" s="187"/>
      <c r="JWY160" s="187"/>
      <c r="JWZ160" s="187"/>
      <c r="JXA160" s="187"/>
      <c r="JXB160" s="187"/>
      <c r="JXC160" s="187"/>
      <c r="JXD160" s="187"/>
      <c r="JXE160" s="187"/>
      <c r="JXF160" s="187"/>
      <c r="JXG160" s="187"/>
      <c r="JXH160" s="187"/>
      <c r="JXI160" s="187"/>
      <c r="JXJ160" s="187"/>
      <c r="JXK160" s="187"/>
      <c r="JXL160" s="187"/>
      <c r="JXM160" s="187"/>
      <c r="JXN160" s="187"/>
      <c r="JXO160" s="187"/>
      <c r="JXP160" s="187"/>
      <c r="JXQ160" s="187"/>
      <c r="JXR160" s="187"/>
      <c r="JXS160" s="187"/>
      <c r="JXT160" s="187"/>
      <c r="JXU160" s="187"/>
      <c r="JXV160" s="187"/>
      <c r="JXW160" s="187"/>
      <c r="JXX160" s="187"/>
      <c r="JXY160" s="187"/>
      <c r="JXZ160" s="187"/>
      <c r="JYA160" s="187"/>
      <c r="JYB160" s="187"/>
      <c r="JYC160" s="187"/>
      <c r="JYD160" s="187"/>
      <c r="JYE160" s="187"/>
      <c r="JYF160" s="187"/>
      <c r="JYG160" s="187"/>
      <c r="JYH160" s="187"/>
      <c r="JYI160" s="187"/>
      <c r="JYJ160" s="187"/>
      <c r="JYK160" s="187"/>
      <c r="JYL160" s="187"/>
      <c r="JYM160" s="187"/>
      <c r="JYN160" s="187"/>
      <c r="JYO160" s="187"/>
      <c r="JYP160" s="187"/>
      <c r="JYQ160" s="187"/>
      <c r="JYR160" s="187"/>
      <c r="JYS160" s="187"/>
      <c r="JYT160" s="187"/>
      <c r="JYU160" s="187"/>
      <c r="JYV160" s="187"/>
      <c r="JYW160" s="187"/>
      <c r="JYX160" s="187"/>
      <c r="JYY160" s="187"/>
      <c r="JYZ160" s="187"/>
      <c r="JZA160" s="187"/>
      <c r="JZB160" s="187"/>
      <c r="JZC160" s="187"/>
      <c r="JZD160" s="187"/>
      <c r="JZE160" s="187"/>
      <c r="JZF160" s="187"/>
      <c r="JZG160" s="187"/>
      <c r="JZH160" s="187"/>
      <c r="JZI160" s="187"/>
      <c r="JZJ160" s="187"/>
      <c r="JZK160" s="187"/>
      <c r="JZL160" s="187"/>
      <c r="JZM160" s="187"/>
      <c r="JZN160" s="187"/>
      <c r="JZO160" s="187"/>
      <c r="JZP160" s="187"/>
      <c r="JZQ160" s="187"/>
      <c r="JZR160" s="187"/>
      <c r="JZS160" s="187"/>
      <c r="JZT160" s="187"/>
      <c r="JZU160" s="187"/>
      <c r="JZV160" s="187"/>
      <c r="JZW160" s="187"/>
      <c r="JZX160" s="187"/>
      <c r="JZY160" s="187"/>
      <c r="JZZ160" s="187"/>
      <c r="KAA160" s="187"/>
      <c r="KAB160" s="187"/>
      <c r="KAC160" s="187"/>
      <c r="KAD160" s="187"/>
      <c r="KAE160" s="187"/>
      <c r="KAF160" s="187"/>
      <c r="KAG160" s="187"/>
      <c r="KAH160" s="187"/>
      <c r="KAI160" s="187"/>
      <c r="KAJ160" s="187"/>
      <c r="KAK160" s="187"/>
      <c r="KAL160" s="187"/>
      <c r="KAM160" s="187"/>
      <c r="KAN160" s="187"/>
      <c r="KAO160" s="187"/>
      <c r="KAP160" s="187"/>
      <c r="KAQ160" s="187"/>
      <c r="KAR160" s="187"/>
      <c r="KAS160" s="187"/>
      <c r="KAT160" s="187"/>
      <c r="KAU160" s="187"/>
      <c r="KAV160" s="187"/>
      <c r="KAW160" s="187"/>
      <c r="KAX160" s="187"/>
      <c r="KAY160" s="187"/>
      <c r="KAZ160" s="187"/>
      <c r="KBA160" s="187"/>
      <c r="KBB160" s="187"/>
      <c r="KBC160" s="187"/>
      <c r="KBD160" s="187"/>
      <c r="KBE160" s="187"/>
      <c r="KBF160" s="187"/>
      <c r="KBG160" s="187"/>
      <c r="KBH160" s="187"/>
      <c r="KBI160" s="187"/>
      <c r="KBJ160" s="187"/>
      <c r="KBK160" s="187"/>
      <c r="KBL160" s="187"/>
      <c r="KBM160" s="187"/>
      <c r="KBN160" s="187"/>
      <c r="KBO160" s="187"/>
      <c r="KBP160" s="187"/>
      <c r="KBQ160" s="187"/>
      <c r="KBR160" s="187"/>
      <c r="KBS160" s="187"/>
      <c r="KBT160" s="187"/>
      <c r="KBU160" s="187"/>
      <c r="KBV160" s="187"/>
      <c r="KBW160" s="187"/>
      <c r="KBX160" s="187"/>
      <c r="KBY160" s="187"/>
      <c r="KBZ160" s="187"/>
      <c r="KCA160" s="187"/>
      <c r="KCB160" s="187"/>
      <c r="KCC160" s="187"/>
      <c r="KCD160" s="187"/>
      <c r="KCE160" s="187"/>
      <c r="KCF160" s="187"/>
      <c r="KCG160" s="187"/>
      <c r="KCH160" s="187"/>
      <c r="KCI160" s="187"/>
      <c r="KCJ160" s="187"/>
      <c r="KCK160" s="187"/>
      <c r="KCL160" s="187"/>
      <c r="KCM160" s="187"/>
      <c r="KCN160" s="187"/>
      <c r="KCO160" s="187"/>
      <c r="KCP160" s="187"/>
      <c r="KCQ160" s="187"/>
      <c r="KCR160" s="187"/>
      <c r="KCS160" s="187"/>
      <c r="KCT160" s="187"/>
      <c r="KCU160" s="187"/>
      <c r="KCV160" s="187"/>
      <c r="KCW160" s="187"/>
      <c r="KCX160" s="187"/>
      <c r="KCY160" s="187"/>
      <c r="KCZ160" s="187"/>
      <c r="KDA160" s="187"/>
      <c r="KDB160" s="187"/>
      <c r="KDC160" s="187"/>
      <c r="KDD160" s="187"/>
      <c r="KDE160" s="187"/>
      <c r="KDF160" s="187"/>
      <c r="KDG160" s="187"/>
      <c r="KDH160" s="187"/>
      <c r="KDI160" s="187"/>
      <c r="KDJ160" s="187"/>
      <c r="KDK160" s="187"/>
      <c r="KDL160" s="187"/>
      <c r="KDM160" s="187"/>
      <c r="KDN160" s="187"/>
      <c r="KDO160" s="187"/>
      <c r="KDP160" s="187"/>
      <c r="KDQ160" s="187"/>
      <c r="KDR160" s="187"/>
      <c r="KDS160" s="187"/>
      <c r="KDT160" s="187"/>
      <c r="KDU160" s="187"/>
      <c r="KDV160" s="187"/>
      <c r="KDW160" s="187"/>
      <c r="KDX160" s="187"/>
      <c r="KDY160" s="187"/>
      <c r="KDZ160" s="187"/>
      <c r="KEA160" s="187"/>
      <c r="KEB160" s="187"/>
      <c r="KEC160" s="187"/>
      <c r="KED160" s="187"/>
      <c r="KEE160" s="187"/>
      <c r="KEF160" s="187"/>
      <c r="KEG160" s="187"/>
      <c r="KEH160" s="187"/>
      <c r="KEI160" s="187"/>
      <c r="KEJ160" s="187"/>
      <c r="KEK160" s="187"/>
      <c r="KEL160" s="187"/>
      <c r="KEM160" s="187"/>
      <c r="KEN160" s="187"/>
      <c r="KEO160" s="187"/>
      <c r="KEP160" s="187"/>
      <c r="KEQ160" s="187"/>
      <c r="KER160" s="187"/>
      <c r="KES160" s="187"/>
      <c r="KET160" s="187"/>
      <c r="KEU160" s="187"/>
      <c r="KEV160" s="187"/>
      <c r="KEW160" s="187"/>
      <c r="KEX160" s="187"/>
      <c r="KEY160" s="187"/>
      <c r="KEZ160" s="187"/>
      <c r="KFA160" s="187"/>
      <c r="KFB160" s="187"/>
      <c r="KFC160" s="187"/>
      <c r="KFD160" s="187"/>
      <c r="KFE160" s="187"/>
      <c r="KFF160" s="187"/>
      <c r="KFG160" s="187"/>
      <c r="KFH160" s="187"/>
      <c r="KFI160" s="187"/>
      <c r="KFJ160" s="187"/>
      <c r="KFK160" s="187"/>
      <c r="KFL160" s="187"/>
      <c r="KFM160" s="187"/>
      <c r="KFN160" s="187"/>
      <c r="KFO160" s="187"/>
      <c r="KFP160" s="187"/>
      <c r="KFQ160" s="187"/>
      <c r="KFR160" s="187"/>
      <c r="KFS160" s="187"/>
      <c r="KFT160" s="187"/>
      <c r="KFU160" s="187"/>
      <c r="KFV160" s="187"/>
      <c r="KFW160" s="187"/>
      <c r="KFX160" s="187"/>
      <c r="KFY160" s="187"/>
      <c r="KFZ160" s="187"/>
      <c r="KGA160" s="187"/>
      <c r="KGB160" s="187"/>
      <c r="KGC160" s="187"/>
      <c r="KGD160" s="187"/>
      <c r="KGE160" s="187"/>
      <c r="KGF160" s="187"/>
      <c r="KGG160" s="187"/>
      <c r="KGH160" s="187"/>
      <c r="KGI160" s="187"/>
      <c r="KGJ160" s="187"/>
      <c r="KGK160" s="187"/>
      <c r="KGL160" s="187"/>
      <c r="KGM160" s="187"/>
      <c r="KGN160" s="187"/>
      <c r="KGO160" s="187"/>
      <c r="KGP160" s="187"/>
      <c r="KGQ160" s="187"/>
      <c r="KGR160" s="187"/>
      <c r="KGS160" s="187"/>
      <c r="KGT160" s="187"/>
      <c r="KGU160" s="187"/>
      <c r="KGV160" s="187"/>
      <c r="KGW160" s="187"/>
      <c r="KGX160" s="187"/>
      <c r="KGY160" s="187"/>
      <c r="KGZ160" s="187"/>
      <c r="KHA160" s="187"/>
      <c r="KHB160" s="187"/>
      <c r="KHC160" s="187"/>
      <c r="KHD160" s="187"/>
      <c r="KHE160" s="187"/>
      <c r="KHF160" s="187"/>
      <c r="KHG160" s="187"/>
      <c r="KHH160" s="187"/>
      <c r="KHI160" s="187"/>
      <c r="KHJ160" s="187"/>
      <c r="KHK160" s="187"/>
      <c r="KHL160" s="187"/>
      <c r="KHM160" s="187"/>
      <c r="KHN160" s="187"/>
      <c r="KHO160" s="187"/>
      <c r="KHP160" s="187"/>
      <c r="KHQ160" s="187"/>
      <c r="KHR160" s="187"/>
      <c r="KHS160" s="187"/>
      <c r="KHT160" s="187"/>
      <c r="KHU160" s="187"/>
      <c r="KHV160" s="187"/>
      <c r="KHW160" s="187"/>
      <c r="KHX160" s="187"/>
      <c r="KHY160" s="187"/>
      <c r="KHZ160" s="187"/>
      <c r="KIA160" s="187"/>
      <c r="KIB160" s="187"/>
      <c r="KIC160" s="187"/>
      <c r="KID160" s="187"/>
      <c r="KIE160" s="187"/>
      <c r="KIF160" s="187"/>
      <c r="KIG160" s="187"/>
      <c r="KIH160" s="187"/>
      <c r="KII160" s="187"/>
      <c r="KIJ160" s="187"/>
      <c r="KIK160" s="187"/>
      <c r="KIL160" s="187"/>
      <c r="KIM160" s="187"/>
      <c r="KIN160" s="187"/>
      <c r="KIO160" s="187"/>
      <c r="KIP160" s="187"/>
      <c r="KIQ160" s="187"/>
      <c r="KIR160" s="187"/>
      <c r="KIS160" s="187"/>
      <c r="KIT160" s="187"/>
      <c r="KIU160" s="187"/>
      <c r="KIV160" s="187"/>
      <c r="KIW160" s="187"/>
      <c r="KIX160" s="187"/>
      <c r="KIY160" s="187"/>
      <c r="KIZ160" s="187"/>
      <c r="KJA160" s="187"/>
      <c r="KJB160" s="187"/>
      <c r="KJC160" s="187"/>
      <c r="KJD160" s="187"/>
      <c r="KJE160" s="187"/>
      <c r="KJF160" s="187"/>
      <c r="KJG160" s="187"/>
      <c r="KJH160" s="187"/>
      <c r="KJI160" s="187"/>
      <c r="KJJ160" s="187"/>
      <c r="KJK160" s="187"/>
      <c r="KJL160" s="187"/>
      <c r="KJM160" s="187"/>
      <c r="KJN160" s="187"/>
      <c r="KJO160" s="187"/>
      <c r="KJP160" s="187"/>
      <c r="KJQ160" s="187"/>
      <c r="KJR160" s="187"/>
      <c r="KJS160" s="187"/>
      <c r="KJT160" s="187"/>
      <c r="KJU160" s="187"/>
      <c r="KJV160" s="187"/>
      <c r="KJW160" s="187"/>
      <c r="KJX160" s="187"/>
      <c r="KJY160" s="187"/>
      <c r="KJZ160" s="187"/>
      <c r="KKA160" s="187"/>
      <c r="KKB160" s="187"/>
      <c r="KKC160" s="187"/>
      <c r="KKD160" s="187"/>
      <c r="KKE160" s="187"/>
      <c r="KKF160" s="187"/>
      <c r="KKG160" s="187"/>
      <c r="KKH160" s="187"/>
      <c r="KKI160" s="187"/>
      <c r="KKJ160" s="187"/>
      <c r="KKK160" s="187"/>
      <c r="KKL160" s="187"/>
      <c r="KKM160" s="187"/>
      <c r="KKN160" s="187"/>
      <c r="KKO160" s="187"/>
      <c r="KKP160" s="187"/>
      <c r="KKQ160" s="187"/>
      <c r="KKR160" s="187"/>
      <c r="KKS160" s="187"/>
      <c r="KKT160" s="187"/>
      <c r="KKU160" s="187"/>
      <c r="KKV160" s="187"/>
      <c r="KKW160" s="187"/>
      <c r="KKX160" s="187"/>
      <c r="KKY160" s="187"/>
      <c r="KKZ160" s="187"/>
      <c r="KLA160" s="187"/>
      <c r="KLB160" s="187"/>
      <c r="KLC160" s="187"/>
      <c r="KLD160" s="187"/>
      <c r="KLE160" s="187"/>
      <c r="KLF160" s="187"/>
      <c r="KLG160" s="187"/>
      <c r="KLH160" s="187"/>
      <c r="KLI160" s="187"/>
      <c r="KLJ160" s="187"/>
      <c r="KLK160" s="187"/>
      <c r="KLL160" s="187"/>
      <c r="KLM160" s="187"/>
      <c r="KLN160" s="187"/>
      <c r="KLO160" s="187"/>
      <c r="KLP160" s="187"/>
      <c r="KLQ160" s="187"/>
      <c r="KLR160" s="187"/>
      <c r="KLS160" s="187"/>
      <c r="KLT160" s="187"/>
      <c r="KLU160" s="187"/>
      <c r="KLV160" s="187"/>
      <c r="KLW160" s="187"/>
      <c r="KLX160" s="187"/>
      <c r="KLY160" s="187"/>
      <c r="KLZ160" s="187"/>
      <c r="KMA160" s="187"/>
      <c r="KMB160" s="187"/>
      <c r="KMC160" s="187"/>
      <c r="KMD160" s="187"/>
      <c r="KME160" s="187"/>
      <c r="KMF160" s="187"/>
      <c r="KMG160" s="187"/>
      <c r="KMH160" s="187"/>
      <c r="KMI160" s="187"/>
      <c r="KMJ160" s="187"/>
      <c r="KMK160" s="187"/>
      <c r="KML160" s="187"/>
      <c r="KMM160" s="187"/>
      <c r="KMN160" s="187"/>
      <c r="KMO160" s="187"/>
      <c r="KMP160" s="187"/>
      <c r="KMQ160" s="187"/>
      <c r="KMR160" s="187"/>
      <c r="KMS160" s="187"/>
      <c r="KMT160" s="187"/>
      <c r="KMU160" s="187"/>
      <c r="KMV160" s="187"/>
      <c r="KMW160" s="187"/>
      <c r="KMX160" s="187"/>
      <c r="KMY160" s="187"/>
      <c r="KMZ160" s="187"/>
      <c r="KNA160" s="187"/>
      <c r="KNB160" s="187"/>
      <c r="KNC160" s="187"/>
      <c r="KND160" s="187"/>
      <c r="KNE160" s="187"/>
      <c r="KNF160" s="187"/>
      <c r="KNG160" s="187"/>
      <c r="KNH160" s="187"/>
      <c r="KNI160" s="187"/>
      <c r="KNJ160" s="187"/>
      <c r="KNK160" s="187"/>
      <c r="KNL160" s="187"/>
      <c r="KNM160" s="187"/>
      <c r="KNN160" s="187"/>
      <c r="KNO160" s="187"/>
      <c r="KNP160" s="187"/>
      <c r="KNQ160" s="187"/>
      <c r="KNR160" s="187"/>
      <c r="KNS160" s="187"/>
      <c r="KNT160" s="187"/>
      <c r="KNU160" s="187"/>
      <c r="KNV160" s="187"/>
      <c r="KNW160" s="187"/>
      <c r="KNX160" s="187"/>
      <c r="KNY160" s="187"/>
      <c r="KNZ160" s="187"/>
      <c r="KOA160" s="187"/>
      <c r="KOB160" s="187"/>
      <c r="KOC160" s="187"/>
      <c r="KOD160" s="187"/>
      <c r="KOE160" s="187"/>
      <c r="KOF160" s="187"/>
      <c r="KOG160" s="187"/>
      <c r="KOH160" s="187"/>
      <c r="KOI160" s="187"/>
      <c r="KOJ160" s="187"/>
      <c r="KOK160" s="187"/>
      <c r="KOL160" s="187"/>
      <c r="KOM160" s="187"/>
      <c r="KON160" s="187"/>
      <c r="KOO160" s="187"/>
      <c r="KOP160" s="187"/>
      <c r="KOQ160" s="187"/>
      <c r="KOR160" s="187"/>
      <c r="KOS160" s="187"/>
      <c r="KOT160" s="187"/>
      <c r="KOU160" s="187"/>
      <c r="KOV160" s="187"/>
      <c r="KOW160" s="187"/>
      <c r="KOX160" s="187"/>
      <c r="KOY160" s="187"/>
      <c r="KOZ160" s="187"/>
      <c r="KPA160" s="187"/>
      <c r="KPB160" s="187"/>
      <c r="KPC160" s="187"/>
      <c r="KPD160" s="187"/>
      <c r="KPE160" s="187"/>
      <c r="KPF160" s="187"/>
      <c r="KPG160" s="187"/>
      <c r="KPH160" s="187"/>
      <c r="KPI160" s="187"/>
      <c r="KPJ160" s="187"/>
      <c r="KPK160" s="187"/>
      <c r="KPL160" s="187"/>
      <c r="KPM160" s="187"/>
      <c r="KPN160" s="187"/>
      <c r="KPO160" s="187"/>
      <c r="KPP160" s="187"/>
      <c r="KPQ160" s="187"/>
      <c r="KPR160" s="187"/>
      <c r="KPS160" s="187"/>
      <c r="KPT160" s="187"/>
      <c r="KPU160" s="187"/>
      <c r="KPV160" s="187"/>
      <c r="KPW160" s="187"/>
      <c r="KPX160" s="187"/>
      <c r="KPY160" s="187"/>
      <c r="KPZ160" s="187"/>
      <c r="KQA160" s="187"/>
      <c r="KQB160" s="187"/>
      <c r="KQC160" s="187"/>
      <c r="KQD160" s="187"/>
      <c r="KQE160" s="187"/>
      <c r="KQF160" s="187"/>
      <c r="KQG160" s="187"/>
      <c r="KQH160" s="187"/>
      <c r="KQI160" s="187"/>
      <c r="KQJ160" s="187"/>
      <c r="KQK160" s="187"/>
      <c r="KQL160" s="187"/>
      <c r="KQM160" s="187"/>
      <c r="KQN160" s="187"/>
      <c r="KQO160" s="187"/>
      <c r="KQP160" s="187"/>
      <c r="KQQ160" s="187"/>
      <c r="KQR160" s="187"/>
      <c r="KQS160" s="187"/>
      <c r="KQT160" s="187"/>
      <c r="KQU160" s="187"/>
      <c r="KQV160" s="187"/>
      <c r="KQW160" s="187"/>
      <c r="KQX160" s="187"/>
      <c r="KQY160" s="187"/>
      <c r="KQZ160" s="187"/>
      <c r="KRA160" s="187"/>
      <c r="KRB160" s="187"/>
      <c r="KRC160" s="187"/>
      <c r="KRD160" s="187"/>
      <c r="KRE160" s="187"/>
      <c r="KRF160" s="187"/>
      <c r="KRG160" s="187"/>
      <c r="KRH160" s="187"/>
      <c r="KRI160" s="187"/>
      <c r="KRJ160" s="187"/>
      <c r="KRK160" s="187"/>
      <c r="KRL160" s="187"/>
      <c r="KRM160" s="187"/>
      <c r="KRN160" s="187"/>
      <c r="KRO160" s="187"/>
      <c r="KRP160" s="187"/>
      <c r="KRQ160" s="187"/>
      <c r="KRR160" s="187"/>
      <c r="KRS160" s="187"/>
      <c r="KRT160" s="187"/>
      <c r="KRU160" s="187"/>
      <c r="KRV160" s="187"/>
      <c r="KRW160" s="187"/>
      <c r="KRX160" s="187"/>
      <c r="KRY160" s="187"/>
      <c r="KRZ160" s="187"/>
      <c r="KSA160" s="187"/>
      <c r="KSB160" s="187"/>
      <c r="KSC160" s="187"/>
      <c r="KSD160" s="187"/>
      <c r="KSE160" s="187"/>
      <c r="KSF160" s="187"/>
      <c r="KSG160" s="187"/>
      <c r="KSH160" s="187"/>
      <c r="KSI160" s="187"/>
      <c r="KSJ160" s="187"/>
      <c r="KSK160" s="187"/>
      <c r="KSL160" s="187"/>
      <c r="KSM160" s="187"/>
      <c r="KSN160" s="187"/>
      <c r="KSO160" s="187"/>
      <c r="KSP160" s="187"/>
      <c r="KSQ160" s="187"/>
      <c r="KSR160" s="187"/>
      <c r="KSS160" s="187"/>
      <c r="KST160" s="187"/>
      <c r="KSU160" s="187"/>
      <c r="KSV160" s="187"/>
      <c r="KSW160" s="187"/>
      <c r="KSX160" s="187"/>
      <c r="KSY160" s="187"/>
      <c r="KSZ160" s="187"/>
      <c r="KTA160" s="187"/>
      <c r="KTB160" s="187"/>
      <c r="KTC160" s="187"/>
      <c r="KTD160" s="187"/>
      <c r="KTE160" s="187"/>
      <c r="KTF160" s="187"/>
      <c r="KTG160" s="187"/>
      <c r="KTH160" s="187"/>
      <c r="KTI160" s="187"/>
      <c r="KTJ160" s="187"/>
      <c r="KTK160" s="187"/>
      <c r="KTL160" s="187"/>
      <c r="KTM160" s="187"/>
      <c r="KTN160" s="187"/>
      <c r="KTO160" s="187"/>
      <c r="KTP160" s="187"/>
      <c r="KTQ160" s="187"/>
      <c r="KTR160" s="187"/>
      <c r="KTS160" s="187"/>
      <c r="KTT160" s="187"/>
      <c r="KTU160" s="187"/>
      <c r="KTV160" s="187"/>
      <c r="KTW160" s="187"/>
      <c r="KTX160" s="187"/>
      <c r="KTY160" s="187"/>
      <c r="KTZ160" s="187"/>
      <c r="KUA160" s="187"/>
      <c r="KUB160" s="187"/>
      <c r="KUC160" s="187"/>
      <c r="KUD160" s="187"/>
      <c r="KUE160" s="187"/>
      <c r="KUF160" s="187"/>
      <c r="KUG160" s="187"/>
      <c r="KUH160" s="187"/>
      <c r="KUI160" s="187"/>
      <c r="KUJ160" s="187"/>
      <c r="KUK160" s="187"/>
      <c r="KUL160" s="187"/>
      <c r="KUM160" s="187"/>
      <c r="KUN160" s="187"/>
      <c r="KUO160" s="187"/>
      <c r="KUP160" s="187"/>
      <c r="KUQ160" s="187"/>
      <c r="KUR160" s="187"/>
      <c r="KUS160" s="187"/>
      <c r="KUT160" s="187"/>
      <c r="KUU160" s="187"/>
      <c r="KUV160" s="187"/>
      <c r="KUW160" s="187"/>
      <c r="KUX160" s="187"/>
      <c r="KUY160" s="187"/>
      <c r="KUZ160" s="187"/>
      <c r="KVA160" s="187"/>
      <c r="KVB160" s="187"/>
      <c r="KVC160" s="187"/>
      <c r="KVD160" s="187"/>
      <c r="KVE160" s="187"/>
      <c r="KVF160" s="187"/>
      <c r="KVG160" s="187"/>
      <c r="KVH160" s="187"/>
      <c r="KVI160" s="187"/>
      <c r="KVJ160" s="187"/>
      <c r="KVK160" s="187"/>
      <c r="KVL160" s="187"/>
      <c r="KVM160" s="187"/>
      <c r="KVN160" s="187"/>
      <c r="KVO160" s="187"/>
      <c r="KVP160" s="187"/>
      <c r="KVQ160" s="187"/>
      <c r="KVR160" s="187"/>
      <c r="KVS160" s="187"/>
      <c r="KVT160" s="187"/>
      <c r="KVU160" s="187"/>
      <c r="KVV160" s="187"/>
      <c r="KVW160" s="187"/>
      <c r="KVX160" s="187"/>
      <c r="KVY160" s="187"/>
      <c r="KVZ160" s="187"/>
      <c r="KWA160" s="187"/>
      <c r="KWB160" s="187"/>
      <c r="KWC160" s="187"/>
      <c r="KWD160" s="187"/>
      <c r="KWE160" s="187"/>
      <c r="KWF160" s="187"/>
      <c r="KWG160" s="187"/>
      <c r="KWH160" s="187"/>
      <c r="KWI160" s="187"/>
      <c r="KWJ160" s="187"/>
      <c r="KWK160" s="187"/>
      <c r="KWL160" s="187"/>
      <c r="KWM160" s="187"/>
      <c r="KWN160" s="187"/>
      <c r="KWO160" s="187"/>
      <c r="KWP160" s="187"/>
      <c r="KWQ160" s="187"/>
      <c r="KWR160" s="187"/>
      <c r="KWS160" s="187"/>
      <c r="KWT160" s="187"/>
      <c r="KWU160" s="187"/>
      <c r="KWV160" s="187"/>
      <c r="KWW160" s="187"/>
      <c r="KWX160" s="187"/>
      <c r="KWY160" s="187"/>
      <c r="KWZ160" s="187"/>
      <c r="KXA160" s="187"/>
      <c r="KXB160" s="187"/>
      <c r="KXC160" s="187"/>
      <c r="KXD160" s="187"/>
      <c r="KXE160" s="187"/>
      <c r="KXF160" s="187"/>
      <c r="KXG160" s="187"/>
      <c r="KXH160" s="187"/>
      <c r="KXI160" s="187"/>
      <c r="KXJ160" s="187"/>
      <c r="KXK160" s="187"/>
      <c r="KXL160" s="187"/>
      <c r="KXM160" s="187"/>
      <c r="KXN160" s="187"/>
      <c r="KXO160" s="187"/>
      <c r="KXP160" s="187"/>
      <c r="KXQ160" s="187"/>
      <c r="KXR160" s="187"/>
      <c r="KXS160" s="187"/>
      <c r="KXT160" s="187"/>
      <c r="KXU160" s="187"/>
      <c r="KXV160" s="187"/>
      <c r="KXW160" s="187"/>
      <c r="KXX160" s="187"/>
      <c r="KXY160" s="187"/>
      <c r="KXZ160" s="187"/>
      <c r="KYA160" s="187"/>
      <c r="KYB160" s="187"/>
      <c r="KYC160" s="187"/>
      <c r="KYD160" s="187"/>
      <c r="KYE160" s="187"/>
      <c r="KYF160" s="187"/>
      <c r="KYG160" s="187"/>
      <c r="KYH160" s="187"/>
      <c r="KYI160" s="187"/>
      <c r="KYJ160" s="187"/>
      <c r="KYK160" s="187"/>
      <c r="KYL160" s="187"/>
      <c r="KYM160" s="187"/>
      <c r="KYN160" s="187"/>
      <c r="KYO160" s="187"/>
      <c r="KYP160" s="187"/>
      <c r="KYQ160" s="187"/>
      <c r="KYR160" s="187"/>
      <c r="KYS160" s="187"/>
      <c r="KYT160" s="187"/>
      <c r="KYU160" s="187"/>
      <c r="KYV160" s="187"/>
      <c r="KYW160" s="187"/>
      <c r="KYX160" s="187"/>
      <c r="KYY160" s="187"/>
      <c r="KYZ160" s="187"/>
      <c r="KZA160" s="187"/>
      <c r="KZB160" s="187"/>
      <c r="KZC160" s="187"/>
      <c r="KZD160" s="187"/>
      <c r="KZE160" s="187"/>
      <c r="KZF160" s="187"/>
      <c r="KZG160" s="187"/>
      <c r="KZH160" s="187"/>
      <c r="KZI160" s="187"/>
      <c r="KZJ160" s="187"/>
      <c r="KZK160" s="187"/>
      <c r="KZL160" s="187"/>
      <c r="KZM160" s="187"/>
      <c r="KZN160" s="187"/>
      <c r="KZO160" s="187"/>
      <c r="KZP160" s="187"/>
      <c r="KZQ160" s="187"/>
      <c r="KZR160" s="187"/>
      <c r="KZS160" s="187"/>
      <c r="KZT160" s="187"/>
      <c r="KZU160" s="187"/>
      <c r="KZV160" s="187"/>
      <c r="KZW160" s="187"/>
      <c r="KZX160" s="187"/>
      <c r="KZY160" s="187"/>
      <c r="KZZ160" s="187"/>
      <c r="LAA160" s="187"/>
      <c r="LAB160" s="187"/>
      <c r="LAC160" s="187"/>
      <c r="LAD160" s="187"/>
      <c r="LAE160" s="187"/>
      <c r="LAF160" s="187"/>
      <c r="LAG160" s="187"/>
      <c r="LAH160" s="187"/>
      <c r="LAI160" s="187"/>
      <c r="LAJ160" s="187"/>
      <c r="LAK160" s="187"/>
      <c r="LAL160" s="187"/>
      <c r="LAM160" s="187"/>
      <c r="LAN160" s="187"/>
      <c r="LAO160" s="187"/>
      <c r="LAP160" s="187"/>
      <c r="LAQ160" s="187"/>
      <c r="LAR160" s="187"/>
      <c r="LAS160" s="187"/>
      <c r="LAT160" s="187"/>
      <c r="LAU160" s="187"/>
      <c r="LAV160" s="187"/>
      <c r="LAW160" s="187"/>
      <c r="LAX160" s="187"/>
      <c r="LAY160" s="187"/>
      <c r="LAZ160" s="187"/>
      <c r="LBA160" s="187"/>
      <c r="LBB160" s="187"/>
      <c r="LBC160" s="187"/>
      <c r="LBD160" s="187"/>
      <c r="LBE160" s="187"/>
      <c r="LBF160" s="187"/>
      <c r="LBG160" s="187"/>
      <c r="LBH160" s="187"/>
      <c r="LBI160" s="187"/>
      <c r="LBJ160" s="187"/>
      <c r="LBK160" s="187"/>
      <c r="LBL160" s="187"/>
      <c r="LBM160" s="187"/>
      <c r="LBN160" s="187"/>
      <c r="LBO160" s="187"/>
      <c r="LBP160" s="187"/>
      <c r="LBQ160" s="187"/>
      <c r="LBR160" s="187"/>
      <c r="LBS160" s="187"/>
      <c r="LBT160" s="187"/>
      <c r="LBU160" s="187"/>
      <c r="LBV160" s="187"/>
      <c r="LBW160" s="187"/>
      <c r="LBX160" s="187"/>
      <c r="LBY160" s="187"/>
      <c r="LBZ160" s="187"/>
      <c r="LCA160" s="187"/>
      <c r="LCB160" s="187"/>
      <c r="LCC160" s="187"/>
      <c r="LCD160" s="187"/>
      <c r="LCE160" s="187"/>
      <c r="LCF160" s="187"/>
      <c r="LCG160" s="187"/>
      <c r="LCH160" s="187"/>
      <c r="LCI160" s="187"/>
      <c r="LCJ160" s="187"/>
      <c r="LCK160" s="187"/>
      <c r="LCL160" s="187"/>
      <c r="LCM160" s="187"/>
      <c r="LCN160" s="187"/>
      <c r="LCO160" s="187"/>
      <c r="LCP160" s="187"/>
      <c r="LCQ160" s="187"/>
      <c r="LCR160" s="187"/>
      <c r="LCS160" s="187"/>
      <c r="LCT160" s="187"/>
      <c r="LCU160" s="187"/>
      <c r="LCV160" s="187"/>
      <c r="LCW160" s="187"/>
      <c r="LCX160" s="187"/>
      <c r="LCY160" s="187"/>
      <c r="LCZ160" s="187"/>
      <c r="LDA160" s="187"/>
      <c r="LDB160" s="187"/>
      <c r="LDC160" s="187"/>
      <c r="LDD160" s="187"/>
      <c r="LDE160" s="187"/>
      <c r="LDF160" s="187"/>
      <c r="LDG160" s="187"/>
      <c r="LDH160" s="187"/>
      <c r="LDI160" s="187"/>
      <c r="LDJ160" s="187"/>
      <c r="LDK160" s="187"/>
      <c r="LDL160" s="187"/>
      <c r="LDM160" s="187"/>
      <c r="LDN160" s="187"/>
      <c r="LDO160" s="187"/>
      <c r="LDP160" s="187"/>
      <c r="LDQ160" s="187"/>
      <c r="LDR160" s="187"/>
      <c r="LDS160" s="187"/>
      <c r="LDT160" s="187"/>
      <c r="LDU160" s="187"/>
      <c r="LDV160" s="187"/>
      <c r="LDW160" s="187"/>
      <c r="LDX160" s="187"/>
      <c r="LDY160" s="187"/>
      <c r="LDZ160" s="187"/>
      <c r="LEA160" s="187"/>
      <c r="LEB160" s="187"/>
      <c r="LEC160" s="187"/>
      <c r="LED160" s="187"/>
      <c r="LEE160" s="187"/>
      <c r="LEF160" s="187"/>
      <c r="LEG160" s="187"/>
      <c r="LEH160" s="187"/>
      <c r="LEI160" s="187"/>
      <c r="LEJ160" s="187"/>
      <c r="LEK160" s="187"/>
      <c r="LEL160" s="187"/>
      <c r="LEM160" s="187"/>
      <c r="LEN160" s="187"/>
      <c r="LEO160" s="187"/>
      <c r="LEP160" s="187"/>
      <c r="LEQ160" s="187"/>
      <c r="LER160" s="187"/>
      <c r="LES160" s="187"/>
      <c r="LET160" s="187"/>
      <c r="LEU160" s="187"/>
      <c r="LEV160" s="187"/>
      <c r="LEW160" s="187"/>
      <c r="LEX160" s="187"/>
      <c r="LEY160" s="187"/>
      <c r="LEZ160" s="187"/>
      <c r="LFA160" s="187"/>
      <c r="LFB160" s="187"/>
      <c r="LFC160" s="187"/>
      <c r="LFD160" s="187"/>
      <c r="LFE160" s="187"/>
      <c r="LFF160" s="187"/>
      <c r="LFG160" s="187"/>
      <c r="LFH160" s="187"/>
      <c r="LFI160" s="187"/>
      <c r="LFJ160" s="187"/>
      <c r="LFK160" s="187"/>
      <c r="LFL160" s="187"/>
      <c r="LFM160" s="187"/>
      <c r="LFN160" s="187"/>
      <c r="LFO160" s="187"/>
      <c r="LFP160" s="187"/>
      <c r="LFQ160" s="187"/>
      <c r="LFR160" s="187"/>
      <c r="LFS160" s="187"/>
      <c r="LFT160" s="187"/>
      <c r="LFU160" s="187"/>
      <c r="LFV160" s="187"/>
      <c r="LFW160" s="187"/>
      <c r="LFX160" s="187"/>
      <c r="LFY160" s="187"/>
      <c r="LFZ160" s="187"/>
      <c r="LGA160" s="187"/>
      <c r="LGB160" s="187"/>
      <c r="LGC160" s="187"/>
      <c r="LGD160" s="187"/>
      <c r="LGE160" s="187"/>
      <c r="LGF160" s="187"/>
      <c r="LGG160" s="187"/>
      <c r="LGH160" s="187"/>
      <c r="LGI160" s="187"/>
      <c r="LGJ160" s="187"/>
      <c r="LGK160" s="187"/>
      <c r="LGL160" s="187"/>
      <c r="LGM160" s="187"/>
      <c r="LGN160" s="187"/>
      <c r="LGO160" s="187"/>
      <c r="LGP160" s="187"/>
      <c r="LGQ160" s="187"/>
      <c r="LGR160" s="187"/>
      <c r="LGS160" s="187"/>
      <c r="LGT160" s="187"/>
      <c r="LGU160" s="187"/>
      <c r="LGV160" s="187"/>
      <c r="LGW160" s="187"/>
      <c r="LGX160" s="187"/>
      <c r="LGY160" s="187"/>
      <c r="LGZ160" s="187"/>
      <c r="LHA160" s="187"/>
      <c r="LHB160" s="187"/>
      <c r="LHC160" s="187"/>
      <c r="LHD160" s="187"/>
      <c r="LHE160" s="187"/>
      <c r="LHF160" s="187"/>
      <c r="LHG160" s="187"/>
      <c r="LHH160" s="187"/>
      <c r="LHI160" s="187"/>
      <c r="LHJ160" s="187"/>
      <c r="LHK160" s="187"/>
      <c r="LHL160" s="187"/>
      <c r="LHM160" s="187"/>
      <c r="LHN160" s="187"/>
      <c r="LHO160" s="187"/>
      <c r="LHP160" s="187"/>
      <c r="LHQ160" s="187"/>
      <c r="LHR160" s="187"/>
      <c r="LHS160" s="187"/>
      <c r="LHT160" s="187"/>
      <c r="LHU160" s="187"/>
      <c r="LHV160" s="187"/>
      <c r="LHW160" s="187"/>
      <c r="LHX160" s="187"/>
      <c r="LHY160" s="187"/>
      <c r="LHZ160" s="187"/>
      <c r="LIA160" s="187"/>
      <c r="LIB160" s="187"/>
      <c r="LIC160" s="187"/>
      <c r="LID160" s="187"/>
      <c r="LIE160" s="187"/>
      <c r="LIF160" s="187"/>
      <c r="LIG160" s="187"/>
      <c r="LIH160" s="187"/>
      <c r="LII160" s="187"/>
      <c r="LIJ160" s="187"/>
      <c r="LIK160" s="187"/>
      <c r="LIL160" s="187"/>
      <c r="LIM160" s="187"/>
      <c r="LIN160" s="187"/>
      <c r="LIO160" s="187"/>
      <c r="LIP160" s="187"/>
      <c r="LIQ160" s="187"/>
      <c r="LIR160" s="187"/>
      <c r="LIS160" s="187"/>
      <c r="LIT160" s="187"/>
      <c r="LIU160" s="187"/>
      <c r="LIV160" s="187"/>
      <c r="LIW160" s="187"/>
      <c r="LIX160" s="187"/>
      <c r="LIY160" s="187"/>
      <c r="LIZ160" s="187"/>
      <c r="LJA160" s="187"/>
      <c r="LJB160" s="187"/>
      <c r="LJC160" s="187"/>
      <c r="LJD160" s="187"/>
      <c r="LJE160" s="187"/>
      <c r="LJF160" s="187"/>
      <c r="LJG160" s="187"/>
      <c r="LJH160" s="187"/>
      <c r="LJI160" s="187"/>
      <c r="LJJ160" s="187"/>
      <c r="LJK160" s="187"/>
      <c r="LJL160" s="187"/>
      <c r="LJM160" s="187"/>
      <c r="LJN160" s="187"/>
      <c r="LJO160" s="187"/>
      <c r="LJP160" s="187"/>
      <c r="LJQ160" s="187"/>
      <c r="LJR160" s="187"/>
      <c r="LJS160" s="187"/>
      <c r="LJT160" s="187"/>
      <c r="LJU160" s="187"/>
      <c r="LJV160" s="187"/>
      <c r="LJW160" s="187"/>
      <c r="LJX160" s="187"/>
      <c r="LJY160" s="187"/>
      <c r="LJZ160" s="187"/>
      <c r="LKA160" s="187"/>
      <c r="LKB160" s="187"/>
      <c r="LKC160" s="187"/>
      <c r="LKD160" s="187"/>
      <c r="LKE160" s="187"/>
      <c r="LKF160" s="187"/>
      <c r="LKG160" s="187"/>
      <c r="LKH160" s="187"/>
      <c r="LKI160" s="187"/>
      <c r="LKJ160" s="187"/>
      <c r="LKK160" s="187"/>
      <c r="LKL160" s="187"/>
      <c r="LKM160" s="187"/>
      <c r="LKN160" s="187"/>
      <c r="LKO160" s="187"/>
      <c r="LKP160" s="187"/>
      <c r="LKQ160" s="187"/>
      <c r="LKR160" s="187"/>
      <c r="LKS160" s="187"/>
      <c r="LKT160" s="187"/>
      <c r="LKU160" s="187"/>
      <c r="LKV160" s="187"/>
      <c r="LKW160" s="187"/>
      <c r="LKX160" s="187"/>
      <c r="LKY160" s="187"/>
      <c r="LKZ160" s="187"/>
      <c r="LLA160" s="187"/>
      <c r="LLB160" s="187"/>
      <c r="LLC160" s="187"/>
      <c r="LLD160" s="187"/>
      <c r="LLE160" s="187"/>
      <c r="LLF160" s="187"/>
      <c r="LLG160" s="187"/>
      <c r="LLH160" s="187"/>
      <c r="LLI160" s="187"/>
      <c r="LLJ160" s="187"/>
      <c r="LLK160" s="187"/>
      <c r="LLL160" s="187"/>
      <c r="LLM160" s="187"/>
      <c r="LLN160" s="187"/>
      <c r="LLO160" s="187"/>
      <c r="LLP160" s="187"/>
      <c r="LLQ160" s="187"/>
      <c r="LLR160" s="187"/>
      <c r="LLS160" s="187"/>
      <c r="LLT160" s="187"/>
      <c r="LLU160" s="187"/>
      <c r="LLV160" s="187"/>
      <c r="LLW160" s="187"/>
      <c r="LLX160" s="187"/>
      <c r="LLY160" s="187"/>
      <c r="LLZ160" s="187"/>
      <c r="LMA160" s="187"/>
      <c r="LMB160" s="187"/>
      <c r="LMC160" s="187"/>
      <c r="LMD160" s="187"/>
      <c r="LME160" s="187"/>
      <c r="LMF160" s="187"/>
      <c r="LMG160" s="187"/>
      <c r="LMH160" s="187"/>
      <c r="LMI160" s="187"/>
      <c r="LMJ160" s="187"/>
      <c r="LMK160" s="187"/>
      <c r="LML160" s="187"/>
      <c r="LMM160" s="187"/>
      <c r="LMN160" s="187"/>
      <c r="LMO160" s="187"/>
      <c r="LMP160" s="187"/>
      <c r="LMQ160" s="187"/>
      <c r="LMR160" s="187"/>
      <c r="LMS160" s="187"/>
      <c r="LMT160" s="187"/>
      <c r="LMU160" s="187"/>
      <c r="LMV160" s="187"/>
      <c r="LMW160" s="187"/>
      <c r="LMX160" s="187"/>
      <c r="LMY160" s="187"/>
      <c r="LMZ160" s="187"/>
      <c r="LNA160" s="187"/>
      <c r="LNB160" s="187"/>
      <c r="LNC160" s="187"/>
      <c r="LND160" s="187"/>
      <c r="LNE160" s="187"/>
      <c r="LNF160" s="187"/>
      <c r="LNG160" s="187"/>
      <c r="LNH160" s="187"/>
      <c r="LNI160" s="187"/>
      <c r="LNJ160" s="187"/>
      <c r="LNK160" s="187"/>
      <c r="LNL160" s="187"/>
      <c r="LNM160" s="187"/>
      <c r="LNN160" s="187"/>
      <c r="LNO160" s="187"/>
      <c r="LNP160" s="187"/>
      <c r="LNQ160" s="187"/>
      <c r="LNR160" s="187"/>
      <c r="LNS160" s="187"/>
      <c r="LNT160" s="187"/>
      <c r="LNU160" s="187"/>
      <c r="LNV160" s="187"/>
      <c r="LNW160" s="187"/>
      <c r="LNX160" s="187"/>
      <c r="LNY160" s="187"/>
      <c r="LNZ160" s="187"/>
      <c r="LOA160" s="187"/>
      <c r="LOB160" s="187"/>
      <c r="LOC160" s="187"/>
      <c r="LOD160" s="187"/>
      <c r="LOE160" s="187"/>
      <c r="LOF160" s="187"/>
      <c r="LOG160" s="187"/>
      <c r="LOH160" s="187"/>
      <c r="LOI160" s="187"/>
      <c r="LOJ160" s="187"/>
      <c r="LOK160" s="187"/>
      <c r="LOL160" s="187"/>
      <c r="LOM160" s="187"/>
      <c r="LON160" s="187"/>
      <c r="LOO160" s="187"/>
      <c r="LOP160" s="187"/>
      <c r="LOQ160" s="187"/>
      <c r="LOR160" s="187"/>
      <c r="LOS160" s="187"/>
      <c r="LOT160" s="187"/>
      <c r="LOU160" s="187"/>
      <c r="LOV160" s="187"/>
      <c r="LOW160" s="187"/>
      <c r="LOX160" s="187"/>
      <c r="LOY160" s="187"/>
      <c r="LOZ160" s="187"/>
      <c r="LPA160" s="187"/>
      <c r="LPB160" s="187"/>
      <c r="LPC160" s="187"/>
      <c r="LPD160" s="187"/>
      <c r="LPE160" s="187"/>
      <c r="LPF160" s="187"/>
      <c r="LPG160" s="187"/>
      <c r="LPH160" s="187"/>
      <c r="LPI160" s="187"/>
      <c r="LPJ160" s="187"/>
      <c r="LPK160" s="187"/>
      <c r="LPL160" s="187"/>
      <c r="LPM160" s="187"/>
      <c r="LPN160" s="187"/>
      <c r="LPO160" s="187"/>
      <c r="LPP160" s="187"/>
      <c r="LPQ160" s="187"/>
      <c r="LPR160" s="187"/>
      <c r="LPS160" s="187"/>
      <c r="LPT160" s="187"/>
      <c r="LPU160" s="187"/>
      <c r="LPV160" s="187"/>
      <c r="LPW160" s="187"/>
      <c r="LPX160" s="187"/>
      <c r="LPY160" s="187"/>
      <c r="LPZ160" s="187"/>
      <c r="LQA160" s="187"/>
      <c r="LQB160" s="187"/>
      <c r="LQC160" s="187"/>
      <c r="LQD160" s="187"/>
      <c r="LQE160" s="187"/>
      <c r="LQF160" s="187"/>
      <c r="LQG160" s="187"/>
      <c r="LQH160" s="187"/>
      <c r="LQI160" s="187"/>
      <c r="LQJ160" s="187"/>
      <c r="LQK160" s="187"/>
      <c r="LQL160" s="187"/>
      <c r="LQM160" s="187"/>
      <c r="LQN160" s="187"/>
      <c r="LQO160" s="187"/>
      <c r="LQP160" s="187"/>
      <c r="LQQ160" s="187"/>
      <c r="LQR160" s="187"/>
      <c r="LQS160" s="187"/>
      <c r="LQT160" s="187"/>
      <c r="LQU160" s="187"/>
      <c r="LQV160" s="187"/>
      <c r="LQW160" s="187"/>
      <c r="LQX160" s="187"/>
      <c r="LQY160" s="187"/>
      <c r="LQZ160" s="187"/>
      <c r="LRA160" s="187"/>
      <c r="LRB160" s="187"/>
      <c r="LRC160" s="187"/>
      <c r="LRD160" s="187"/>
      <c r="LRE160" s="187"/>
      <c r="LRF160" s="187"/>
      <c r="LRG160" s="187"/>
      <c r="LRH160" s="187"/>
      <c r="LRI160" s="187"/>
      <c r="LRJ160" s="187"/>
      <c r="LRK160" s="187"/>
      <c r="LRL160" s="187"/>
      <c r="LRM160" s="187"/>
      <c r="LRN160" s="187"/>
      <c r="LRO160" s="187"/>
      <c r="LRP160" s="187"/>
      <c r="LRQ160" s="187"/>
      <c r="LRR160" s="187"/>
      <c r="LRS160" s="187"/>
      <c r="LRT160" s="187"/>
      <c r="LRU160" s="187"/>
      <c r="LRV160" s="187"/>
      <c r="LRW160" s="187"/>
      <c r="LRX160" s="187"/>
      <c r="LRY160" s="187"/>
      <c r="LRZ160" s="187"/>
      <c r="LSA160" s="187"/>
      <c r="LSB160" s="187"/>
      <c r="LSC160" s="187"/>
      <c r="LSD160" s="187"/>
      <c r="LSE160" s="187"/>
      <c r="LSF160" s="187"/>
      <c r="LSG160" s="187"/>
      <c r="LSH160" s="187"/>
      <c r="LSI160" s="187"/>
      <c r="LSJ160" s="187"/>
      <c r="LSK160" s="187"/>
      <c r="LSL160" s="187"/>
      <c r="LSM160" s="187"/>
      <c r="LSN160" s="187"/>
      <c r="LSO160" s="187"/>
      <c r="LSP160" s="187"/>
      <c r="LSQ160" s="187"/>
      <c r="LSR160" s="187"/>
      <c r="LSS160" s="187"/>
      <c r="LST160" s="187"/>
      <c r="LSU160" s="187"/>
      <c r="LSV160" s="187"/>
      <c r="LSW160" s="187"/>
      <c r="LSX160" s="187"/>
      <c r="LSY160" s="187"/>
      <c r="LSZ160" s="187"/>
      <c r="LTA160" s="187"/>
      <c r="LTB160" s="187"/>
      <c r="LTC160" s="187"/>
      <c r="LTD160" s="187"/>
      <c r="LTE160" s="187"/>
      <c r="LTF160" s="187"/>
      <c r="LTG160" s="187"/>
      <c r="LTH160" s="187"/>
      <c r="LTI160" s="187"/>
      <c r="LTJ160" s="187"/>
      <c r="LTK160" s="187"/>
      <c r="LTL160" s="187"/>
      <c r="LTM160" s="187"/>
      <c r="LTN160" s="187"/>
      <c r="LTO160" s="187"/>
      <c r="LTP160" s="187"/>
      <c r="LTQ160" s="187"/>
      <c r="LTR160" s="187"/>
      <c r="LTS160" s="187"/>
      <c r="LTT160" s="187"/>
      <c r="LTU160" s="187"/>
      <c r="LTV160" s="187"/>
      <c r="LTW160" s="187"/>
      <c r="LTX160" s="187"/>
      <c r="LTY160" s="187"/>
      <c r="LTZ160" s="187"/>
      <c r="LUA160" s="187"/>
      <c r="LUB160" s="187"/>
      <c r="LUC160" s="187"/>
      <c r="LUD160" s="187"/>
      <c r="LUE160" s="187"/>
      <c r="LUF160" s="187"/>
      <c r="LUG160" s="187"/>
      <c r="LUH160" s="187"/>
      <c r="LUI160" s="187"/>
      <c r="LUJ160" s="187"/>
      <c r="LUK160" s="187"/>
      <c r="LUL160" s="187"/>
      <c r="LUM160" s="187"/>
      <c r="LUN160" s="187"/>
      <c r="LUO160" s="187"/>
      <c r="LUP160" s="187"/>
      <c r="LUQ160" s="187"/>
      <c r="LUR160" s="187"/>
      <c r="LUS160" s="187"/>
      <c r="LUT160" s="187"/>
      <c r="LUU160" s="187"/>
      <c r="LUV160" s="187"/>
      <c r="LUW160" s="187"/>
      <c r="LUX160" s="187"/>
      <c r="LUY160" s="187"/>
      <c r="LUZ160" s="187"/>
      <c r="LVA160" s="187"/>
      <c r="LVB160" s="187"/>
      <c r="LVC160" s="187"/>
      <c r="LVD160" s="187"/>
      <c r="LVE160" s="187"/>
      <c r="LVF160" s="187"/>
      <c r="LVG160" s="187"/>
      <c r="LVH160" s="187"/>
      <c r="LVI160" s="187"/>
      <c r="LVJ160" s="187"/>
      <c r="LVK160" s="187"/>
      <c r="LVL160" s="187"/>
      <c r="LVM160" s="187"/>
      <c r="LVN160" s="187"/>
      <c r="LVO160" s="187"/>
      <c r="LVP160" s="187"/>
      <c r="LVQ160" s="187"/>
      <c r="LVR160" s="187"/>
      <c r="LVS160" s="187"/>
      <c r="LVT160" s="187"/>
      <c r="LVU160" s="187"/>
      <c r="LVV160" s="187"/>
      <c r="LVW160" s="187"/>
      <c r="LVX160" s="187"/>
      <c r="LVY160" s="187"/>
      <c r="LVZ160" s="187"/>
      <c r="LWA160" s="187"/>
      <c r="LWB160" s="187"/>
      <c r="LWC160" s="187"/>
      <c r="LWD160" s="187"/>
      <c r="LWE160" s="187"/>
      <c r="LWF160" s="187"/>
      <c r="LWG160" s="187"/>
      <c r="LWH160" s="187"/>
      <c r="LWI160" s="187"/>
      <c r="LWJ160" s="187"/>
      <c r="LWK160" s="187"/>
      <c r="LWL160" s="187"/>
      <c r="LWM160" s="187"/>
      <c r="LWN160" s="187"/>
      <c r="LWO160" s="187"/>
      <c r="LWP160" s="187"/>
      <c r="LWQ160" s="187"/>
      <c r="LWR160" s="187"/>
      <c r="LWS160" s="187"/>
      <c r="LWT160" s="187"/>
      <c r="LWU160" s="187"/>
      <c r="LWV160" s="187"/>
      <c r="LWW160" s="187"/>
      <c r="LWX160" s="187"/>
      <c r="LWY160" s="187"/>
      <c r="LWZ160" s="187"/>
      <c r="LXA160" s="187"/>
      <c r="LXB160" s="187"/>
      <c r="LXC160" s="187"/>
      <c r="LXD160" s="187"/>
      <c r="LXE160" s="187"/>
      <c r="LXF160" s="187"/>
      <c r="LXG160" s="187"/>
      <c r="LXH160" s="187"/>
      <c r="LXI160" s="187"/>
      <c r="LXJ160" s="187"/>
      <c r="LXK160" s="187"/>
      <c r="LXL160" s="187"/>
      <c r="LXM160" s="187"/>
      <c r="LXN160" s="187"/>
      <c r="LXO160" s="187"/>
      <c r="LXP160" s="187"/>
      <c r="LXQ160" s="187"/>
      <c r="LXR160" s="187"/>
      <c r="LXS160" s="187"/>
      <c r="LXT160" s="187"/>
      <c r="LXU160" s="187"/>
      <c r="LXV160" s="187"/>
      <c r="LXW160" s="187"/>
      <c r="LXX160" s="187"/>
      <c r="LXY160" s="187"/>
      <c r="LXZ160" s="187"/>
      <c r="LYA160" s="187"/>
      <c r="LYB160" s="187"/>
      <c r="LYC160" s="187"/>
      <c r="LYD160" s="187"/>
      <c r="LYE160" s="187"/>
      <c r="LYF160" s="187"/>
      <c r="LYG160" s="187"/>
      <c r="LYH160" s="187"/>
      <c r="LYI160" s="187"/>
      <c r="LYJ160" s="187"/>
      <c r="LYK160" s="187"/>
      <c r="LYL160" s="187"/>
      <c r="LYM160" s="187"/>
      <c r="LYN160" s="187"/>
      <c r="LYO160" s="187"/>
      <c r="LYP160" s="187"/>
      <c r="LYQ160" s="187"/>
      <c r="LYR160" s="187"/>
      <c r="LYS160" s="187"/>
      <c r="LYT160" s="187"/>
      <c r="LYU160" s="187"/>
      <c r="LYV160" s="187"/>
      <c r="LYW160" s="187"/>
      <c r="LYX160" s="187"/>
      <c r="LYY160" s="187"/>
      <c r="LYZ160" s="187"/>
      <c r="LZA160" s="187"/>
      <c r="LZB160" s="187"/>
      <c r="LZC160" s="187"/>
      <c r="LZD160" s="187"/>
      <c r="LZE160" s="187"/>
      <c r="LZF160" s="187"/>
      <c r="LZG160" s="187"/>
      <c r="LZH160" s="187"/>
      <c r="LZI160" s="187"/>
      <c r="LZJ160" s="187"/>
      <c r="LZK160" s="187"/>
      <c r="LZL160" s="187"/>
      <c r="LZM160" s="187"/>
      <c r="LZN160" s="187"/>
      <c r="LZO160" s="187"/>
      <c r="LZP160" s="187"/>
      <c r="LZQ160" s="187"/>
      <c r="LZR160" s="187"/>
      <c r="LZS160" s="187"/>
      <c r="LZT160" s="187"/>
      <c r="LZU160" s="187"/>
      <c r="LZV160" s="187"/>
      <c r="LZW160" s="187"/>
      <c r="LZX160" s="187"/>
      <c r="LZY160" s="187"/>
      <c r="LZZ160" s="187"/>
      <c r="MAA160" s="187"/>
      <c r="MAB160" s="187"/>
      <c r="MAC160" s="187"/>
      <c r="MAD160" s="187"/>
      <c r="MAE160" s="187"/>
      <c r="MAF160" s="187"/>
      <c r="MAG160" s="187"/>
      <c r="MAH160" s="187"/>
      <c r="MAI160" s="187"/>
      <c r="MAJ160" s="187"/>
      <c r="MAK160" s="187"/>
      <c r="MAL160" s="187"/>
      <c r="MAM160" s="187"/>
      <c r="MAN160" s="187"/>
      <c r="MAO160" s="187"/>
      <c r="MAP160" s="187"/>
      <c r="MAQ160" s="187"/>
      <c r="MAR160" s="187"/>
      <c r="MAS160" s="187"/>
      <c r="MAT160" s="187"/>
      <c r="MAU160" s="187"/>
      <c r="MAV160" s="187"/>
      <c r="MAW160" s="187"/>
      <c r="MAX160" s="187"/>
      <c r="MAY160" s="187"/>
      <c r="MAZ160" s="187"/>
      <c r="MBA160" s="187"/>
      <c r="MBB160" s="187"/>
      <c r="MBC160" s="187"/>
      <c r="MBD160" s="187"/>
      <c r="MBE160" s="187"/>
      <c r="MBF160" s="187"/>
      <c r="MBG160" s="187"/>
      <c r="MBH160" s="187"/>
      <c r="MBI160" s="187"/>
      <c r="MBJ160" s="187"/>
      <c r="MBK160" s="187"/>
      <c r="MBL160" s="187"/>
      <c r="MBM160" s="187"/>
      <c r="MBN160" s="187"/>
      <c r="MBO160" s="187"/>
      <c r="MBP160" s="187"/>
      <c r="MBQ160" s="187"/>
      <c r="MBR160" s="187"/>
      <c r="MBS160" s="187"/>
      <c r="MBT160" s="187"/>
      <c r="MBU160" s="187"/>
      <c r="MBV160" s="187"/>
      <c r="MBW160" s="187"/>
      <c r="MBX160" s="187"/>
      <c r="MBY160" s="187"/>
      <c r="MBZ160" s="187"/>
      <c r="MCA160" s="187"/>
      <c r="MCB160" s="187"/>
      <c r="MCC160" s="187"/>
      <c r="MCD160" s="187"/>
      <c r="MCE160" s="187"/>
      <c r="MCF160" s="187"/>
      <c r="MCG160" s="187"/>
      <c r="MCH160" s="187"/>
      <c r="MCI160" s="187"/>
      <c r="MCJ160" s="187"/>
      <c r="MCK160" s="187"/>
      <c r="MCL160" s="187"/>
      <c r="MCM160" s="187"/>
      <c r="MCN160" s="187"/>
      <c r="MCO160" s="187"/>
      <c r="MCP160" s="187"/>
      <c r="MCQ160" s="187"/>
      <c r="MCR160" s="187"/>
      <c r="MCS160" s="187"/>
      <c r="MCT160" s="187"/>
      <c r="MCU160" s="187"/>
      <c r="MCV160" s="187"/>
      <c r="MCW160" s="187"/>
      <c r="MCX160" s="187"/>
      <c r="MCY160" s="187"/>
      <c r="MCZ160" s="187"/>
      <c r="MDA160" s="187"/>
      <c r="MDB160" s="187"/>
      <c r="MDC160" s="187"/>
      <c r="MDD160" s="187"/>
      <c r="MDE160" s="187"/>
      <c r="MDF160" s="187"/>
      <c r="MDG160" s="187"/>
      <c r="MDH160" s="187"/>
      <c r="MDI160" s="187"/>
      <c r="MDJ160" s="187"/>
      <c r="MDK160" s="187"/>
      <c r="MDL160" s="187"/>
      <c r="MDM160" s="187"/>
      <c r="MDN160" s="187"/>
      <c r="MDO160" s="187"/>
      <c r="MDP160" s="187"/>
      <c r="MDQ160" s="187"/>
      <c r="MDR160" s="187"/>
      <c r="MDS160" s="187"/>
      <c r="MDT160" s="187"/>
      <c r="MDU160" s="187"/>
      <c r="MDV160" s="187"/>
      <c r="MDW160" s="187"/>
      <c r="MDX160" s="187"/>
      <c r="MDY160" s="187"/>
      <c r="MDZ160" s="187"/>
      <c r="MEA160" s="187"/>
      <c r="MEB160" s="187"/>
      <c r="MEC160" s="187"/>
      <c r="MED160" s="187"/>
      <c r="MEE160" s="187"/>
      <c r="MEF160" s="187"/>
      <c r="MEG160" s="187"/>
      <c r="MEH160" s="187"/>
      <c r="MEI160" s="187"/>
      <c r="MEJ160" s="187"/>
      <c r="MEK160" s="187"/>
      <c r="MEL160" s="187"/>
      <c r="MEM160" s="187"/>
      <c r="MEN160" s="187"/>
      <c r="MEO160" s="187"/>
      <c r="MEP160" s="187"/>
      <c r="MEQ160" s="187"/>
      <c r="MER160" s="187"/>
      <c r="MES160" s="187"/>
      <c r="MET160" s="187"/>
      <c r="MEU160" s="187"/>
      <c r="MEV160" s="187"/>
      <c r="MEW160" s="187"/>
      <c r="MEX160" s="187"/>
      <c r="MEY160" s="187"/>
      <c r="MEZ160" s="187"/>
      <c r="MFA160" s="187"/>
      <c r="MFB160" s="187"/>
      <c r="MFC160" s="187"/>
      <c r="MFD160" s="187"/>
      <c r="MFE160" s="187"/>
      <c r="MFF160" s="187"/>
      <c r="MFG160" s="187"/>
      <c r="MFH160" s="187"/>
      <c r="MFI160" s="187"/>
      <c r="MFJ160" s="187"/>
      <c r="MFK160" s="187"/>
      <c r="MFL160" s="187"/>
      <c r="MFM160" s="187"/>
      <c r="MFN160" s="187"/>
      <c r="MFO160" s="187"/>
      <c r="MFP160" s="187"/>
      <c r="MFQ160" s="187"/>
      <c r="MFR160" s="187"/>
      <c r="MFS160" s="187"/>
      <c r="MFT160" s="187"/>
      <c r="MFU160" s="187"/>
      <c r="MFV160" s="187"/>
      <c r="MFW160" s="187"/>
      <c r="MFX160" s="187"/>
      <c r="MFY160" s="187"/>
      <c r="MFZ160" s="187"/>
      <c r="MGA160" s="187"/>
      <c r="MGB160" s="187"/>
      <c r="MGC160" s="187"/>
      <c r="MGD160" s="187"/>
      <c r="MGE160" s="187"/>
      <c r="MGF160" s="187"/>
      <c r="MGG160" s="187"/>
      <c r="MGH160" s="187"/>
      <c r="MGI160" s="187"/>
      <c r="MGJ160" s="187"/>
      <c r="MGK160" s="187"/>
      <c r="MGL160" s="187"/>
      <c r="MGM160" s="187"/>
      <c r="MGN160" s="187"/>
      <c r="MGO160" s="187"/>
      <c r="MGP160" s="187"/>
      <c r="MGQ160" s="187"/>
      <c r="MGR160" s="187"/>
      <c r="MGS160" s="187"/>
      <c r="MGT160" s="187"/>
      <c r="MGU160" s="187"/>
      <c r="MGV160" s="187"/>
      <c r="MGW160" s="187"/>
      <c r="MGX160" s="187"/>
      <c r="MGY160" s="187"/>
      <c r="MGZ160" s="187"/>
      <c r="MHA160" s="187"/>
      <c r="MHB160" s="187"/>
      <c r="MHC160" s="187"/>
      <c r="MHD160" s="187"/>
      <c r="MHE160" s="187"/>
      <c r="MHF160" s="187"/>
      <c r="MHG160" s="187"/>
      <c r="MHH160" s="187"/>
      <c r="MHI160" s="187"/>
      <c r="MHJ160" s="187"/>
      <c r="MHK160" s="187"/>
      <c r="MHL160" s="187"/>
      <c r="MHM160" s="187"/>
      <c r="MHN160" s="187"/>
      <c r="MHO160" s="187"/>
      <c r="MHP160" s="187"/>
      <c r="MHQ160" s="187"/>
      <c r="MHR160" s="187"/>
      <c r="MHS160" s="187"/>
      <c r="MHT160" s="187"/>
      <c r="MHU160" s="187"/>
      <c r="MHV160" s="187"/>
      <c r="MHW160" s="187"/>
      <c r="MHX160" s="187"/>
      <c r="MHY160" s="187"/>
      <c r="MHZ160" s="187"/>
      <c r="MIA160" s="187"/>
      <c r="MIB160" s="187"/>
      <c r="MIC160" s="187"/>
      <c r="MID160" s="187"/>
      <c r="MIE160" s="187"/>
      <c r="MIF160" s="187"/>
      <c r="MIG160" s="187"/>
      <c r="MIH160" s="187"/>
      <c r="MII160" s="187"/>
      <c r="MIJ160" s="187"/>
      <c r="MIK160" s="187"/>
      <c r="MIL160" s="187"/>
      <c r="MIM160" s="187"/>
      <c r="MIN160" s="187"/>
      <c r="MIO160" s="187"/>
      <c r="MIP160" s="187"/>
      <c r="MIQ160" s="187"/>
      <c r="MIR160" s="187"/>
      <c r="MIS160" s="187"/>
      <c r="MIT160" s="187"/>
      <c r="MIU160" s="187"/>
      <c r="MIV160" s="187"/>
      <c r="MIW160" s="187"/>
      <c r="MIX160" s="187"/>
      <c r="MIY160" s="187"/>
      <c r="MIZ160" s="187"/>
      <c r="MJA160" s="187"/>
      <c r="MJB160" s="187"/>
      <c r="MJC160" s="187"/>
      <c r="MJD160" s="187"/>
      <c r="MJE160" s="187"/>
      <c r="MJF160" s="187"/>
      <c r="MJG160" s="187"/>
      <c r="MJH160" s="187"/>
      <c r="MJI160" s="187"/>
      <c r="MJJ160" s="187"/>
      <c r="MJK160" s="187"/>
      <c r="MJL160" s="187"/>
      <c r="MJM160" s="187"/>
      <c r="MJN160" s="187"/>
      <c r="MJO160" s="187"/>
      <c r="MJP160" s="187"/>
      <c r="MJQ160" s="187"/>
      <c r="MJR160" s="187"/>
      <c r="MJS160" s="187"/>
      <c r="MJT160" s="187"/>
      <c r="MJU160" s="187"/>
      <c r="MJV160" s="187"/>
      <c r="MJW160" s="187"/>
      <c r="MJX160" s="187"/>
      <c r="MJY160" s="187"/>
      <c r="MJZ160" s="187"/>
      <c r="MKA160" s="187"/>
      <c r="MKB160" s="187"/>
      <c r="MKC160" s="187"/>
      <c r="MKD160" s="187"/>
      <c r="MKE160" s="187"/>
      <c r="MKF160" s="187"/>
      <c r="MKG160" s="187"/>
      <c r="MKH160" s="187"/>
      <c r="MKI160" s="187"/>
      <c r="MKJ160" s="187"/>
      <c r="MKK160" s="187"/>
      <c r="MKL160" s="187"/>
      <c r="MKM160" s="187"/>
      <c r="MKN160" s="187"/>
      <c r="MKO160" s="187"/>
      <c r="MKP160" s="187"/>
      <c r="MKQ160" s="187"/>
      <c r="MKR160" s="187"/>
      <c r="MKS160" s="187"/>
      <c r="MKT160" s="187"/>
      <c r="MKU160" s="187"/>
      <c r="MKV160" s="187"/>
      <c r="MKW160" s="187"/>
      <c r="MKX160" s="187"/>
      <c r="MKY160" s="187"/>
      <c r="MKZ160" s="187"/>
      <c r="MLA160" s="187"/>
      <c r="MLB160" s="187"/>
      <c r="MLC160" s="187"/>
      <c r="MLD160" s="187"/>
      <c r="MLE160" s="187"/>
      <c r="MLF160" s="187"/>
      <c r="MLG160" s="187"/>
      <c r="MLH160" s="187"/>
      <c r="MLI160" s="187"/>
      <c r="MLJ160" s="187"/>
      <c r="MLK160" s="187"/>
      <c r="MLL160" s="187"/>
      <c r="MLM160" s="187"/>
      <c r="MLN160" s="187"/>
      <c r="MLO160" s="187"/>
      <c r="MLP160" s="187"/>
      <c r="MLQ160" s="187"/>
      <c r="MLR160" s="187"/>
      <c r="MLS160" s="187"/>
      <c r="MLT160" s="187"/>
      <c r="MLU160" s="187"/>
      <c r="MLV160" s="187"/>
      <c r="MLW160" s="187"/>
      <c r="MLX160" s="187"/>
      <c r="MLY160" s="187"/>
      <c r="MLZ160" s="187"/>
      <c r="MMA160" s="187"/>
      <c r="MMB160" s="187"/>
      <c r="MMC160" s="187"/>
      <c r="MMD160" s="187"/>
      <c r="MME160" s="187"/>
      <c r="MMF160" s="187"/>
      <c r="MMG160" s="187"/>
      <c r="MMH160" s="187"/>
      <c r="MMI160" s="187"/>
      <c r="MMJ160" s="187"/>
      <c r="MMK160" s="187"/>
      <c r="MML160" s="187"/>
      <c r="MMM160" s="187"/>
      <c r="MMN160" s="187"/>
      <c r="MMO160" s="187"/>
      <c r="MMP160" s="187"/>
      <c r="MMQ160" s="187"/>
      <c r="MMR160" s="187"/>
      <c r="MMS160" s="187"/>
      <c r="MMT160" s="187"/>
      <c r="MMU160" s="187"/>
      <c r="MMV160" s="187"/>
      <c r="MMW160" s="187"/>
      <c r="MMX160" s="187"/>
      <c r="MMY160" s="187"/>
      <c r="MMZ160" s="187"/>
      <c r="MNA160" s="187"/>
      <c r="MNB160" s="187"/>
      <c r="MNC160" s="187"/>
      <c r="MND160" s="187"/>
      <c r="MNE160" s="187"/>
      <c r="MNF160" s="187"/>
      <c r="MNG160" s="187"/>
      <c r="MNH160" s="187"/>
      <c r="MNI160" s="187"/>
      <c r="MNJ160" s="187"/>
      <c r="MNK160" s="187"/>
      <c r="MNL160" s="187"/>
      <c r="MNM160" s="187"/>
      <c r="MNN160" s="187"/>
      <c r="MNO160" s="187"/>
      <c r="MNP160" s="187"/>
      <c r="MNQ160" s="187"/>
      <c r="MNR160" s="187"/>
      <c r="MNS160" s="187"/>
      <c r="MNT160" s="187"/>
      <c r="MNU160" s="187"/>
      <c r="MNV160" s="187"/>
      <c r="MNW160" s="187"/>
      <c r="MNX160" s="187"/>
      <c r="MNY160" s="187"/>
      <c r="MNZ160" s="187"/>
      <c r="MOA160" s="187"/>
      <c r="MOB160" s="187"/>
      <c r="MOC160" s="187"/>
      <c r="MOD160" s="187"/>
      <c r="MOE160" s="187"/>
      <c r="MOF160" s="187"/>
      <c r="MOG160" s="187"/>
      <c r="MOH160" s="187"/>
      <c r="MOI160" s="187"/>
      <c r="MOJ160" s="187"/>
      <c r="MOK160" s="187"/>
      <c r="MOL160" s="187"/>
      <c r="MOM160" s="187"/>
      <c r="MON160" s="187"/>
      <c r="MOO160" s="187"/>
      <c r="MOP160" s="187"/>
      <c r="MOQ160" s="187"/>
      <c r="MOR160" s="187"/>
      <c r="MOS160" s="187"/>
      <c r="MOT160" s="187"/>
      <c r="MOU160" s="187"/>
      <c r="MOV160" s="187"/>
      <c r="MOW160" s="187"/>
      <c r="MOX160" s="187"/>
      <c r="MOY160" s="187"/>
      <c r="MOZ160" s="187"/>
      <c r="MPA160" s="187"/>
      <c r="MPB160" s="187"/>
      <c r="MPC160" s="187"/>
      <c r="MPD160" s="187"/>
      <c r="MPE160" s="187"/>
      <c r="MPF160" s="187"/>
      <c r="MPG160" s="187"/>
      <c r="MPH160" s="187"/>
      <c r="MPI160" s="187"/>
      <c r="MPJ160" s="187"/>
      <c r="MPK160" s="187"/>
      <c r="MPL160" s="187"/>
      <c r="MPM160" s="187"/>
      <c r="MPN160" s="187"/>
      <c r="MPO160" s="187"/>
      <c r="MPP160" s="187"/>
      <c r="MPQ160" s="187"/>
      <c r="MPR160" s="187"/>
      <c r="MPS160" s="187"/>
      <c r="MPT160" s="187"/>
      <c r="MPU160" s="187"/>
      <c r="MPV160" s="187"/>
      <c r="MPW160" s="187"/>
      <c r="MPX160" s="187"/>
      <c r="MPY160" s="187"/>
      <c r="MPZ160" s="187"/>
      <c r="MQA160" s="187"/>
      <c r="MQB160" s="187"/>
      <c r="MQC160" s="187"/>
      <c r="MQD160" s="187"/>
      <c r="MQE160" s="187"/>
      <c r="MQF160" s="187"/>
      <c r="MQG160" s="187"/>
      <c r="MQH160" s="187"/>
      <c r="MQI160" s="187"/>
      <c r="MQJ160" s="187"/>
      <c r="MQK160" s="187"/>
      <c r="MQL160" s="187"/>
      <c r="MQM160" s="187"/>
      <c r="MQN160" s="187"/>
      <c r="MQO160" s="187"/>
      <c r="MQP160" s="187"/>
      <c r="MQQ160" s="187"/>
      <c r="MQR160" s="187"/>
      <c r="MQS160" s="187"/>
      <c r="MQT160" s="187"/>
      <c r="MQU160" s="187"/>
      <c r="MQV160" s="187"/>
      <c r="MQW160" s="187"/>
      <c r="MQX160" s="187"/>
      <c r="MQY160" s="187"/>
      <c r="MQZ160" s="187"/>
      <c r="MRA160" s="187"/>
      <c r="MRB160" s="187"/>
      <c r="MRC160" s="187"/>
      <c r="MRD160" s="187"/>
      <c r="MRE160" s="187"/>
      <c r="MRF160" s="187"/>
      <c r="MRG160" s="187"/>
      <c r="MRH160" s="187"/>
      <c r="MRI160" s="187"/>
      <c r="MRJ160" s="187"/>
      <c r="MRK160" s="187"/>
      <c r="MRL160" s="187"/>
      <c r="MRM160" s="187"/>
      <c r="MRN160" s="187"/>
      <c r="MRO160" s="187"/>
      <c r="MRP160" s="187"/>
      <c r="MRQ160" s="187"/>
      <c r="MRR160" s="187"/>
      <c r="MRS160" s="187"/>
      <c r="MRT160" s="187"/>
      <c r="MRU160" s="187"/>
      <c r="MRV160" s="187"/>
      <c r="MRW160" s="187"/>
      <c r="MRX160" s="187"/>
      <c r="MRY160" s="187"/>
      <c r="MRZ160" s="187"/>
      <c r="MSA160" s="187"/>
      <c r="MSB160" s="187"/>
      <c r="MSC160" s="187"/>
      <c r="MSD160" s="187"/>
      <c r="MSE160" s="187"/>
      <c r="MSF160" s="187"/>
      <c r="MSG160" s="187"/>
      <c r="MSH160" s="187"/>
      <c r="MSI160" s="187"/>
      <c r="MSJ160" s="187"/>
      <c r="MSK160" s="187"/>
      <c r="MSL160" s="187"/>
      <c r="MSM160" s="187"/>
      <c r="MSN160" s="187"/>
      <c r="MSO160" s="187"/>
      <c r="MSP160" s="187"/>
      <c r="MSQ160" s="187"/>
      <c r="MSR160" s="187"/>
      <c r="MSS160" s="187"/>
      <c r="MST160" s="187"/>
      <c r="MSU160" s="187"/>
      <c r="MSV160" s="187"/>
      <c r="MSW160" s="187"/>
      <c r="MSX160" s="187"/>
      <c r="MSY160" s="187"/>
      <c r="MSZ160" s="187"/>
      <c r="MTA160" s="187"/>
      <c r="MTB160" s="187"/>
      <c r="MTC160" s="187"/>
      <c r="MTD160" s="187"/>
      <c r="MTE160" s="187"/>
      <c r="MTF160" s="187"/>
      <c r="MTG160" s="187"/>
      <c r="MTH160" s="187"/>
      <c r="MTI160" s="187"/>
      <c r="MTJ160" s="187"/>
      <c r="MTK160" s="187"/>
      <c r="MTL160" s="187"/>
      <c r="MTM160" s="187"/>
      <c r="MTN160" s="187"/>
      <c r="MTO160" s="187"/>
      <c r="MTP160" s="187"/>
      <c r="MTQ160" s="187"/>
      <c r="MTR160" s="187"/>
      <c r="MTS160" s="187"/>
      <c r="MTT160" s="187"/>
      <c r="MTU160" s="187"/>
      <c r="MTV160" s="187"/>
      <c r="MTW160" s="187"/>
      <c r="MTX160" s="187"/>
      <c r="MTY160" s="187"/>
      <c r="MTZ160" s="187"/>
      <c r="MUA160" s="187"/>
      <c r="MUB160" s="187"/>
      <c r="MUC160" s="187"/>
      <c r="MUD160" s="187"/>
      <c r="MUE160" s="187"/>
      <c r="MUF160" s="187"/>
      <c r="MUG160" s="187"/>
      <c r="MUH160" s="187"/>
      <c r="MUI160" s="187"/>
      <c r="MUJ160" s="187"/>
      <c r="MUK160" s="187"/>
      <c r="MUL160" s="187"/>
      <c r="MUM160" s="187"/>
      <c r="MUN160" s="187"/>
      <c r="MUO160" s="187"/>
      <c r="MUP160" s="187"/>
      <c r="MUQ160" s="187"/>
      <c r="MUR160" s="187"/>
      <c r="MUS160" s="187"/>
      <c r="MUT160" s="187"/>
      <c r="MUU160" s="187"/>
      <c r="MUV160" s="187"/>
      <c r="MUW160" s="187"/>
      <c r="MUX160" s="187"/>
      <c r="MUY160" s="187"/>
      <c r="MUZ160" s="187"/>
      <c r="MVA160" s="187"/>
      <c r="MVB160" s="187"/>
      <c r="MVC160" s="187"/>
      <c r="MVD160" s="187"/>
      <c r="MVE160" s="187"/>
      <c r="MVF160" s="187"/>
      <c r="MVG160" s="187"/>
      <c r="MVH160" s="187"/>
      <c r="MVI160" s="187"/>
      <c r="MVJ160" s="187"/>
      <c r="MVK160" s="187"/>
      <c r="MVL160" s="187"/>
      <c r="MVM160" s="187"/>
      <c r="MVN160" s="187"/>
      <c r="MVO160" s="187"/>
      <c r="MVP160" s="187"/>
      <c r="MVQ160" s="187"/>
      <c r="MVR160" s="187"/>
      <c r="MVS160" s="187"/>
      <c r="MVT160" s="187"/>
      <c r="MVU160" s="187"/>
      <c r="MVV160" s="187"/>
      <c r="MVW160" s="187"/>
      <c r="MVX160" s="187"/>
      <c r="MVY160" s="187"/>
      <c r="MVZ160" s="187"/>
      <c r="MWA160" s="187"/>
      <c r="MWB160" s="187"/>
      <c r="MWC160" s="187"/>
      <c r="MWD160" s="187"/>
      <c r="MWE160" s="187"/>
      <c r="MWF160" s="187"/>
      <c r="MWG160" s="187"/>
      <c r="MWH160" s="187"/>
      <c r="MWI160" s="187"/>
      <c r="MWJ160" s="187"/>
      <c r="MWK160" s="187"/>
      <c r="MWL160" s="187"/>
      <c r="MWM160" s="187"/>
      <c r="MWN160" s="187"/>
      <c r="MWO160" s="187"/>
      <c r="MWP160" s="187"/>
      <c r="MWQ160" s="187"/>
      <c r="MWR160" s="187"/>
      <c r="MWS160" s="187"/>
      <c r="MWT160" s="187"/>
      <c r="MWU160" s="187"/>
      <c r="MWV160" s="187"/>
      <c r="MWW160" s="187"/>
      <c r="MWX160" s="187"/>
      <c r="MWY160" s="187"/>
      <c r="MWZ160" s="187"/>
      <c r="MXA160" s="187"/>
      <c r="MXB160" s="187"/>
      <c r="MXC160" s="187"/>
      <c r="MXD160" s="187"/>
      <c r="MXE160" s="187"/>
      <c r="MXF160" s="187"/>
      <c r="MXG160" s="187"/>
      <c r="MXH160" s="187"/>
      <c r="MXI160" s="187"/>
      <c r="MXJ160" s="187"/>
      <c r="MXK160" s="187"/>
      <c r="MXL160" s="187"/>
      <c r="MXM160" s="187"/>
      <c r="MXN160" s="187"/>
      <c r="MXO160" s="187"/>
      <c r="MXP160" s="187"/>
      <c r="MXQ160" s="187"/>
      <c r="MXR160" s="187"/>
      <c r="MXS160" s="187"/>
      <c r="MXT160" s="187"/>
      <c r="MXU160" s="187"/>
      <c r="MXV160" s="187"/>
      <c r="MXW160" s="187"/>
      <c r="MXX160" s="187"/>
      <c r="MXY160" s="187"/>
      <c r="MXZ160" s="187"/>
      <c r="MYA160" s="187"/>
      <c r="MYB160" s="187"/>
      <c r="MYC160" s="187"/>
      <c r="MYD160" s="187"/>
      <c r="MYE160" s="187"/>
      <c r="MYF160" s="187"/>
      <c r="MYG160" s="187"/>
      <c r="MYH160" s="187"/>
      <c r="MYI160" s="187"/>
      <c r="MYJ160" s="187"/>
      <c r="MYK160" s="187"/>
      <c r="MYL160" s="187"/>
      <c r="MYM160" s="187"/>
      <c r="MYN160" s="187"/>
      <c r="MYO160" s="187"/>
      <c r="MYP160" s="187"/>
      <c r="MYQ160" s="187"/>
      <c r="MYR160" s="187"/>
      <c r="MYS160" s="187"/>
      <c r="MYT160" s="187"/>
      <c r="MYU160" s="187"/>
      <c r="MYV160" s="187"/>
      <c r="MYW160" s="187"/>
      <c r="MYX160" s="187"/>
      <c r="MYY160" s="187"/>
      <c r="MYZ160" s="187"/>
      <c r="MZA160" s="187"/>
      <c r="MZB160" s="187"/>
      <c r="MZC160" s="187"/>
      <c r="MZD160" s="187"/>
      <c r="MZE160" s="187"/>
      <c r="MZF160" s="187"/>
      <c r="MZG160" s="187"/>
      <c r="MZH160" s="187"/>
      <c r="MZI160" s="187"/>
      <c r="MZJ160" s="187"/>
      <c r="MZK160" s="187"/>
      <c r="MZL160" s="187"/>
      <c r="MZM160" s="187"/>
      <c r="MZN160" s="187"/>
      <c r="MZO160" s="187"/>
      <c r="MZP160" s="187"/>
      <c r="MZQ160" s="187"/>
      <c r="MZR160" s="187"/>
      <c r="MZS160" s="187"/>
      <c r="MZT160" s="187"/>
      <c r="MZU160" s="187"/>
      <c r="MZV160" s="187"/>
      <c r="MZW160" s="187"/>
      <c r="MZX160" s="187"/>
      <c r="MZY160" s="187"/>
      <c r="MZZ160" s="187"/>
      <c r="NAA160" s="187"/>
      <c r="NAB160" s="187"/>
      <c r="NAC160" s="187"/>
      <c r="NAD160" s="187"/>
      <c r="NAE160" s="187"/>
      <c r="NAF160" s="187"/>
      <c r="NAG160" s="187"/>
      <c r="NAH160" s="187"/>
      <c r="NAI160" s="187"/>
      <c r="NAJ160" s="187"/>
      <c r="NAK160" s="187"/>
      <c r="NAL160" s="187"/>
      <c r="NAM160" s="187"/>
      <c r="NAN160" s="187"/>
      <c r="NAO160" s="187"/>
      <c r="NAP160" s="187"/>
      <c r="NAQ160" s="187"/>
      <c r="NAR160" s="187"/>
      <c r="NAS160" s="187"/>
      <c r="NAT160" s="187"/>
      <c r="NAU160" s="187"/>
      <c r="NAV160" s="187"/>
      <c r="NAW160" s="187"/>
      <c r="NAX160" s="187"/>
      <c r="NAY160" s="187"/>
      <c r="NAZ160" s="187"/>
      <c r="NBA160" s="187"/>
      <c r="NBB160" s="187"/>
      <c r="NBC160" s="187"/>
      <c r="NBD160" s="187"/>
      <c r="NBE160" s="187"/>
      <c r="NBF160" s="187"/>
      <c r="NBG160" s="187"/>
      <c r="NBH160" s="187"/>
      <c r="NBI160" s="187"/>
      <c r="NBJ160" s="187"/>
      <c r="NBK160" s="187"/>
      <c r="NBL160" s="187"/>
      <c r="NBM160" s="187"/>
      <c r="NBN160" s="187"/>
      <c r="NBO160" s="187"/>
      <c r="NBP160" s="187"/>
      <c r="NBQ160" s="187"/>
      <c r="NBR160" s="187"/>
      <c r="NBS160" s="187"/>
      <c r="NBT160" s="187"/>
      <c r="NBU160" s="187"/>
      <c r="NBV160" s="187"/>
      <c r="NBW160" s="187"/>
      <c r="NBX160" s="187"/>
      <c r="NBY160" s="187"/>
      <c r="NBZ160" s="187"/>
      <c r="NCA160" s="187"/>
      <c r="NCB160" s="187"/>
      <c r="NCC160" s="187"/>
      <c r="NCD160" s="187"/>
      <c r="NCE160" s="187"/>
      <c r="NCF160" s="187"/>
      <c r="NCG160" s="187"/>
      <c r="NCH160" s="187"/>
      <c r="NCI160" s="187"/>
      <c r="NCJ160" s="187"/>
      <c r="NCK160" s="187"/>
      <c r="NCL160" s="187"/>
      <c r="NCM160" s="187"/>
      <c r="NCN160" s="187"/>
      <c r="NCO160" s="187"/>
      <c r="NCP160" s="187"/>
      <c r="NCQ160" s="187"/>
      <c r="NCR160" s="187"/>
      <c r="NCS160" s="187"/>
      <c r="NCT160" s="187"/>
      <c r="NCU160" s="187"/>
      <c r="NCV160" s="187"/>
      <c r="NCW160" s="187"/>
      <c r="NCX160" s="187"/>
      <c r="NCY160" s="187"/>
      <c r="NCZ160" s="187"/>
      <c r="NDA160" s="187"/>
      <c r="NDB160" s="187"/>
      <c r="NDC160" s="187"/>
      <c r="NDD160" s="187"/>
      <c r="NDE160" s="187"/>
      <c r="NDF160" s="187"/>
      <c r="NDG160" s="187"/>
      <c r="NDH160" s="187"/>
      <c r="NDI160" s="187"/>
      <c r="NDJ160" s="187"/>
      <c r="NDK160" s="187"/>
      <c r="NDL160" s="187"/>
      <c r="NDM160" s="187"/>
      <c r="NDN160" s="187"/>
      <c r="NDO160" s="187"/>
      <c r="NDP160" s="187"/>
      <c r="NDQ160" s="187"/>
      <c r="NDR160" s="187"/>
      <c r="NDS160" s="187"/>
      <c r="NDT160" s="187"/>
      <c r="NDU160" s="187"/>
      <c r="NDV160" s="187"/>
      <c r="NDW160" s="187"/>
      <c r="NDX160" s="187"/>
      <c r="NDY160" s="187"/>
      <c r="NDZ160" s="187"/>
      <c r="NEA160" s="187"/>
      <c r="NEB160" s="187"/>
      <c r="NEC160" s="187"/>
      <c r="NED160" s="187"/>
      <c r="NEE160" s="187"/>
      <c r="NEF160" s="187"/>
      <c r="NEG160" s="187"/>
      <c r="NEH160" s="187"/>
      <c r="NEI160" s="187"/>
      <c r="NEJ160" s="187"/>
      <c r="NEK160" s="187"/>
      <c r="NEL160" s="187"/>
      <c r="NEM160" s="187"/>
      <c r="NEN160" s="187"/>
      <c r="NEO160" s="187"/>
      <c r="NEP160" s="187"/>
      <c r="NEQ160" s="187"/>
      <c r="NER160" s="187"/>
      <c r="NES160" s="187"/>
      <c r="NET160" s="187"/>
      <c r="NEU160" s="187"/>
      <c r="NEV160" s="187"/>
      <c r="NEW160" s="187"/>
      <c r="NEX160" s="187"/>
      <c r="NEY160" s="187"/>
      <c r="NEZ160" s="187"/>
      <c r="NFA160" s="187"/>
      <c r="NFB160" s="187"/>
      <c r="NFC160" s="187"/>
      <c r="NFD160" s="187"/>
      <c r="NFE160" s="187"/>
      <c r="NFF160" s="187"/>
      <c r="NFG160" s="187"/>
      <c r="NFH160" s="187"/>
      <c r="NFI160" s="187"/>
      <c r="NFJ160" s="187"/>
      <c r="NFK160" s="187"/>
      <c r="NFL160" s="187"/>
      <c r="NFM160" s="187"/>
      <c r="NFN160" s="187"/>
      <c r="NFO160" s="187"/>
      <c r="NFP160" s="187"/>
      <c r="NFQ160" s="187"/>
      <c r="NFR160" s="187"/>
      <c r="NFS160" s="187"/>
      <c r="NFT160" s="187"/>
      <c r="NFU160" s="187"/>
      <c r="NFV160" s="187"/>
      <c r="NFW160" s="187"/>
      <c r="NFX160" s="187"/>
      <c r="NFY160" s="187"/>
      <c r="NFZ160" s="187"/>
      <c r="NGA160" s="187"/>
      <c r="NGB160" s="187"/>
      <c r="NGC160" s="187"/>
      <c r="NGD160" s="187"/>
      <c r="NGE160" s="187"/>
      <c r="NGF160" s="187"/>
      <c r="NGG160" s="187"/>
      <c r="NGH160" s="187"/>
      <c r="NGI160" s="187"/>
      <c r="NGJ160" s="187"/>
      <c r="NGK160" s="187"/>
      <c r="NGL160" s="187"/>
      <c r="NGM160" s="187"/>
      <c r="NGN160" s="187"/>
      <c r="NGO160" s="187"/>
      <c r="NGP160" s="187"/>
      <c r="NGQ160" s="187"/>
      <c r="NGR160" s="187"/>
      <c r="NGS160" s="187"/>
      <c r="NGT160" s="187"/>
      <c r="NGU160" s="187"/>
      <c r="NGV160" s="187"/>
      <c r="NGW160" s="187"/>
      <c r="NGX160" s="187"/>
      <c r="NGY160" s="187"/>
      <c r="NGZ160" s="187"/>
      <c r="NHA160" s="187"/>
      <c r="NHB160" s="187"/>
      <c r="NHC160" s="187"/>
      <c r="NHD160" s="187"/>
      <c r="NHE160" s="187"/>
      <c r="NHF160" s="187"/>
      <c r="NHG160" s="187"/>
      <c r="NHH160" s="187"/>
      <c r="NHI160" s="187"/>
      <c r="NHJ160" s="187"/>
      <c r="NHK160" s="187"/>
      <c r="NHL160" s="187"/>
      <c r="NHM160" s="187"/>
      <c r="NHN160" s="187"/>
      <c r="NHO160" s="187"/>
      <c r="NHP160" s="187"/>
      <c r="NHQ160" s="187"/>
      <c r="NHR160" s="187"/>
      <c r="NHS160" s="187"/>
      <c r="NHT160" s="187"/>
      <c r="NHU160" s="187"/>
      <c r="NHV160" s="187"/>
      <c r="NHW160" s="187"/>
      <c r="NHX160" s="187"/>
      <c r="NHY160" s="187"/>
      <c r="NHZ160" s="187"/>
      <c r="NIA160" s="187"/>
      <c r="NIB160" s="187"/>
      <c r="NIC160" s="187"/>
      <c r="NID160" s="187"/>
      <c r="NIE160" s="187"/>
      <c r="NIF160" s="187"/>
      <c r="NIG160" s="187"/>
      <c r="NIH160" s="187"/>
      <c r="NII160" s="187"/>
      <c r="NIJ160" s="187"/>
      <c r="NIK160" s="187"/>
      <c r="NIL160" s="187"/>
      <c r="NIM160" s="187"/>
      <c r="NIN160" s="187"/>
      <c r="NIO160" s="187"/>
      <c r="NIP160" s="187"/>
      <c r="NIQ160" s="187"/>
      <c r="NIR160" s="187"/>
      <c r="NIS160" s="187"/>
      <c r="NIT160" s="187"/>
      <c r="NIU160" s="187"/>
      <c r="NIV160" s="187"/>
      <c r="NIW160" s="187"/>
      <c r="NIX160" s="187"/>
      <c r="NIY160" s="187"/>
      <c r="NIZ160" s="187"/>
      <c r="NJA160" s="187"/>
      <c r="NJB160" s="187"/>
      <c r="NJC160" s="187"/>
      <c r="NJD160" s="187"/>
      <c r="NJE160" s="187"/>
      <c r="NJF160" s="187"/>
      <c r="NJG160" s="187"/>
      <c r="NJH160" s="187"/>
      <c r="NJI160" s="187"/>
      <c r="NJJ160" s="187"/>
      <c r="NJK160" s="187"/>
      <c r="NJL160" s="187"/>
      <c r="NJM160" s="187"/>
      <c r="NJN160" s="187"/>
      <c r="NJO160" s="187"/>
      <c r="NJP160" s="187"/>
      <c r="NJQ160" s="187"/>
      <c r="NJR160" s="187"/>
      <c r="NJS160" s="187"/>
      <c r="NJT160" s="187"/>
      <c r="NJU160" s="187"/>
      <c r="NJV160" s="187"/>
      <c r="NJW160" s="187"/>
      <c r="NJX160" s="187"/>
      <c r="NJY160" s="187"/>
      <c r="NJZ160" s="187"/>
      <c r="NKA160" s="187"/>
      <c r="NKB160" s="187"/>
      <c r="NKC160" s="187"/>
      <c r="NKD160" s="187"/>
      <c r="NKE160" s="187"/>
      <c r="NKF160" s="187"/>
      <c r="NKG160" s="187"/>
      <c r="NKH160" s="187"/>
      <c r="NKI160" s="187"/>
      <c r="NKJ160" s="187"/>
      <c r="NKK160" s="187"/>
      <c r="NKL160" s="187"/>
      <c r="NKM160" s="187"/>
      <c r="NKN160" s="187"/>
      <c r="NKO160" s="187"/>
      <c r="NKP160" s="187"/>
      <c r="NKQ160" s="187"/>
      <c r="NKR160" s="187"/>
      <c r="NKS160" s="187"/>
      <c r="NKT160" s="187"/>
      <c r="NKU160" s="187"/>
      <c r="NKV160" s="187"/>
      <c r="NKW160" s="187"/>
      <c r="NKX160" s="187"/>
      <c r="NKY160" s="187"/>
      <c r="NKZ160" s="187"/>
      <c r="NLA160" s="187"/>
      <c r="NLB160" s="187"/>
      <c r="NLC160" s="187"/>
      <c r="NLD160" s="187"/>
      <c r="NLE160" s="187"/>
      <c r="NLF160" s="187"/>
      <c r="NLG160" s="187"/>
      <c r="NLH160" s="187"/>
      <c r="NLI160" s="187"/>
      <c r="NLJ160" s="187"/>
      <c r="NLK160" s="187"/>
      <c r="NLL160" s="187"/>
      <c r="NLM160" s="187"/>
      <c r="NLN160" s="187"/>
      <c r="NLO160" s="187"/>
      <c r="NLP160" s="187"/>
      <c r="NLQ160" s="187"/>
      <c r="NLR160" s="187"/>
      <c r="NLS160" s="187"/>
      <c r="NLT160" s="187"/>
      <c r="NLU160" s="187"/>
      <c r="NLV160" s="187"/>
      <c r="NLW160" s="187"/>
      <c r="NLX160" s="187"/>
      <c r="NLY160" s="187"/>
      <c r="NLZ160" s="187"/>
      <c r="NMA160" s="187"/>
      <c r="NMB160" s="187"/>
      <c r="NMC160" s="187"/>
      <c r="NMD160" s="187"/>
      <c r="NME160" s="187"/>
      <c r="NMF160" s="187"/>
      <c r="NMG160" s="187"/>
      <c r="NMH160" s="187"/>
      <c r="NMI160" s="187"/>
      <c r="NMJ160" s="187"/>
      <c r="NMK160" s="187"/>
      <c r="NML160" s="187"/>
      <c r="NMM160" s="187"/>
      <c r="NMN160" s="187"/>
      <c r="NMO160" s="187"/>
      <c r="NMP160" s="187"/>
      <c r="NMQ160" s="187"/>
      <c r="NMR160" s="187"/>
      <c r="NMS160" s="187"/>
      <c r="NMT160" s="187"/>
      <c r="NMU160" s="187"/>
      <c r="NMV160" s="187"/>
      <c r="NMW160" s="187"/>
      <c r="NMX160" s="187"/>
      <c r="NMY160" s="187"/>
      <c r="NMZ160" s="187"/>
      <c r="NNA160" s="187"/>
      <c r="NNB160" s="187"/>
      <c r="NNC160" s="187"/>
      <c r="NND160" s="187"/>
      <c r="NNE160" s="187"/>
      <c r="NNF160" s="187"/>
      <c r="NNG160" s="187"/>
      <c r="NNH160" s="187"/>
      <c r="NNI160" s="187"/>
      <c r="NNJ160" s="187"/>
      <c r="NNK160" s="187"/>
      <c r="NNL160" s="187"/>
      <c r="NNM160" s="187"/>
      <c r="NNN160" s="187"/>
      <c r="NNO160" s="187"/>
      <c r="NNP160" s="187"/>
      <c r="NNQ160" s="187"/>
      <c r="NNR160" s="187"/>
      <c r="NNS160" s="187"/>
      <c r="NNT160" s="187"/>
      <c r="NNU160" s="187"/>
      <c r="NNV160" s="187"/>
      <c r="NNW160" s="187"/>
      <c r="NNX160" s="187"/>
      <c r="NNY160" s="187"/>
      <c r="NNZ160" s="187"/>
      <c r="NOA160" s="187"/>
      <c r="NOB160" s="187"/>
      <c r="NOC160" s="187"/>
      <c r="NOD160" s="187"/>
      <c r="NOE160" s="187"/>
      <c r="NOF160" s="187"/>
      <c r="NOG160" s="187"/>
      <c r="NOH160" s="187"/>
      <c r="NOI160" s="187"/>
      <c r="NOJ160" s="187"/>
      <c r="NOK160" s="187"/>
      <c r="NOL160" s="187"/>
      <c r="NOM160" s="187"/>
      <c r="NON160" s="187"/>
      <c r="NOO160" s="187"/>
      <c r="NOP160" s="187"/>
      <c r="NOQ160" s="187"/>
      <c r="NOR160" s="187"/>
      <c r="NOS160" s="187"/>
      <c r="NOT160" s="187"/>
      <c r="NOU160" s="187"/>
      <c r="NOV160" s="187"/>
      <c r="NOW160" s="187"/>
      <c r="NOX160" s="187"/>
      <c r="NOY160" s="187"/>
      <c r="NOZ160" s="187"/>
      <c r="NPA160" s="187"/>
      <c r="NPB160" s="187"/>
      <c r="NPC160" s="187"/>
      <c r="NPD160" s="187"/>
      <c r="NPE160" s="187"/>
      <c r="NPF160" s="187"/>
      <c r="NPG160" s="187"/>
      <c r="NPH160" s="187"/>
      <c r="NPI160" s="187"/>
      <c r="NPJ160" s="187"/>
      <c r="NPK160" s="187"/>
      <c r="NPL160" s="187"/>
      <c r="NPM160" s="187"/>
      <c r="NPN160" s="187"/>
      <c r="NPO160" s="187"/>
      <c r="NPP160" s="187"/>
      <c r="NPQ160" s="187"/>
      <c r="NPR160" s="187"/>
      <c r="NPS160" s="187"/>
      <c r="NPT160" s="187"/>
      <c r="NPU160" s="187"/>
      <c r="NPV160" s="187"/>
      <c r="NPW160" s="187"/>
      <c r="NPX160" s="187"/>
      <c r="NPY160" s="187"/>
      <c r="NPZ160" s="187"/>
      <c r="NQA160" s="187"/>
      <c r="NQB160" s="187"/>
      <c r="NQC160" s="187"/>
      <c r="NQD160" s="187"/>
      <c r="NQE160" s="187"/>
      <c r="NQF160" s="187"/>
      <c r="NQG160" s="187"/>
      <c r="NQH160" s="187"/>
      <c r="NQI160" s="187"/>
      <c r="NQJ160" s="187"/>
      <c r="NQK160" s="187"/>
      <c r="NQL160" s="187"/>
      <c r="NQM160" s="187"/>
      <c r="NQN160" s="187"/>
      <c r="NQO160" s="187"/>
      <c r="NQP160" s="187"/>
      <c r="NQQ160" s="187"/>
      <c r="NQR160" s="187"/>
      <c r="NQS160" s="187"/>
      <c r="NQT160" s="187"/>
      <c r="NQU160" s="187"/>
      <c r="NQV160" s="187"/>
      <c r="NQW160" s="187"/>
      <c r="NQX160" s="187"/>
      <c r="NQY160" s="187"/>
      <c r="NQZ160" s="187"/>
      <c r="NRA160" s="187"/>
      <c r="NRB160" s="187"/>
      <c r="NRC160" s="187"/>
      <c r="NRD160" s="187"/>
      <c r="NRE160" s="187"/>
      <c r="NRF160" s="187"/>
      <c r="NRG160" s="187"/>
      <c r="NRH160" s="187"/>
      <c r="NRI160" s="187"/>
      <c r="NRJ160" s="187"/>
      <c r="NRK160" s="187"/>
      <c r="NRL160" s="187"/>
      <c r="NRM160" s="187"/>
      <c r="NRN160" s="187"/>
      <c r="NRO160" s="187"/>
      <c r="NRP160" s="187"/>
      <c r="NRQ160" s="187"/>
      <c r="NRR160" s="187"/>
      <c r="NRS160" s="187"/>
      <c r="NRT160" s="187"/>
      <c r="NRU160" s="187"/>
      <c r="NRV160" s="187"/>
      <c r="NRW160" s="187"/>
      <c r="NRX160" s="187"/>
      <c r="NRY160" s="187"/>
      <c r="NRZ160" s="187"/>
      <c r="NSA160" s="187"/>
      <c r="NSB160" s="187"/>
      <c r="NSC160" s="187"/>
      <c r="NSD160" s="187"/>
      <c r="NSE160" s="187"/>
      <c r="NSF160" s="187"/>
      <c r="NSG160" s="187"/>
      <c r="NSH160" s="187"/>
      <c r="NSI160" s="187"/>
      <c r="NSJ160" s="187"/>
      <c r="NSK160" s="187"/>
      <c r="NSL160" s="187"/>
      <c r="NSM160" s="187"/>
      <c r="NSN160" s="187"/>
      <c r="NSO160" s="187"/>
      <c r="NSP160" s="187"/>
      <c r="NSQ160" s="187"/>
      <c r="NSR160" s="187"/>
      <c r="NSS160" s="187"/>
      <c r="NST160" s="187"/>
      <c r="NSU160" s="187"/>
      <c r="NSV160" s="187"/>
      <c r="NSW160" s="187"/>
      <c r="NSX160" s="187"/>
      <c r="NSY160" s="187"/>
      <c r="NSZ160" s="187"/>
      <c r="NTA160" s="187"/>
      <c r="NTB160" s="187"/>
      <c r="NTC160" s="187"/>
      <c r="NTD160" s="187"/>
      <c r="NTE160" s="187"/>
      <c r="NTF160" s="187"/>
      <c r="NTG160" s="187"/>
      <c r="NTH160" s="187"/>
      <c r="NTI160" s="187"/>
      <c r="NTJ160" s="187"/>
      <c r="NTK160" s="187"/>
      <c r="NTL160" s="187"/>
      <c r="NTM160" s="187"/>
      <c r="NTN160" s="187"/>
      <c r="NTO160" s="187"/>
      <c r="NTP160" s="187"/>
      <c r="NTQ160" s="187"/>
      <c r="NTR160" s="187"/>
      <c r="NTS160" s="187"/>
      <c r="NTT160" s="187"/>
      <c r="NTU160" s="187"/>
      <c r="NTV160" s="187"/>
      <c r="NTW160" s="187"/>
      <c r="NTX160" s="187"/>
      <c r="NTY160" s="187"/>
      <c r="NTZ160" s="187"/>
      <c r="NUA160" s="187"/>
      <c r="NUB160" s="187"/>
      <c r="NUC160" s="187"/>
      <c r="NUD160" s="187"/>
      <c r="NUE160" s="187"/>
      <c r="NUF160" s="187"/>
      <c r="NUG160" s="187"/>
      <c r="NUH160" s="187"/>
      <c r="NUI160" s="187"/>
      <c r="NUJ160" s="187"/>
      <c r="NUK160" s="187"/>
      <c r="NUL160" s="187"/>
      <c r="NUM160" s="187"/>
      <c r="NUN160" s="187"/>
      <c r="NUO160" s="187"/>
      <c r="NUP160" s="187"/>
      <c r="NUQ160" s="187"/>
      <c r="NUR160" s="187"/>
      <c r="NUS160" s="187"/>
      <c r="NUT160" s="187"/>
      <c r="NUU160" s="187"/>
      <c r="NUV160" s="187"/>
      <c r="NUW160" s="187"/>
      <c r="NUX160" s="187"/>
      <c r="NUY160" s="187"/>
      <c r="NUZ160" s="187"/>
      <c r="NVA160" s="187"/>
      <c r="NVB160" s="187"/>
      <c r="NVC160" s="187"/>
      <c r="NVD160" s="187"/>
      <c r="NVE160" s="187"/>
      <c r="NVF160" s="187"/>
      <c r="NVG160" s="187"/>
      <c r="NVH160" s="187"/>
      <c r="NVI160" s="187"/>
      <c r="NVJ160" s="187"/>
      <c r="NVK160" s="187"/>
      <c r="NVL160" s="187"/>
      <c r="NVM160" s="187"/>
      <c r="NVN160" s="187"/>
      <c r="NVO160" s="187"/>
      <c r="NVP160" s="187"/>
      <c r="NVQ160" s="187"/>
      <c r="NVR160" s="187"/>
      <c r="NVS160" s="187"/>
      <c r="NVT160" s="187"/>
      <c r="NVU160" s="187"/>
      <c r="NVV160" s="187"/>
      <c r="NVW160" s="187"/>
      <c r="NVX160" s="187"/>
      <c r="NVY160" s="187"/>
      <c r="NVZ160" s="187"/>
      <c r="NWA160" s="187"/>
      <c r="NWB160" s="187"/>
      <c r="NWC160" s="187"/>
      <c r="NWD160" s="187"/>
      <c r="NWE160" s="187"/>
      <c r="NWF160" s="187"/>
      <c r="NWG160" s="187"/>
      <c r="NWH160" s="187"/>
      <c r="NWI160" s="187"/>
      <c r="NWJ160" s="187"/>
      <c r="NWK160" s="187"/>
      <c r="NWL160" s="187"/>
      <c r="NWM160" s="187"/>
      <c r="NWN160" s="187"/>
      <c r="NWO160" s="187"/>
      <c r="NWP160" s="187"/>
      <c r="NWQ160" s="187"/>
      <c r="NWR160" s="187"/>
      <c r="NWS160" s="187"/>
      <c r="NWT160" s="187"/>
      <c r="NWU160" s="187"/>
      <c r="NWV160" s="187"/>
      <c r="NWW160" s="187"/>
      <c r="NWX160" s="187"/>
      <c r="NWY160" s="187"/>
      <c r="NWZ160" s="187"/>
      <c r="NXA160" s="187"/>
      <c r="NXB160" s="187"/>
      <c r="NXC160" s="187"/>
      <c r="NXD160" s="187"/>
      <c r="NXE160" s="187"/>
      <c r="NXF160" s="187"/>
      <c r="NXG160" s="187"/>
      <c r="NXH160" s="187"/>
      <c r="NXI160" s="187"/>
      <c r="NXJ160" s="187"/>
      <c r="NXK160" s="187"/>
      <c r="NXL160" s="187"/>
      <c r="NXM160" s="187"/>
      <c r="NXN160" s="187"/>
      <c r="NXO160" s="187"/>
      <c r="NXP160" s="187"/>
      <c r="NXQ160" s="187"/>
      <c r="NXR160" s="187"/>
      <c r="NXS160" s="187"/>
      <c r="NXT160" s="187"/>
      <c r="NXU160" s="187"/>
      <c r="NXV160" s="187"/>
      <c r="NXW160" s="187"/>
      <c r="NXX160" s="187"/>
      <c r="NXY160" s="187"/>
      <c r="NXZ160" s="187"/>
      <c r="NYA160" s="187"/>
      <c r="NYB160" s="187"/>
      <c r="NYC160" s="187"/>
      <c r="NYD160" s="187"/>
      <c r="NYE160" s="187"/>
      <c r="NYF160" s="187"/>
      <c r="NYG160" s="187"/>
      <c r="NYH160" s="187"/>
      <c r="NYI160" s="187"/>
      <c r="NYJ160" s="187"/>
      <c r="NYK160" s="187"/>
      <c r="NYL160" s="187"/>
      <c r="NYM160" s="187"/>
      <c r="NYN160" s="187"/>
      <c r="NYO160" s="187"/>
      <c r="NYP160" s="187"/>
      <c r="NYQ160" s="187"/>
      <c r="NYR160" s="187"/>
      <c r="NYS160" s="187"/>
      <c r="NYT160" s="187"/>
      <c r="NYU160" s="187"/>
      <c r="NYV160" s="187"/>
      <c r="NYW160" s="187"/>
      <c r="NYX160" s="187"/>
      <c r="NYY160" s="187"/>
      <c r="NYZ160" s="187"/>
      <c r="NZA160" s="187"/>
      <c r="NZB160" s="187"/>
      <c r="NZC160" s="187"/>
      <c r="NZD160" s="187"/>
      <c r="NZE160" s="187"/>
      <c r="NZF160" s="187"/>
      <c r="NZG160" s="187"/>
      <c r="NZH160" s="187"/>
      <c r="NZI160" s="187"/>
      <c r="NZJ160" s="187"/>
      <c r="NZK160" s="187"/>
      <c r="NZL160" s="187"/>
      <c r="NZM160" s="187"/>
      <c r="NZN160" s="187"/>
      <c r="NZO160" s="187"/>
      <c r="NZP160" s="187"/>
      <c r="NZQ160" s="187"/>
      <c r="NZR160" s="187"/>
      <c r="NZS160" s="187"/>
      <c r="NZT160" s="187"/>
      <c r="NZU160" s="187"/>
      <c r="NZV160" s="187"/>
      <c r="NZW160" s="187"/>
      <c r="NZX160" s="187"/>
      <c r="NZY160" s="187"/>
      <c r="NZZ160" s="187"/>
      <c r="OAA160" s="187"/>
      <c r="OAB160" s="187"/>
      <c r="OAC160" s="187"/>
      <c r="OAD160" s="187"/>
      <c r="OAE160" s="187"/>
      <c r="OAF160" s="187"/>
      <c r="OAG160" s="187"/>
      <c r="OAH160" s="187"/>
      <c r="OAI160" s="187"/>
      <c r="OAJ160" s="187"/>
      <c r="OAK160" s="187"/>
      <c r="OAL160" s="187"/>
      <c r="OAM160" s="187"/>
      <c r="OAN160" s="187"/>
      <c r="OAO160" s="187"/>
      <c r="OAP160" s="187"/>
      <c r="OAQ160" s="187"/>
      <c r="OAR160" s="187"/>
      <c r="OAS160" s="187"/>
      <c r="OAT160" s="187"/>
      <c r="OAU160" s="187"/>
      <c r="OAV160" s="187"/>
      <c r="OAW160" s="187"/>
      <c r="OAX160" s="187"/>
      <c r="OAY160" s="187"/>
      <c r="OAZ160" s="187"/>
      <c r="OBA160" s="187"/>
      <c r="OBB160" s="187"/>
      <c r="OBC160" s="187"/>
      <c r="OBD160" s="187"/>
      <c r="OBE160" s="187"/>
      <c r="OBF160" s="187"/>
      <c r="OBG160" s="187"/>
      <c r="OBH160" s="187"/>
      <c r="OBI160" s="187"/>
      <c r="OBJ160" s="187"/>
      <c r="OBK160" s="187"/>
      <c r="OBL160" s="187"/>
      <c r="OBM160" s="187"/>
      <c r="OBN160" s="187"/>
      <c r="OBO160" s="187"/>
      <c r="OBP160" s="187"/>
      <c r="OBQ160" s="187"/>
      <c r="OBR160" s="187"/>
      <c r="OBS160" s="187"/>
      <c r="OBT160" s="187"/>
      <c r="OBU160" s="187"/>
      <c r="OBV160" s="187"/>
      <c r="OBW160" s="187"/>
      <c r="OBX160" s="187"/>
      <c r="OBY160" s="187"/>
      <c r="OBZ160" s="187"/>
      <c r="OCA160" s="187"/>
      <c r="OCB160" s="187"/>
      <c r="OCC160" s="187"/>
      <c r="OCD160" s="187"/>
      <c r="OCE160" s="187"/>
      <c r="OCF160" s="187"/>
      <c r="OCG160" s="187"/>
      <c r="OCH160" s="187"/>
      <c r="OCI160" s="187"/>
      <c r="OCJ160" s="187"/>
      <c r="OCK160" s="187"/>
      <c r="OCL160" s="187"/>
      <c r="OCM160" s="187"/>
      <c r="OCN160" s="187"/>
      <c r="OCO160" s="187"/>
      <c r="OCP160" s="187"/>
      <c r="OCQ160" s="187"/>
      <c r="OCR160" s="187"/>
      <c r="OCS160" s="187"/>
      <c r="OCT160" s="187"/>
      <c r="OCU160" s="187"/>
      <c r="OCV160" s="187"/>
      <c r="OCW160" s="187"/>
      <c r="OCX160" s="187"/>
      <c r="OCY160" s="187"/>
      <c r="OCZ160" s="187"/>
      <c r="ODA160" s="187"/>
      <c r="ODB160" s="187"/>
      <c r="ODC160" s="187"/>
      <c r="ODD160" s="187"/>
      <c r="ODE160" s="187"/>
      <c r="ODF160" s="187"/>
      <c r="ODG160" s="187"/>
      <c r="ODH160" s="187"/>
      <c r="ODI160" s="187"/>
      <c r="ODJ160" s="187"/>
      <c r="ODK160" s="187"/>
      <c r="ODL160" s="187"/>
      <c r="ODM160" s="187"/>
      <c r="ODN160" s="187"/>
      <c r="ODO160" s="187"/>
      <c r="ODP160" s="187"/>
      <c r="ODQ160" s="187"/>
      <c r="ODR160" s="187"/>
      <c r="ODS160" s="187"/>
      <c r="ODT160" s="187"/>
      <c r="ODU160" s="187"/>
      <c r="ODV160" s="187"/>
      <c r="ODW160" s="187"/>
      <c r="ODX160" s="187"/>
      <c r="ODY160" s="187"/>
      <c r="ODZ160" s="187"/>
      <c r="OEA160" s="187"/>
      <c r="OEB160" s="187"/>
      <c r="OEC160" s="187"/>
      <c r="OED160" s="187"/>
      <c r="OEE160" s="187"/>
      <c r="OEF160" s="187"/>
      <c r="OEG160" s="187"/>
      <c r="OEH160" s="187"/>
      <c r="OEI160" s="187"/>
      <c r="OEJ160" s="187"/>
      <c r="OEK160" s="187"/>
      <c r="OEL160" s="187"/>
      <c r="OEM160" s="187"/>
      <c r="OEN160" s="187"/>
      <c r="OEO160" s="187"/>
      <c r="OEP160" s="187"/>
      <c r="OEQ160" s="187"/>
      <c r="OER160" s="187"/>
      <c r="OES160" s="187"/>
      <c r="OET160" s="187"/>
      <c r="OEU160" s="187"/>
      <c r="OEV160" s="187"/>
      <c r="OEW160" s="187"/>
      <c r="OEX160" s="187"/>
      <c r="OEY160" s="187"/>
      <c r="OEZ160" s="187"/>
      <c r="OFA160" s="187"/>
      <c r="OFB160" s="187"/>
      <c r="OFC160" s="187"/>
      <c r="OFD160" s="187"/>
      <c r="OFE160" s="187"/>
      <c r="OFF160" s="187"/>
      <c r="OFG160" s="187"/>
      <c r="OFH160" s="187"/>
      <c r="OFI160" s="187"/>
      <c r="OFJ160" s="187"/>
      <c r="OFK160" s="187"/>
      <c r="OFL160" s="187"/>
      <c r="OFM160" s="187"/>
      <c r="OFN160" s="187"/>
      <c r="OFO160" s="187"/>
      <c r="OFP160" s="187"/>
      <c r="OFQ160" s="187"/>
      <c r="OFR160" s="187"/>
      <c r="OFS160" s="187"/>
      <c r="OFT160" s="187"/>
      <c r="OFU160" s="187"/>
      <c r="OFV160" s="187"/>
      <c r="OFW160" s="187"/>
      <c r="OFX160" s="187"/>
      <c r="OFY160" s="187"/>
      <c r="OFZ160" s="187"/>
      <c r="OGA160" s="187"/>
      <c r="OGB160" s="187"/>
      <c r="OGC160" s="187"/>
      <c r="OGD160" s="187"/>
      <c r="OGE160" s="187"/>
      <c r="OGF160" s="187"/>
      <c r="OGG160" s="187"/>
      <c r="OGH160" s="187"/>
      <c r="OGI160" s="187"/>
      <c r="OGJ160" s="187"/>
      <c r="OGK160" s="187"/>
      <c r="OGL160" s="187"/>
      <c r="OGM160" s="187"/>
      <c r="OGN160" s="187"/>
      <c r="OGO160" s="187"/>
      <c r="OGP160" s="187"/>
      <c r="OGQ160" s="187"/>
      <c r="OGR160" s="187"/>
      <c r="OGS160" s="187"/>
      <c r="OGT160" s="187"/>
      <c r="OGU160" s="187"/>
      <c r="OGV160" s="187"/>
      <c r="OGW160" s="187"/>
      <c r="OGX160" s="187"/>
      <c r="OGY160" s="187"/>
      <c r="OGZ160" s="187"/>
      <c r="OHA160" s="187"/>
      <c r="OHB160" s="187"/>
      <c r="OHC160" s="187"/>
      <c r="OHD160" s="187"/>
      <c r="OHE160" s="187"/>
      <c r="OHF160" s="187"/>
      <c r="OHG160" s="187"/>
      <c r="OHH160" s="187"/>
      <c r="OHI160" s="187"/>
      <c r="OHJ160" s="187"/>
      <c r="OHK160" s="187"/>
      <c r="OHL160" s="187"/>
      <c r="OHM160" s="187"/>
      <c r="OHN160" s="187"/>
      <c r="OHO160" s="187"/>
      <c r="OHP160" s="187"/>
      <c r="OHQ160" s="187"/>
      <c r="OHR160" s="187"/>
      <c r="OHS160" s="187"/>
      <c r="OHT160" s="187"/>
      <c r="OHU160" s="187"/>
      <c r="OHV160" s="187"/>
      <c r="OHW160" s="187"/>
      <c r="OHX160" s="187"/>
      <c r="OHY160" s="187"/>
      <c r="OHZ160" s="187"/>
      <c r="OIA160" s="187"/>
      <c r="OIB160" s="187"/>
      <c r="OIC160" s="187"/>
      <c r="OID160" s="187"/>
      <c r="OIE160" s="187"/>
      <c r="OIF160" s="187"/>
      <c r="OIG160" s="187"/>
      <c r="OIH160" s="187"/>
      <c r="OII160" s="187"/>
      <c r="OIJ160" s="187"/>
      <c r="OIK160" s="187"/>
      <c r="OIL160" s="187"/>
      <c r="OIM160" s="187"/>
      <c r="OIN160" s="187"/>
      <c r="OIO160" s="187"/>
      <c r="OIP160" s="187"/>
      <c r="OIQ160" s="187"/>
      <c r="OIR160" s="187"/>
      <c r="OIS160" s="187"/>
      <c r="OIT160" s="187"/>
      <c r="OIU160" s="187"/>
      <c r="OIV160" s="187"/>
      <c r="OIW160" s="187"/>
      <c r="OIX160" s="187"/>
      <c r="OIY160" s="187"/>
      <c r="OIZ160" s="187"/>
      <c r="OJA160" s="187"/>
      <c r="OJB160" s="187"/>
      <c r="OJC160" s="187"/>
      <c r="OJD160" s="187"/>
      <c r="OJE160" s="187"/>
      <c r="OJF160" s="187"/>
      <c r="OJG160" s="187"/>
      <c r="OJH160" s="187"/>
      <c r="OJI160" s="187"/>
      <c r="OJJ160" s="187"/>
      <c r="OJK160" s="187"/>
      <c r="OJL160" s="187"/>
      <c r="OJM160" s="187"/>
      <c r="OJN160" s="187"/>
      <c r="OJO160" s="187"/>
      <c r="OJP160" s="187"/>
      <c r="OJQ160" s="187"/>
      <c r="OJR160" s="187"/>
      <c r="OJS160" s="187"/>
      <c r="OJT160" s="187"/>
      <c r="OJU160" s="187"/>
      <c r="OJV160" s="187"/>
      <c r="OJW160" s="187"/>
      <c r="OJX160" s="187"/>
      <c r="OJY160" s="187"/>
      <c r="OJZ160" s="187"/>
      <c r="OKA160" s="187"/>
      <c r="OKB160" s="187"/>
      <c r="OKC160" s="187"/>
      <c r="OKD160" s="187"/>
      <c r="OKE160" s="187"/>
      <c r="OKF160" s="187"/>
      <c r="OKG160" s="187"/>
      <c r="OKH160" s="187"/>
      <c r="OKI160" s="187"/>
      <c r="OKJ160" s="187"/>
      <c r="OKK160" s="187"/>
      <c r="OKL160" s="187"/>
      <c r="OKM160" s="187"/>
      <c r="OKN160" s="187"/>
      <c r="OKO160" s="187"/>
      <c r="OKP160" s="187"/>
      <c r="OKQ160" s="187"/>
      <c r="OKR160" s="187"/>
      <c r="OKS160" s="187"/>
      <c r="OKT160" s="187"/>
      <c r="OKU160" s="187"/>
      <c r="OKV160" s="187"/>
      <c r="OKW160" s="187"/>
      <c r="OKX160" s="187"/>
      <c r="OKY160" s="187"/>
      <c r="OKZ160" s="187"/>
      <c r="OLA160" s="187"/>
      <c r="OLB160" s="187"/>
      <c r="OLC160" s="187"/>
      <c r="OLD160" s="187"/>
      <c r="OLE160" s="187"/>
      <c r="OLF160" s="187"/>
      <c r="OLG160" s="187"/>
      <c r="OLH160" s="187"/>
      <c r="OLI160" s="187"/>
      <c r="OLJ160" s="187"/>
      <c r="OLK160" s="187"/>
      <c r="OLL160" s="187"/>
      <c r="OLM160" s="187"/>
      <c r="OLN160" s="187"/>
      <c r="OLO160" s="187"/>
      <c r="OLP160" s="187"/>
      <c r="OLQ160" s="187"/>
      <c r="OLR160" s="187"/>
      <c r="OLS160" s="187"/>
      <c r="OLT160" s="187"/>
      <c r="OLU160" s="187"/>
      <c r="OLV160" s="187"/>
      <c r="OLW160" s="187"/>
      <c r="OLX160" s="187"/>
      <c r="OLY160" s="187"/>
      <c r="OLZ160" s="187"/>
      <c r="OMA160" s="187"/>
      <c r="OMB160" s="187"/>
      <c r="OMC160" s="187"/>
      <c r="OMD160" s="187"/>
      <c r="OME160" s="187"/>
      <c r="OMF160" s="187"/>
      <c r="OMG160" s="187"/>
      <c r="OMH160" s="187"/>
      <c r="OMI160" s="187"/>
      <c r="OMJ160" s="187"/>
      <c r="OMK160" s="187"/>
      <c r="OML160" s="187"/>
      <c r="OMM160" s="187"/>
      <c r="OMN160" s="187"/>
      <c r="OMO160" s="187"/>
      <c r="OMP160" s="187"/>
      <c r="OMQ160" s="187"/>
      <c r="OMR160" s="187"/>
      <c r="OMS160" s="187"/>
      <c r="OMT160" s="187"/>
      <c r="OMU160" s="187"/>
      <c r="OMV160" s="187"/>
      <c r="OMW160" s="187"/>
      <c r="OMX160" s="187"/>
      <c r="OMY160" s="187"/>
      <c r="OMZ160" s="187"/>
      <c r="ONA160" s="187"/>
      <c r="ONB160" s="187"/>
      <c r="ONC160" s="187"/>
      <c r="OND160" s="187"/>
      <c r="ONE160" s="187"/>
      <c r="ONF160" s="187"/>
      <c r="ONG160" s="187"/>
      <c r="ONH160" s="187"/>
      <c r="ONI160" s="187"/>
      <c r="ONJ160" s="187"/>
      <c r="ONK160" s="187"/>
      <c r="ONL160" s="187"/>
      <c r="ONM160" s="187"/>
      <c r="ONN160" s="187"/>
      <c r="ONO160" s="187"/>
      <c r="ONP160" s="187"/>
      <c r="ONQ160" s="187"/>
      <c r="ONR160" s="187"/>
      <c r="ONS160" s="187"/>
      <c r="ONT160" s="187"/>
      <c r="ONU160" s="187"/>
      <c r="ONV160" s="187"/>
      <c r="ONW160" s="187"/>
      <c r="ONX160" s="187"/>
      <c r="ONY160" s="187"/>
      <c r="ONZ160" s="187"/>
      <c r="OOA160" s="187"/>
      <c r="OOB160" s="187"/>
      <c r="OOC160" s="187"/>
      <c r="OOD160" s="187"/>
      <c r="OOE160" s="187"/>
      <c r="OOF160" s="187"/>
      <c r="OOG160" s="187"/>
      <c r="OOH160" s="187"/>
      <c r="OOI160" s="187"/>
      <c r="OOJ160" s="187"/>
      <c r="OOK160" s="187"/>
      <c r="OOL160" s="187"/>
      <c r="OOM160" s="187"/>
      <c r="OON160" s="187"/>
      <c r="OOO160" s="187"/>
      <c r="OOP160" s="187"/>
      <c r="OOQ160" s="187"/>
      <c r="OOR160" s="187"/>
      <c r="OOS160" s="187"/>
      <c r="OOT160" s="187"/>
      <c r="OOU160" s="187"/>
      <c r="OOV160" s="187"/>
      <c r="OOW160" s="187"/>
      <c r="OOX160" s="187"/>
      <c r="OOY160" s="187"/>
      <c r="OOZ160" s="187"/>
      <c r="OPA160" s="187"/>
      <c r="OPB160" s="187"/>
      <c r="OPC160" s="187"/>
      <c r="OPD160" s="187"/>
      <c r="OPE160" s="187"/>
      <c r="OPF160" s="187"/>
      <c r="OPG160" s="187"/>
      <c r="OPH160" s="187"/>
      <c r="OPI160" s="187"/>
      <c r="OPJ160" s="187"/>
      <c r="OPK160" s="187"/>
      <c r="OPL160" s="187"/>
      <c r="OPM160" s="187"/>
      <c r="OPN160" s="187"/>
      <c r="OPO160" s="187"/>
      <c r="OPP160" s="187"/>
      <c r="OPQ160" s="187"/>
      <c r="OPR160" s="187"/>
      <c r="OPS160" s="187"/>
      <c r="OPT160" s="187"/>
      <c r="OPU160" s="187"/>
      <c r="OPV160" s="187"/>
      <c r="OPW160" s="187"/>
      <c r="OPX160" s="187"/>
      <c r="OPY160" s="187"/>
      <c r="OPZ160" s="187"/>
      <c r="OQA160" s="187"/>
      <c r="OQB160" s="187"/>
      <c r="OQC160" s="187"/>
      <c r="OQD160" s="187"/>
      <c r="OQE160" s="187"/>
      <c r="OQF160" s="187"/>
      <c r="OQG160" s="187"/>
      <c r="OQH160" s="187"/>
      <c r="OQI160" s="187"/>
      <c r="OQJ160" s="187"/>
      <c r="OQK160" s="187"/>
      <c r="OQL160" s="187"/>
      <c r="OQM160" s="187"/>
      <c r="OQN160" s="187"/>
      <c r="OQO160" s="187"/>
      <c r="OQP160" s="187"/>
      <c r="OQQ160" s="187"/>
      <c r="OQR160" s="187"/>
      <c r="OQS160" s="187"/>
      <c r="OQT160" s="187"/>
      <c r="OQU160" s="187"/>
      <c r="OQV160" s="187"/>
      <c r="OQW160" s="187"/>
      <c r="OQX160" s="187"/>
      <c r="OQY160" s="187"/>
      <c r="OQZ160" s="187"/>
      <c r="ORA160" s="187"/>
      <c r="ORB160" s="187"/>
      <c r="ORC160" s="187"/>
      <c r="ORD160" s="187"/>
      <c r="ORE160" s="187"/>
      <c r="ORF160" s="187"/>
      <c r="ORG160" s="187"/>
      <c r="ORH160" s="187"/>
      <c r="ORI160" s="187"/>
      <c r="ORJ160" s="187"/>
      <c r="ORK160" s="187"/>
      <c r="ORL160" s="187"/>
      <c r="ORM160" s="187"/>
      <c r="ORN160" s="187"/>
      <c r="ORO160" s="187"/>
      <c r="ORP160" s="187"/>
      <c r="ORQ160" s="187"/>
      <c r="ORR160" s="187"/>
      <c r="ORS160" s="187"/>
      <c r="ORT160" s="187"/>
      <c r="ORU160" s="187"/>
      <c r="ORV160" s="187"/>
      <c r="ORW160" s="187"/>
      <c r="ORX160" s="187"/>
      <c r="ORY160" s="187"/>
      <c r="ORZ160" s="187"/>
      <c r="OSA160" s="187"/>
      <c r="OSB160" s="187"/>
      <c r="OSC160" s="187"/>
      <c r="OSD160" s="187"/>
      <c r="OSE160" s="187"/>
      <c r="OSF160" s="187"/>
      <c r="OSG160" s="187"/>
      <c r="OSH160" s="187"/>
      <c r="OSI160" s="187"/>
      <c r="OSJ160" s="187"/>
      <c r="OSK160" s="187"/>
      <c r="OSL160" s="187"/>
      <c r="OSM160" s="187"/>
      <c r="OSN160" s="187"/>
      <c r="OSO160" s="187"/>
      <c r="OSP160" s="187"/>
      <c r="OSQ160" s="187"/>
      <c r="OSR160" s="187"/>
      <c r="OSS160" s="187"/>
      <c r="OST160" s="187"/>
      <c r="OSU160" s="187"/>
      <c r="OSV160" s="187"/>
      <c r="OSW160" s="187"/>
      <c r="OSX160" s="187"/>
      <c r="OSY160" s="187"/>
      <c r="OSZ160" s="187"/>
      <c r="OTA160" s="187"/>
      <c r="OTB160" s="187"/>
      <c r="OTC160" s="187"/>
      <c r="OTD160" s="187"/>
      <c r="OTE160" s="187"/>
      <c r="OTF160" s="187"/>
      <c r="OTG160" s="187"/>
      <c r="OTH160" s="187"/>
      <c r="OTI160" s="187"/>
      <c r="OTJ160" s="187"/>
      <c r="OTK160" s="187"/>
      <c r="OTL160" s="187"/>
      <c r="OTM160" s="187"/>
      <c r="OTN160" s="187"/>
      <c r="OTO160" s="187"/>
      <c r="OTP160" s="187"/>
      <c r="OTQ160" s="187"/>
      <c r="OTR160" s="187"/>
      <c r="OTS160" s="187"/>
      <c r="OTT160" s="187"/>
      <c r="OTU160" s="187"/>
      <c r="OTV160" s="187"/>
      <c r="OTW160" s="187"/>
      <c r="OTX160" s="187"/>
      <c r="OTY160" s="187"/>
      <c r="OTZ160" s="187"/>
      <c r="OUA160" s="187"/>
      <c r="OUB160" s="187"/>
      <c r="OUC160" s="187"/>
      <c r="OUD160" s="187"/>
      <c r="OUE160" s="187"/>
      <c r="OUF160" s="187"/>
      <c r="OUG160" s="187"/>
      <c r="OUH160" s="187"/>
      <c r="OUI160" s="187"/>
      <c r="OUJ160" s="187"/>
      <c r="OUK160" s="187"/>
      <c r="OUL160" s="187"/>
      <c r="OUM160" s="187"/>
      <c r="OUN160" s="187"/>
      <c r="OUO160" s="187"/>
      <c r="OUP160" s="187"/>
      <c r="OUQ160" s="187"/>
      <c r="OUR160" s="187"/>
      <c r="OUS160" s="187"/>
      <c r="OUT160" s="187"/>
      <c r="OUU160" s="187"/>
      <c r="OUV160" s="187"/>
      <c r="OUW160" s="187"/>
      <c r="OUX160" s="187"/>
      <c r="OUY160" s="187"/>
      <c r="OUZ160" s="187"/>
      <c r="OVA160" s="187"/>
      <c r="OVB160" s="187"/>
      <c r="OVC160" s="187"/>
      <c r="OVD160" s="187"/>
      <c r="OVE160" s="187"/>
      <c r="OVF160" s="187"/>
      <c r="OVG160" s="187"/>
      <c r="OVH160" s="187"/>
      <c r="OVI160" s="187"/>
      <c r="OVJ160" s="187"/>
      <c r="OVK160" s="187"/>
      <c r="OVL160" s="187"/>
      <c r="OVM160" s="187"/>
      <c r="OVN160" s="187"/>
      <c r="OVO160" s="187"/>
      <c r="OVP160" s="187"/>
      <c r="OVQ160" s="187"/>
      <c r="OVR160" s="187"/>
      <c r="OVS160" s="187"/>
      <c r="OVT160" s="187"/>
      <c r="OVU160" s="187"/>
      <c r="OVV160" s="187"/>
      <c r="OVW160" s="187"/>
      <c r="OVX160" s="187"/>
      <c r="OVY160" s="187"/>
      <c r="OVZ160" s="187"/>
      <c r="OWA160" s="187"/>
      <c r="OWB160" s="187"/>
      <c r="OWC160" s="187"/>
      <c r="OWD160" s="187"/>
      <c r="OWE160" s="187"/>
      <c r="OWF160" s="187"/>
      <c r="OWG160" s="187"/>
      <c r="OWH160" s="187"/>
      <c r="OWI160" s="187"/>
      <c r="OWJ160" s="187"/>
      <c r="OWK160" s="187"/>
      <c r="OWL160" s="187"/>
      <c r="OWM160" s="187"/>
      <c r="OWN160" s="187"/>
      <c r="OWO160" s="187"/>
      <c r="OWP160" s="187"/>
      <c r="OWQ160" s="187"/>
      <c r="OWR160" s="187"/>
      <c r="OWS160" s="187"/>
      <c r="OWT160" s="187"/>
      <c r="OWU160" s="187"/>
      <c r="OWV160" s="187"/>
      <c r="OWW160" s="187"/>
      <c r="OWX160" s="187"/>
      <c r="OWY160" s="187"/>
      <c r="OWZ160" s="187"/>
      <c r="OXA160" s="187"/>
      <c r="OXB160" s="187"/>
      <c r="OXC160" s="187"/>
      <c r="OXD160" s="187"/>
      <c r="OXE160" s="187"/>
      <c r="OXF160" s="187"/>
      <c r="OXG160" s="187"/>
      <c r="OXH160" s="187"/>
      <c r="OXI160" s="187"/>
      <c r="OXJ160" s="187"/>
      <c r="OXK160" s="187"/>
      <c r="OXL160" s="187"/>
      <c r="OXM160" s="187"/>
      <c r="OXN160" s="187"/>
      <c r="OXO160" s="187"/>
      <c r="OXP160" s="187"/>
      <c r="OXQ160" s="187"/>
      <c r="OXR160" s="187"/>
      <c r="OXS160" s="187"/>
      <c r="OXT160" s="187"/>
      <c r="OXU160" s="187"/>
      <c r="OXV160" s="187"/>
      <c r="OXW160" s="187"/>
      <c r="OXX160" s="187"/>
      <c r="OXY160" s="187"/>
      <c r="OXZ160" s="187"/>
      <c r="OYA160" s="187"/>
      <c r="OYB160" s="187"/>
      <c r="OYC160" s="187"/>
      <c r="OYD160" s="187"/>
      <c r="OYE160" s="187"/>
      <c r="OYF160" s="187"/>
      <c r="OYG160" s="187"/>
      <c r="OYH160" s="187"/>
      <c r="OYI160" s="187"/>
      <c r="OYJ160" s="187"/>
      <c r="OYK160" s="187"/>
      <c r="OYL160" s="187"/>
      <c r="OYM160" s="187"/>
      <c r="OYN160" s="187"/>
      <c r="OYO160" s="187"/>
      <c r="OYP160" s="187"/>
      <c r="OYQ160" s="187"/>
      <c r="OYR160" s="187"/>
      <c r="OYS160" s="187"/>
      <c r="OYT160" s="187"/>
      <c r="OYU160" s="187"/>
      <c r="OYV160" s="187"/>
      <c r="OYW160" s="187"/>
      <c r="OYX160" s="187"/>
      <c r="OYY160" s="187"/>
      <c r="OYZ160" s="187"/>
      <c r="OZA160" s="187"/>
      <c r="OZB160" s="187"/>
      <c r="OZC160" s="187"/>
      <c r="OZD160" s="187"/>
      <c r="OZE160" s="187"/>
      <c r="OZF160" s="187"/>
      <c r="OZG160" s="187"/>
      <c r="OZH160" s="187"/>
      <c r="OZI160" s="187"/>
      <c r="OZJ160" s="187"/>
      <c r="OZK160" s="187"/>
      <c r="OZL160" s="187"/>
      <c r="OZM160" s="187"/>
      <c r="OZN160" s="187"/>
      <c r="OZO160" s="187"/>
      <c r="OZP160" s="187"/>
      <c r="OZQ160" s="187"/>
      <c r="OZR160" s="187"/>
      <c r="OZS160" s="187"/>
      <c r="OZT160" s="187"/>
      <c r="OZU160" s="187"/>
      <c r="OZV160" s="187"/>
      <c r="OZW160" s="187"/>
      <c r="OZX160" s="187"/>
      <c r="OZY160" s="187"/>
      <c r="OZZ160" s="187"/>
      <c r="PAA160" s="187"/>
      <c r="PAB160" s="187"/>
      <c r="PAC160" s="187"/>
      <c r="PAD160" s="187"/>
      <c r="PAE160" s="187"/>
      <c r="PAF160" s="187"/>
      <c r="PAG160" s="187"/>
      <c r="PAH160" s="187"/>
      <c r="PAI160" s="187"/>
      <c r="PAJ160" s="187"/>
      <c r="PAK160" s="187"/>
      <c r="PAL160" s="187"/>
      <c r="PAM160" s="187"/>
      <c r="PAN160" s="187"/>
      <c r="PAO160" s="187"/>
      <c r="PAP160" s="187"/>
      <c r="PAQ160" s="187"/>
      <c r="PAR160" s="187"/>
      <c r="PAS160" s="187"/>
      <c r="PAT160" s="187"/>
      <c r="PAU160" s="187"/>
      <c r="PAV160" s="187"/>
      <c r="PAW160" s="187"/>
      <c r="PAX160" s="187"/>
      <c r="PAY160" s="187"/>
      <c r="PAZ160" s="187"/>
      <c r="PBA160" s="187"/>
      <c r="PBB160" s="187"/>
      <c r="PBC160" s="187"/>
      <c r="PBD160" s="187"/>
      <c r="PBE160" s="187"/>
      <c r="PBF160" s="187"/>
      <c r="PBG160" s="187"/>
      <c r="PBH160" s="187"/>
      <c r="PBI160" s="187"/>
      <c r="PBJ160" s="187"/>
      <c r="PBK160" s="187"/>
      <c r="PBL160" s="187"/>
      <c r="PBM160" s="187"/>
      <c r="PBN160" s="187"/>
      <c r="PBO160" s="187"/>
      <c r="PBP160" s="187"/>
      <c r="PBQ160" s="187"/>
      <c r="PBR160" s="187"/>
      <c r="PBS160" s="187"/>
      <c r="PBT160" s="187"/>
      <c r="PBU160" s="187"/>
      <c r="PBV160" s="187"/>
      <c r="PBW160" s="187"/>
      <c r="PBX160" s="187"/>
      <c r="PBY160" s="187"/>
      <c r="PBZ160" s="187"/>
      <c r="PCA160" s="187"/>
      <c r="PCB160" s="187"/>
      <c r="PCC160" s="187"/>
      <c r="PCD160" s="187"/>
      <c r="PCE160" s="187"/>
      <c r="PCF160" s="187"/>
      <c r="PCG160" s="187"/>
      <c r="PCH160" s="187"/>
      <c r="PCI160" s="187"/>
      <c r="PCJ160" s="187"/>
      <c r="PCK160" s="187"/>
      <c r="PCL160" s="187"/>
      <c r="PCM160" s="187"/>
      <c r="PCN160" s="187"/>
      <c r="PCO160" s="187"/>
      <c r="PCP160" s="187"/>
      <c r="PCQ160" s="187"/>
      <c r="PCR160" s="187"/>
      <c r="PCS160" s="187"/>
      <c r="PCT160" s="187"/>
      <c r="PCU160" s="187"/>
      <c r="PCV160" s="187"/>
      <c r="PCW160" s="187"/>
      <c r="PCX160" s="187"/>
      <c r="PCY160" s="187"/>
      <c r="PCZ160" s="187"/>
      <c r="PDA160" s="187"/>
      <c r="PDB160" s="187"/>
      <c r="PDC160" s="187"/>
      <c r="PDD160" s="187"/>
      <c r="PDE160" s="187"/>
      <c r="PDF160" s="187"/>
      <c r="PDG160" s="187"/>
      <c r="PDH160" s="187"/>
      <c r="PDI160" s="187"/>
      <c r="PDJ160" s="187"/>
      <c r="PDK160" s="187"/>
      <c r="PDL160" s="187"/>
      <c r="PDM160" s="187"/>
      <c r="PDN160" s="187"/>
      <c r="PDO160" s="187"/>
      <c r="PDP160" s="187"/>
      <c r="PDQ160" s="187"/>
      <c r="PDR160" s="187"/>
      <c r="PDS160" s="187"/>
      <c r="PDT160" s="187"/>
      <c r="PDU160" s="187"/>
      <c r="PDV160" s="187"/>
      <c r="PDW160" s="187"/>
      <c r="PDX160" s="187"/>
      <c r="PDY160" s="187"/>
      <c r="PDZ160" s="187"/>
      <c r="PEA160" s="187"/>
      <c r="PEB160" s="187"/>
      <c r="PEC160" s="187"/>
      <c r="PED160" s="187"/>
      <c r="PEE160" s="187"/>
      <c r="PEF160" s="187"/>
      <c r="PEG160" s="187"/>
      <c r="PEH160" s="187"/>
      <c r="PEI160" s="187"/>
      <c r="PEJ160" s="187"/>
      <c r="PEK160" s="187"/>
      <c r="PEL160" s="187"/>
      <c r="PEM160" s="187"/>
      <c r="PEN160" s="187"/>
      <c r="PEO160" s="187"/>
      <c r="PEP160" s="187"/>
      <c r="PEQ160" s="187"/>
      <c r="PER160" s="187"/>
      <c r="PES160" s="187"/>
      <c r="PET160" s="187"/>
      <c r="PEU160" s="187"/>
      <c r="PEV160" s="187"/>
      <c r="PEW160" s="187"/>
      <c r="PEX160" s="187"/>
      <c r="PEY160" s="187"/>
      <c r="PEZ160" s="187"/>
      <c r="PFA160" s="187"/>
      <c r="PFB160" s="187"/>
      <c r="PFC160" s="187"/>
      <c r="PFD160" s="187"/>
      <c r="PFE160" s="187"/>
      <c r="PFF160" s="187"/>
      <c r="PFG160" s="187"/>
      <c r="PFH160" s="187"/>
      <c r="PFI160" s="187"/>
      <c r="PFJ160" s="187"/>
      <c r="PFK160" s="187"/>
      <c r="PFL160" s="187"/>
      <c r="PFM160" s="187"/>
      <c r="PFN160" s="187"/>
      <c r="PFO160" s="187"/>
      <c r="PFP160" s="187"/>
      <c r="PFQ160" s="187"/>
      <c r="PFR160" s="187"/>
      <c r="PFS160" s="187"/>
      <c r="PFT160" s="187"/>
      <c r="PFU160" s="187"/>
      <c r="PFV160" s="187"/>
      <c r="PFW160" s="187"/>
      <c r="PFX160" s="187"/>
      <c r="PFY160" s="187"/>
      <c r="PFZ160" s="187"/>
      <c r="PGA160" s="187"/>
      <c r="PGB160" s="187"/>
      <c r="PGC160" s="187"/>
      <c r="PGD160" s="187"/>
      <c r="PGE160" s="187"/>
      <c r="PGF160" s="187"/>
      <c r="PGG160" s="187"/>
      <c r="PGH160" s="187"/>
      <c r="PGI160" s="187"/>
      <c r="PGJ160" s="187"/>
      <c r="PGK160" s="187"/>
      <c r="PGL160" s="187"/>
      <c r="PGM160" s="187"/>
      <c r="PGN160" s="187"/>
      <c r="PGO160" s="187"/>
      <c r="PGP160" s="187"/>
      <c r="PGQ160" s="187"/>
      <c r="PGR160" s="187"/>
      <c r="PGS160" s="187"/>
      <c r="PGT160" s="187"/>
      <c r="PGU160" s="187"/>
      <c r="PGV160" s="187"/>
      <c r="PGW160" s="187"/>
      <c r="PGX160" s="187"/>
      <c r="PGY160" s="187"/>
      <c r="PGZ160" s="187"/>
      <c r="PHA160" s="187"/>
      <c r="PHB160" s="187"/>
      <c r="PHC160" s="187"/>
      <c r="PHD160" s="187"/>
      <c r="PHE160" s="187"/>
      <c r="PHF160" s="187"/>
      <c r="PHG160" s="187"/>
      <c r="PHH160" s="187"/>
      <c r="PHI160" s="187"/>
      <c r="PHJ160" s="187"/>
      <c r="PHK160" s="187"/>
      <c r="PHL160" s="187"/>
      <c r="PHM160" s="187"/>
      <c r="PHN160" s="187"/>
      <c r="PHO160" s="187"/>
      <c r="PHP160" s="187"/>
      <c r="PHQ160" s="187"/>
      <c r="PHR160" s="187"/>
      <c r="PHS160" s="187"/>
      <c r="PHT160" s="187"/>
      <c r="PHU160" s="187"/>
      <c r="PHV160" s="187"/>
      <c r="PHW160" s="187"/>
      <c r="PHX160" s="187"/>
      <c r="PHY160" s="187"/>
      <c r="PHZ160" s="187"/>
      <c r="PIA160" s="187"/>
      <c r="PIB160" s="187"/>
      <c r="PIC160" s="187"/>
      <c r="PID160" s="187"/>
      <c r="PIE160" s="187"/>
      <c r="PIF160" s="187"/>
      <c r="PIG160" s="187"/>
      <c r="PIH160" s="187"/>
      <c r="PII160" s="187"/>
      <c r="PIJ160" s="187"/>
      <c r="PIK160" s="187"/>
      <c r="PIL160" s="187"/>
      <c r="PIM160" s="187"/>
      <c r="PIN160" s="187"/>
      <c r="PIO160" s="187"/>
      <c r="PIP160" s="187"/>
      <c r="PIQ160" s="187"/>
      <c r="PIR160" s="187"/>
      <c r="PIS160" s="187"/>
      <c r="PIT160" s="187"/>
      <c r="PIU160" s="187"/>
      <c r="PIV160" s="187"/>
      <c r="PIW160" s="187"/>
      <c r="PIX160" s="187"/>
      <c r="PIY160" s="187"/>
      <c r="PIZ160" s="187"/>
      <c r="PJA160" s="187"/>
      <c r="PJB160" s="187"/>
      <c r="PJC160" s="187"/>
      <c r="PJD160" s="187"/>
      <c r="PJE160" s="187"/>
      <c r="PJF160" s="187"/>
      <c r="PJG160" s="187"/>
      <c r="PJH160" s="187"/>
      <c r="PJI160" s="187"/>
      <c r="PJJ160" s="187"/>
      <c r="PJK160" s="187"/>
      <c r="PJL160" s="187"/>
      <c r="PJM160" s="187"/>
      <c r="PJN160" s="187"/>
      <c r="PJO160" s="187"/>
      <c r="PJP160" s="187"/>
      <c r="PJQ160" s="187"/>
      <c r="PJR160" s="187"/>
      <c r="PJS160" s="187"/>
      <c r="PJT160" s="187"/>
      <c r="PJU160" s="187"/>
      <c r="PJV160" s="187"/>
      <c r="PJW160" s="187"/>
      <c r="PJX160" s="187"/>
      <c r="PJY160" s="187"/>
      <c r="PJZ160" s="187"/>
      <c r="PKA160" s="187"/>
      <c r="PKB160" s="187"/>
      <c r="PKC160" s="187"/>
      <c r="PKD160" s="187"/>
      <c r="PKE160" s="187"/>
      <c r="PKF160" s="187"/>
      <c r="PKG160" s="187"/>
      <c r="PKH160" s="187"/>
      <c r="PKI160" s="187"/>
      <c r="PKJ160" s="187"/>
      <c r="PKK160" s="187"/>
      <c r="PKL160" s="187"/>
      <c r="PKM160" s="187"/>
      <c r="PKN160" s="187"/>
      <c r="PKO160" s="187"/>
      <c r="PKP160" s="187"/>
      <c r="PKQ160" s="187"/>
      <c r="PKR160" s="187"/>
      <c r="PKS160" s="187"/>
      <c r="PKT160" s="187"/>
      <c r="PKU160" s="187"/>
      <c r="PKV160" s="187"/>
      <c r="PKW160" s="187"/>
      <c r="PKX160" s="187"/>
      <c r="PKY160" s="187"/>
      <c r="PKZ160" s="187"/>
      <c r="PLA160" s="187"/>
      <c r="PLB160" s="187"/>
      <c r="PLC160" s="187"/>
      <c r="PLD160" s="187"/>
      <c r="PLE160" s="187"/>
      <c r="PLF160" s="187"/>
      <c r="PLG160" s="187"/>
      <c r="PLH160" s="187"/>
      <c r="PLI160" s="187"/>
      <c r="PLJ160" s="187"/>
      <c r="PLK160" s="187"/>
      <c r="PLL160" s="187"/>
      <c r="PLM160" s="187"/>
      <c r="PLN160" s="187"/>
      <c r="PLO160" s="187"/>
      <c r="PLP160" s="187"/>
      <c r="PLQ160" s="187"/>
      <c r="PLR160" s="187"/>
      <c r="PLS160" s="187"/>
      <c r="PLT160" s="187"/>
      <c r="PLU160" s="187"/>
      <c r="PLV160" s="187"/>
      <c r="PLW160" s="187"/>
      <c r="PLX160" s="187"/>
      <c r="PLY160" s="187"/>
      <c r="PLZ160" s="187"/>
      <c r="PMA160" s="187"/>
      <c r="PMB160" s="187"/>
      <c r="PMC160" s="187"/>
      <c r="PMD160" s="187"/>
      <c r="PME160" s="187"/>
      <c r="PMF160" s="187"/>
      <c r="PMG160" s="187"/>
      <c r="PMH160" s="187"/>
      <c r="PMI160" s="187"/>
      <c r="PMJ160" s="187"/>
      <c r="PMK160" s="187"/>
      <c r="PML160" s="187"/>
      <c r="PMM160" s="187"/>
      <c r="PMN160" s="187"/>
      <c r="PMO160" s="187"/>
      <c r="PMP160" s="187"/>
      <c r="PMQ160" s="187"/>
      <c r="PMR160" s="187"/>
      <c r="PMS160" s="187"/>
      <c r="PMT160" s="187"/>
      <c r="PMU160" s="187"/>
      <c r="PMV160" s="187"/>
      <c r="PMW160" s="187"/>
      <c r="PMX160" s="187"/>
      <c r="PMY160" s="187"/>
      <c r="PMZ160" s="187"/>
      <c r="PNA160" s="187"/>
      <c r="PNB160" s="187"/>
      <c r="PNC160" s="187"/>
      <c r="PND160" s="187"/>
      <c r="PNE160" s="187"/>
      <c r="PNF160" s="187"/>
      <c r="PNG160" s="187"/>
      <c r="PNH160" s="187"/>
      <c r="PNI160" s="187"/>
      <c r="PNJ160" s="187"/>
      <c r="PNK160" s="187"/>
      <c r="PNL160" s="187"/>
      <c r="PNM160" s="187"/>
      <c r="PNN160" s="187"/>
      <c r="PNO160" s="187"/>
      <c r="PNP160" s="187"/>
      <c r="PNQ160" s="187"/>
      <c r="PNR160" s="187"/>
      <c r="PNS160" s="187"/>
      <c r="PNT160" s="187"/>
      <c r="PNU160" s="187"/>
      <c r="PNV160" s="187"/>
      <c r="PNW160" s="187"/>
      <c r="PNX160" s="187"/>
      <c r="PNY160" s="187"/>
      <c r="PNZ160" s="187"/>
      <c r="POA160" s="187"/>
      <c r="POB160" s="187"/>
      <c r="POC160" s="187"/>
      <c r="POD160" s="187"/>
      <c r="POE160" s="187"/>
      <c r="POF160" s="187"/>
      <c r="POG160" s="187"/>
      <c r="POH160" s="187"/>
      <c r="POI160" s="187"/>
      <c r="POJ160" s="187"/>
      <c r="POK160" s="187"/>
      <c r="POL160" s="187"/>
      <c r="POM160" s="187"/>
      <c r="PON160" s="187"/>
      <c r="POO160" s="187"/>
      <c r="POP160" s="187"/>
      <c r="POQ160" s="187"/>
      <c r="POR160" s="187"/>
      <c r="POS160" s="187"/>
      <c r="POT160" s="187"/>
      <c r="POU160" s="187"/>
      <c r="POV160" s="187"/>
      <c r="POW160" s="187"/>
      <c r="POX160" s="187"/>
      <c r="POY160" s="187"/>
      <c r="POZ160" s="187"/>
      <c r="PPA160" s="187"/>
      <c r="PPB160" s="187"/>
      <c r="PPC160" s="187"/>
      <c r="PPD160" s="187"/>
      <c r="PPE160" s="187"/>
      <c r="PPF160" s="187"/>
      <c r="PPG160" s="187"/>
      <c r="PPH160" s="187"/>
      <c r="PPI160" s="187"/>
      <c r="PPJ160" s="187"/>
      <c r="PPK160" s="187"/>
      <c r="PPL160" s="187"/>
      <c r="PPM160" s="187"/>
      <c r="PPN160" s="187"/>
      <c r="PPO160" s="187"/>
      <c r="PPP160" s="187"/>
      <c r="PPQ160" s="187"/>
      <c r="PPR160" s="187"/>
      <c r="PPS160" s="187"/>
      <c r="PPT160" s="187"/>
      <c r="PPU160" s="187"/>
      <c r="PPV160" s="187"/>
      <c r="PPW160" s="187"/>
      <c r="PPX160" s="187"/>
      <c r="PPY160" s="187"/>
      <c r="PPZ160" s="187"/>
      <c r="PQA160" s="187"/>
      <c r="PQB160" s="187"/>
      <c r="PQC160" s="187"/>
      <c r="PQD160" s="187"/>
      <c r="PQE160" s="187"/>
      <c r="PQF160" s="187"/>
      <c r="PQG160" s="187"/>
      <c r="PQH160" s="187"/>
      <c r="PQI160" s="187"/>
      <c r="PQJ160" s="187"/>
      <c r="PQK160" s="187"/>
      <c r="PQL160" s="187"/>
      <c r="PQM160" s="187"/>
      <c r="PQN160" s="187"/>
      <c r="PQO160" s="187"/>
      <c r="PQP160" s="187"/>
      <c r="PQQ160" s="187"/>
      <c r="PQR160" s="187"/>
      <c r="PQS160" s="187"/>
      <c r="PQT160" s="187"/>
      <c r="PQU160" s="187"/>
      <c r="PQV160" s="187"/>
      <c r="PQW160" s="187"/>
      <c r="PQX160" s="187"/>
      <c r="PQY160" s="187"/>
      <c r="PQZ160" s="187"/>
      <c r="PRA160" s="187"/>
      <c r="PRB160" s="187"/>
      <c r="PRC160" s="187"/>
      <c r="PRD160" s="187"/>
      <c r="PRE160" s="187"/>
      <c r="PRF160" s="187"/>
      <c r="PRG160" s="187"/>
      <c r="PRH160" s="187"/>
      <c r="PRI160" s="187"/>
      <c r="PRJ160" s="187"/>
      <c r="PRK160" s="187"/>
      <c r="PRL160" s="187"/>
      <c r="PRM160" s="187"/>
      <c r="PRN160" s="187"/>
      <c r="PRO160" s="187"/>
      <c r="PRP160" s="187"/>
      <c r="PRQ160" s="187"/>
      <c r="PRR160" s="187"/>
      <c r="PRS160" s="187"/>
      <c r="PRT160" s="187"/>
      <c r="PRU160" s="187"/>
      <c r="PRV160" s="187"/>
      <c r="PRW160" s="187"/>
      <c r="PRX160" s="187"/>
      <c r="PRY160" s="187"/>
      <c r="PRZ160" s="187"/>
      <c r="PSA160" s="187"/>
      <c r="PSB160" s="187"/>
      <c r="PSC160" s="187"/>
      <c r="PSD160" s="187"/>
      <c r="PSE160" s="187"/>
      <c r="PSF160" s="187"/>
      <c r="PSG160" s="187"/>
      <c r="PSH160" s="187"/>
      <c r="PSI160" s="187"/>
      <c r="PSJ160" s="187"/>
      <c r="PSK160" s="187"/>
      <c r="PSL160" s="187"/>
      <c r="PSM160" s="187"/>
      <c r="PSN160" s="187"/>
      <c r="PSO160" s="187"/>
      <c r="PSP160" s="187"/>
      <c r="PSQ160" s="187"/>
      <c r="PSR160" s="187"/>
      <c r="PSS160" s="187"/>
      <c r="PST160" s="187"/>
      <c r="PSU160" s="187"/>
      <c r="PSV160" s="187"/>
      <c r="PSW160" s="187"/>
      <c r="PSX160" s="187"/>
      <c r="PSY160" s="187"/>
      <c r="PSZ160" s="187"/>
      <c r="PTA160" s="187"/>
      <c r="PTB160" s="187"/>
      <c r="PTC160" s="187"/>
      <c r="PTD160" s="187"/>
      <c r="PTE160" s="187"/>
      <c r="PTF160" s="187"/>
      <c r="PTG160" s="187"/>
      <c r="PTH160" s="187"/>
      <c r="PTI160" s="187"/>
      <c r="PTJ160" s="187"/>
      <c r="PTK160" s="187"/>
      <c r="PTL160" s="187"/>
      <c r="PTM160" s="187"/>
      <c r="PTN160" s="187"/>
      <c r="PTO160" s="187"/>
      <c r="PTP160" s="187"/>
      <c r="PTQ160" s="187"/>
      <c r="PTR160" s="187"/>
      <c r="PTS160" s="187"/>
      <c r="PTT160" s="187"/>
      <c r="PTU160" s="187"/>
      <c r="PTV160" s="187"/>
      <c r="PTW160" s="187"/>
      <c r="PTX160" s="187"/>
      <c r="PTY160" s="187"/>
      <c r="PTZ160" s="187"/>
      <c r="PUA160" s="187"/>
      <c r="PUB160" s="187"/>
      <c r="PUC160" s="187"/>
      <c r="PUD160" s="187"/>
      <c r="PUE160" s="187"/>
      <c r="PUF160" s="187"/>
      <c r="PUG160" s="187"/>
      <c r="PUH160" s="187"/>
      <c r="PUI160" s="187"/>
      <c r="PUJ160" s="187"/>
      <c r="PUK160" s="187"/>
      <c r="PUL160" s="187"/>
      <c r="PUM160" s="187"/>
      <c r="PUN160" s="187"/>
      <c r="PUO160" s="187"/>
      <c r="PUP160" s="187"/>
      <c r="PUQ160" s="187"/>
      <c r="PUR160" s="187"/>
      <c r="PUS160" s="187"/>
      <c r="PUT160" s="187"/>
      <c r="PUU160" s="187"/>
      <c r="PUV160" s="187"/>
      <c r="PUW160" s="187"/>
      <c r="PUX160" s="187"/>
      <c r="PUY160" s="187"/>
      <c r="PUZ160" s="187"/>
      <c r="PVA160" s="187"/>
      <c r="PVB160" s="187"/>
      <c r="PVC160" s="187"/>
      <c r="PVD160" s="187"/>
      <c r="PVE160" s="187"/>
      <c r="PVF160" s="187"/>
      <c r="PVG160" s="187"/>
      <c r="PVH160" s="187"/>
      <c r="PVI160" s="187"/>
      <c r="PVJ160" s="187"/>
      <c r="PVK160" s="187"/>
      <c r="PVL160" s="187"/>
      <c r="PVM160" s="187"/>
      <c r="PVN160" s="187"/>
      <c r="PVO160" s="187"/>
      <c r="PVP160" s="187"/>
      <c r="PVQ160" s="187"/>
      <c r="PVR160" s="187"/>
      <c r="PVS160" s="187"/>
      <c r="PVT160" s="187"/>
      <c r="PVU160" s="187"/>
      <c r="PVV160" s="187"/>
      <c r="PVW160" s="187"/>
      <c r="PVX160" s="187"/>
      <c r="PVY160" s="187"/>
      <c r="PVZ160" s="187"/>
      <c r="PWA160" s="187"/>
      <c r="PWB160" s="187"/>
      <c r="PWC160" s="187"/>
      <c r="PWD160" s="187"/>
      <c r="PWE160" s="187"/>
      <c r="PWF160" s="187"/>
      <c r="PWG160" s="187"/>
      <c r="PWH160" s="187"/>
      <c r="PWI160" s="187"/>
      <c r="PWJ160" s="187"/>
      <c r="PWK160" s="187"/>
      <c r="PWL160" s="187"/>
      <c r="PWM160" s="187"/>
      <c r="PWN160" s="187"/>
      <c r="PWO160" s="187"/>
      <c r="PWP160" s="187"/>
      <c r="PWQ160" s="187"/>
      <c r="PWR160" s="187"/>
      <c r="PWS160" s="187"/>
      <c r="PWT160" s="187"/>
      <c r="PWU160" s="187"/>
      <c r="PWV160" s="187"/>
      <c r="PWW160" s="187"/>
      <c r="PWX160" s="187"/>
      <c r="PWY160" s="187"/>
      <c r="PWZ160" s="187"/>
      <c r="PXA160" s="187"/>
      <c r="PXB160" s="187"/>
      <c r="PXC160" s="187"/>
      <c r="PXD160" s="187"/>
      <c r="PXE160" s="187"/>
      <c r="PXF160" s="187"/>
      <c r="PXG160" s="187"/>
      <c r="PXH160" s="187"/>
      <c r="PXI160" s="187"/>
      <c r="PXJ160" s="187"/>
      <c r="PXK160" s="187"/>
      <c r="PXL160" s="187"/>
      <c r="PXM160" s="187"/>
      <c r="PXN160" s="187"/>
      <c r="PXO160" s="187"/>
      <c r="PXP160" s="187"/>
      <c r="PXQ160" s="187"/>
      <c r="PXR160" s="187"/>
      <c r="PXS160" s="187"/>
      <c r="PXT160" s="187"/>
      <c r="PXU160" s="187"/>
      <c r="PXV160" s="187"/>
      <c r="PXW160" s="187"/>
      <c r="PXX160" s="187"/>
      <c r="PXY160" s="187"/>
      <c r="PXZ160" s="187"/>
      <c r="PYA160" s="187"/>
      <c r="PYB160" s="187"/>
      <c r="PYC160" s="187"/>
      <c r="PYD160" s="187"/>
      <c r="PYE160" s="187"/>
      <c r="PYF160" s="187"/>
      <c r="PYG160" s="187"/>
      <c r="PYH160" s="187"/>
      <c r="PYI160" s="187"/>
      <c r="PYJ160" s="187"/>
      <c r="PYK160" s="187"/>
      <c r="PYL160" s="187"/>
      <c r="PYM160" s="187"/>
      <c r="PYN160" s="187"/>
      <c r="PYO160" s="187"/>
      <c r="PYP160" s="187"/>
      <c r="PYQ160" s="187"/>
      <c r="PYR160" s="187"/>
      <c r="PYS160" s="187"/>
      <c r="PYT160" s="187"/>
      <c r="PYU160" s="187"/>
      <c r="PYV160" s="187"/>
      <c r="PYW160" s="187"/>
      <c r="PYX160" s="187"/>
      <c r="PYY160" s="187"/>
      <c r="PYZ160" s="187"/>
      <c r="PZA160" s="187"/>
      <c r="PZB160" s="187"/>
      <c r="PZC160" s="187"/>
      <c r="PZD160" s="187"/>
      <c r="PZE160" s="187"/>
      <c r="PZF160" s="187"/>
      <c r="PZG160" s="187"/>
      <c r="PZH160" s="187"/>
      <c r="PZI160" s="187"/>
      <c r="PZJ160" s="187"/>
      <c r="PZK160" s="187"/>
      <c r="PZL160" s="187"/>
      <c r="PZM160" s="187"/>
      <c r="PZN160" s="187"/>
      <c r="PZO160" s="187"/>
      <c r="PZP160" s="187"/>
      <c r="PZQ160" s="187"/>
      <c r="PZR160" s="187"/>
      <c r="PZS160" s="187"/>
      <c r="PZT160" s="187"/>
      <c r="PZU160" s="187"/>
      <c r="PZV160" s="187"/>
      <c r="PZW160" s="187"/>
      <c r="PZX160" s="187"/>
      <c r="PZY160" s="187"/>
      <c r="PZZ160" s="187"/>
      <c r="QAA160" s="187"/>
      <c r="QAB160" s="187"/>
      <c r="QAC160" s="187"/>
      <c r="QAD160" s="187"/>
      <c r="QAE160" s="187"/>
      <c r="QAF160" s="187"/>
      <c r="QAG160" s="187"/>
      <c r="QAH160" s="187"/>
      <c r="QAI160" s="187"/>
      <c r="QAJ160" s="187"/>
      <c r="QAK160" s="187"/>
      <c r="QAL160" s="187"/>
      <c r="QAM160" s="187"/>
      <c r="QAN160" s="187"/>
      <c r="QAO160" s="187"/>
      <c r="QAP160" s="187"/>
      <c r="QAQ160" s="187"/>
      <c r="QAR160" s="187"/>
      <c r="QAS160" s="187"/>
      <c r="QAT160" s="187"/>
      <c r="QAU160" s="187"/>
      <c r="QAV160" s="187"/>
      <c r="QAW160" s="187"/>
      <c r="QAX160" s="187"/>
      <c r="QAY160" s="187"/>
      <c r="QAZ160" s="187"/>
      <c r="QBA160" s="187"/>
      <c r="QBB160" s="187"/>
      <c r="QBC160" s="187"/>
      <c r="QBD160" s="187"/>
      <c r="QBE160" s="187"/>
      <c r="QBF160" s="187"/>
      <c r="QBG160" s="187"/>
      <c r="QBH160" s="187"/>
      <c r="QBI160" s="187"/>
      <c r="QBJ160" s="187"/>
      <c r="QBK160" s="187"/>
      <c r="QBL160" s="187"/>
      <c r="QBM160" s="187"/>
      <c r="QBN160" s="187"/>
      <c r="QBO160" s="187"/>
      <c r="QBP160" s="187"/>
      <c r="QBQ160" s="187"/>
      <c r="QBR160" s="187"/>
      <c r="QBS160" s="187"/>
      <c r="QBT160" s="187"/>
      <c r="QBU160" s="187"/>
      <c r="QBV160" s="187"/>
      <c r="QBW160" s="187"/>
      <c r="QBX160" s="187"/>
      <c r="QBY160" s="187"/>
      <c r="QBZ160" s="187"/>
      <c r="QCA160" s="187"/>
      <c r="QCB160" s="187"/>
      <c r="QCC160" s="187"/>
      <c r="QCD160" s="187"/>
      <c r="QCE160" s="187"/>
      <c r="QCF160" s="187"/>
      <c r="QCG160" s="187"/>
      <c r="QCH160" s="187"/>
      <c r="QCI160" s="187"/>
      <c r="QCJ160" s="187"/>
      <c r="QCK160" s="187"/>
      <c r="QCL160" s="187"/>
      <c r="QCM160" s="187"/>
      <c r="QCN160" s="187"/>
      <c r="QCO160" s="187"/>
      <c r="QCP160" s="187"/>
      <c r="QCQ160" s="187"/>
      <c r="QCR160" s="187"/>
      <c r="QCS160" s="187"/>
      <c r="QCT160" s="187"/>
      <c r="QCU160" s="187"/>
      <c r="QCV160" s="187"/>
      <c r="QCW160" s="187"/>
      <c r="QCX160" s="187"/>
      <c r="QCY160" s="187"/>
      <c r="QCZ160" s="187"/>
      <c r="QDA160" s="187"/>
      <c r="QDB160" s="187"/>
      <c r="QDC160" s="187"/>
      <c r="QDD160" s="187"/>
      <c r="QDE160" s="187"/>
      <c r="QDF160" s="187"/>
      <c r="QDG160" s="187"/>
      <c r="QDH160" s="187"/>
      <c r="QDI160" s="187"/>
      <c r="QDJ160" s="187"/>
      <c r="QDK160" s="187"/>
      <c r="QDL160" s="187"/>
      <c r="QDM160" s="187"/>
      <c r="QDN160" s="187"/>
      <c r="QDO160" s="187"/>
      <c r="QDP160" s="187"/>
      <c r="QDQ160" s="187"/>
      <c r="QDR160" s="187"/>
      <c r="QDS160" s="187"/>
      <c r="QDT160" s="187"/>
      <c r="QDU160" s="187"/>
      <c r="QDV160" s="187"/>
      <c r="QDW160" s="187"/>
      <c r="QDX160" s="187"/>
      <c r="QDY160" s="187"/>
      <c r="QDZ160" s="187"/>
      <c r="QEA160" s="187"/>
      <c r="QEB160" s="187"/>
      <c r="QEC160" s="187"/>
      <c r="QED160" s="187"/>
      <c r="QEE160" s="187"/>
      <c r="QEF160" s="187"/>
      <c r="QEG160" s="187"/>
      <c r="QEH160" s="187"/>
      <c r="QEI160" s="187"/>
      <c r="QEJ160" s="187"/>
      <c r="QEK160" s="187"/>
      <c r="QEL160" s="187"/>
      <c r="QEM160" s="187"/>
      <c r="QEN160" s="187"/>
      <c r="QEO160" s="187"/>
      <c r="QEP160" s="187"/>
      <c r="QEQ160" s="187"/>
      <c r="QER160" s="187"/>
      <c r="QES160" s="187"/>
      <c r="QET160" s="187"/>
      <c r="QEU160" s="187"/>
      <c r="QEV160" s="187"/>
      <c r="QEW160" s="187"/>
      <c r="QEX160" s="187"/>
      <c r="QEY160" s="187"/>
      <c r="QEZ160" s="187"/>
      <c r="QFA160" s="187"/>
      <c r="QFB160" s="187"/>
      <c r="QFC160" s="187"/>
      <c r="QFD160" s="187"/>
      <c r="QFE160" s="187"/>
      <c r="QFF160" s="187"/>
      <c r="QFG160" s="187"/>
      <c r="QFH160" s="187"/>
      <c r="QFI160" s="187"/>
      <c r="QFJ160" s="187"/>
      <c r="QFK160" s="187"/>
      <c r="QFL160" s="187"/>
      <c r="QFM160" s="187"/>
      <c r="QFN160" s="187"/>
      <c r="QFO160" s="187"/>
      <c r="QFP160" s="187"/>
      <c r="QFQ160" s="187"/>
      <c r="QFR160" s="187"/>
      <c r="QFS160" s="187"/>
      <c r="QFT160" s="187"/>
      <c r="QFU160" s="187"/>
      <c r="QFV160" s="187"/>
      <c r="QFW160" s="187"/>
      <c r="QFX160" s="187"/>
      <c r="QFY160" s="187"/>
      <c r="QFZ160" s="187"/>
      <c r="QGA160" s="187"/>
      <c r="QGB160" s="187"/>
      <c r="QGC160" s="187"/>
      <c r="QGD160" s="187"/>
      <c r="QGE160" s="187"/>
      <c r="QGF160" s="187"/>
      <c r="QGG160" s="187"/>
      <c r="QGH160" s="187"/>
      <c r="QGI160" s="187"/>
      <c r="QGJ160" s="187"/>
      <c r="QGK160" s="187"/>
      <c r="QGL160" s="187"/>
      <c r="QGM160" s="187"/>
      <c r="QGN160" s="187"/>
      <c r="QGO160" s="187"/>
      <c r="QGP160" s="187"/>
      <c r="QGQ160" s="187"/>
      <c r="QGR160" s="187"/>
      <c r="QGS160" s="187"/>
      <c r="QGT160" s="187"/>
      <c r="QGU160" s="187"/>
      <c r="QGV160" s="187"/>
      <c r="QGW160" s="187"/>
      <c r="QGX160" s="187"/>
      <c r="QGY160" s="187"/>
      <c r="QGZ160" s="187"/>
      <c r="QHA160" s="187"/>
      <c r="QHB160" s="187"/>
      <c r="QHC160" s="187"/>
      <c r="QHD160" s="187"/>
      <c r="QHE160" s="187"/>
      <c r="QHF160" s="187"/>
      <c r="QHG160" s="187"/>
      <c r="QHH160" s="187"/>
      <c r="QHI160" s="187"/>
      <c r="QHJ160" s="187"/>
      <c r="QHK160" s="187"/>
      <c r="QHL160" s="187"/>
      <c r="QHM160" s="187"/>
      <c r="QHN160" s="187"/>
      <c r="QHO160" s="187"/>
      <c r="QHP160" s="187"/>
      <c r="QHQ160" s="187"/>
      <c r="QHR160" s="187"/>
      <c r="QHS160" s="187"/>
      <c r="QHT160" s="187"/>
      <c r="QHU160" s="187"/>
      <c r="QHV160" s="187"/>
      <c r="QHW160" s="187"/>
      <c r="QHX160" s="187"/>
      <c r="QHY160" s="187"/>
      <c r="QHZ160" s="187"/>
      <c r="QIA160" s="187"/>
      <c r="QIB160" s="187"/>
      <c r="QIC160" s="187"/>
      <c r="QID160" s="187"/>
      <c r="QIE160" s="187"/>
      <c r="QIF160" s="187"/>
      <c r="QIG160" s="187"/>
      <c r="QIH160" s="187"/>
      <c r="QII160" s="187"/>
      <c r="QIJ160" s="187"/>
      <c r="QIK160" s="187"/>
      <c r="QIL160" s="187"/>
      <c r="QIM160" s="187"/>
      <c r="QIN160" s="187"/>
      <c r="QIO160" s="187"/>
      <c r="QIP160" s="187"/>
      <c r="QIQ160" s="187"/>
      <c r="QIR160" s="187"/>
      <c r="QIS160" s="187"/>
      <c r="QIT160" s="187"/>
      <c r="QIU160" s="187"/>
      <c r="QIV160" s="187"/>
      <c r="QIW160" s="187"/>
      <c r="QIX160" s="187"/>
      <c r="QIY160" s="187"/>
      <c r="QIZ160" s="187"/>
      <c r="QJA160" s="187"/>
      <c r="QJB160" s="187"/>
      <c r="QJC160" s="187"/>
      <c r="QJD160" s="187"/>
      <c r="QJE160" s="187"/>
      <c r="QJF160" s="187"/>
      <c r="QJG160" s="187"/>
      <c r="QJH160" s="187"/>
      <c r="QJI160" s="187"/>
      <c r="QJJ160" s="187"/>
      <c r="QJK160" s="187"/>
      <c r="QJL160" s="187"/>
      <c r="QJM160" s="187"/>
      <c r="QJN160" s="187"/>
      <c r="QJO160" s="187"/>
      <c r="QJP160" s="187"/>
      <c r="QJQ160" s="187"/>
      <c r="QJR160" s="187"/>
      <c r="QJS160" s="187"/>
      <c r="QJT160" s="187"/>
      <c r="QJU160" s="187"/>
      <c r="QJV160" s="187"/>
      <c r="QJW160" s="187"/>
      <c r="QJX160" s="187"/>
      <c r="QJY160" s="187"/>
      <c r="QJZ160" s="187"/>
      <c r="QKA160" s="187"/>
      <c r="QKB160" s="187"/>
      <c r="QKC160" s="187"/>
      <c r="QKD160" s="187"/>
      <c r="QKE160" s="187"/>
      <c r="QKF160" s="187"/>
      <c r="QKG160" s="187"/>
      <c r="QKH160" s="187"/>
      <c r="QKI160" s="187"/>
      <c r="QKJ160" s="187"/>
      <c r="QKK160" s="187"/>
      <c r="QKL160" s="187"/>
      <c r="QKM160" s="187"/>
      <c r="QKN160" s="187"/>
      <c r="QKO160" s="187"/>
      <c r="QKP160" s="187"/>
      <c r="QKQ160" s="187"/>
      <c r="QKR160" s="187"/>
      <c r="QKS160" s="187"/>
      <c r="QKT160" s="187"/>
      <c r="QKU160" s="187"/>
      <c r="QKV160" s="187"/>
      <c r="QKW160" s="187"/>
      <c r="QKX160" s="187"/>
      <c r="QKY160" s="187"/>
      <c r="QKZ160" s="187"/>
      <c r="QLA160" s="187"/>
      <c r="QLB160" s="187"/>
      <c r="QLC160" s="187"/>
      <c r="QLD160" s="187"/>
      <c r="QLE160" s="187"/>
      <c r="QLF160" s="187"/>
      <c r="QLG160" s="187"/>
      <c r="QLH160" s="187"/>
      <c r="QLI160" s="187"/>
      <c r="QLJ160" s="187"/>
      <c r="QLK160" s="187"/>
      <c r="QLL160" s="187"/>
      <c r="QLM160" s="187"/>
      <c r="QLN160" s="187"/>
      <c r="QLO160" s="187"/>
      <c r="QLP160" s="187"/>
      <c r="QLQ160" s="187"/>
      <c r="QLR160" s="187"/>
      <c r="QLS160" s="187"/>
      <c r="QLT160" s="187"/>
      <c r="QLU160" s="187"/>
      <c r="QLV160" s="187"/>
      <c r="QLW160" s="187"/>
      <c r="QLX160" s="187"/>
      <c r="QLY160" s="187"/>
      <c r="QLZ160" s="187"/>
      <c r="QMA160" s="187"/>
      <c r="QMB160" s="187"/>
      <c r="QMC160" s="187"/>
      <c r="QMD160" s="187"/>
      <c r="QME160" s="187"/>
      <c r="QMF160" s="187"/>
      <c r="QMG160" s="187"/>
      <c r="QMH160" s="187"/>
      <c r="QMI160" s="187"/>
      <c r="QMJ160" s="187"/>
      <c r="QMK160" s="187"/>
      <c r="QML160" s="187"/>
      <c r="QMM160" s="187"/>
      <c r="QMN160" s="187"/>
      <c r="QMO160" s="187"/>
      <c r="QMP160" s="187"/>
      <c r="QMQ160" s="187"/>
      <c r="QMR160" s="187"/>
      <c r="QMS160" s="187"/>
      <c r="QMT160" s="187"/>
      <c r="QMU160" s="187"/>
      <c r="QMV160" s="187"/>
      <c r="QMW160" s="187"/>
      <c r="QMX160" s="187"/>
      <c r="QMY160" s="187"/>
      <c r="QMZ160" s="187"/>
      <c r="QNA160" s="187"/>
      <c r="QNB160" s="187"/>
      <c r="QNC160" s="187"/>
      <c r="QND160" s="187"/>
      <c r="QNE160" s="187"/>
      <c r="QNF160" s="187"/>
      <c r="QNG160" s="187"/>
      <c r="QNH160" s="187"/>
      <c r="QNI160" s="187"/>
      <c r="QNJ160" s="187"/>
      <c r="QNK160" s="187"/>
      <c r="QNL160" s="187"/>
      <c r="QNM160" s="187"/>
      <c r="QNN160" s="187"/>
      <c r="QNO160" s="187"/>
      <c r="QNP160" s="187"/>
      <c r="QNQ160" s="187"/>
      <c r="QNR160" s="187"/>
      <c r="QNS160" s="187"/>
      <c r="QNT160" s="187"/>
      <c r="QNU160" s="187"/>
      <c r="QNV160" s="187"/>
      <c r="QNW160" s="187"/>
      <c r="QNX160" s="187"/>
      <c r="QNY160" s="187"/>
      <c r="QNZ160" s="187"/>
      <c r="QOA160" s="187"/>
      <c r="QOB160" s="187"/>
      <c r="QOC160" s="187"/>
      <c r="QOD160" s="187"/>
      <c r="QOE160" s="187"/>
      <c r="QOF160" s="187"/>
      <c r="QOG160" s="187"/>
      <c r="QOH160" s="187"/>
      <c r="QOI160" s="187"/>
      <c r="QOJ160" s="187"/>
      <c r="QOK160" s="187"/>
      <c r="QOL160" s="187"/>
      <c r="QOM160" s="187"/>
      <c r="QON160" s="187"/>
      <c r="QOO160" s="187"/>
      <c r="QOP160" s="187"/>
      <c r="QOQ160" s="187"/>
      <c r="QOR160" s="187"/>
      <c r="QOS160" s="187"/>
      <c r="QOT160" s="187"/>
      <c r="QOU160" s="187"/>
      <c r="QOV160" s="187"/>
      <c r="QOW160" s="187"/>
      <c r="QOX160" s="187"/>
      <c r="QOY160" s="187"/>
      <c r="QOZ160" s="187"/>
      <c r="QPA160" s="187"/>
      <c r="QPB160" s="187"/>
      <c r="QPC160" s="187"/>
      <c r="QPD160" s="187"/>
      <c r="QPE160" s="187"/>
      <c r="QPF160" s="187"/>
      <c r="QPG160" s="187"/>
      <c r="QPH160" s="187"/>
      <c r="QPI160" s="187"/>
      <c r="QPJ160" s="187"/>
      <c r="QPK160" s="187"/>
      <c r="QPL160" s="187"/>
      <c r="QPM160" s="187"/>
      <c r="QPN160" s="187"/>
      <c r="QPO160" s="187"/>
      <c r="QPP160" s="187"/>
      <c r="QPQ160" s="187"/>
      <c r="QPR160" s="187"/>
      <c r="QPS160" s="187"/>
      <c r="QPT160" s="187"/>
      <c r="QPU160" s="187"/>
      <c r="QPV160" s="187"/>
      <c r="QPW160" s="187"/>
      <c r="QPX160" s="187"/>
      <c r="QPY160" s="187"/>
      <c r="QPZ160" s="187"/>
      <c r="QQA160" s="187"/>
      <c r="QQB160" s="187"/>
      <c r="QQC160" s="187"/>
      <c r="QQD160" s="187"/>
      <c r="QQE160" s="187"/>
      <c r="QQF160" s="187"/>
      <c r="QQG160" s="187"/>
      <c r="QQH160" s="187"/>
      <c r="QQI160" s="187"/>
      <c r="QQJ160" s="187"/>
      <c r="QQK160" s="187"/>
      <c r="QQL160" s="187"/>
      <c r="QQM160" s="187"/>
      <c r="QQN160" s="187"/>
      <c r="QQO160" s="187"/>
      <c r="QQP160" s="187"/>
      <c r="QQQ160" s="187"/>
      <c r="QQR160" s="187"/>
      <c r="QQS160" s="187"/>
      <c r="QQT160" s="187"/>
      <c r="QQU160" s="187"/>
      <c r="QQV160" s="187"/>
      <c r="QQW160" s="187"/>
      <c r="QQX160" s="187"/>
      <c r="QQY160" s="187"/>
      <c r="QQZ160" s="187"/>
      <c r="QRA160" s="187"/>
      <c r="QRB160" s="187"/>
      <c r="QRC160" s="187"/>
      <c r="QRD160" s="187"/>
      <c r="QRE160" s="187"/>
      <c r="QRF160" s="187"/>
      <c r="QRG160" s="187"/>
      <c r="QRH160" s="187"/>
      <c r="QRI160" s="187"/>
      <c r="QRJ160" s="187"/>
      <c r="QRK160" s="187"/>
      <c r="QRL160" s="187"/>
      <c r="QRM160" s="187"/>
      <c r="QRN160" s="187"/>
      <c r="QRO160" s="187"/>
      <c r="QRP160" s="187"/>
      <c r="QRQ160" s="187"/>
      <c r="QRR160" s="187"/>
      <c r="QRS160" s="187"/>
      <c r="QRT160" s="187"/>
      <c r="QRU160" s="187"/>
      <c r="QRV160" s="187"/>
      <c r="QRW160" s="187"/>
      <c r="QRX160" s="187"/>
      <c r="QRY160" s="187"/>
      <c r="QRZ160" s="187"/>
      <c r="QSA160" s="187"/>
      <c r="QSB160" s="187"/>
      <c r="QSC160" s="187"/>
      <c r="QSD160" s="187"/>
      <c r="QSE160" s="187"/>
      <c r="QSF160" s="187"/>
      <c r="QSG160" s="187"/>
      <c r="QSH160" s="187"/>
      <c r="QSI160" s="187"/>
      <c r="QSJ160" s="187"/>
      <c r="QSK160" s="187"/>
      <c r="QSL160" s="187"/>
      <c r="QSM160" s="187"/>
      <c r="QSN160" s="187"/>
      <c r="QSO160" s="187"/>
      <c r="QSP160" s="187"/>
      <c r="QSQ160" s="187"/>
      <c r="QSR160" s="187"/>
      <c r="QSS160" s="187"/>
      <c r="QST160" s="187"/>
      <c r="QSU160" s="187"/>
      <c r="QSV160" s="187"/>
      <c r="QSW160" s="187"/>
      <c r="QSX160" s="187"/>
      <c r="QSY160" s="187"/>
      <c r="QSZ160" s="187"/>
      <c r="QTA160" s="187"/>
      <c r="QTB160" s="187"/>
      <c r="QTC160" s="187"/>
      <c r="QTD160" s="187"/>
      <c r="QTE160" s="187"/>
      <c r="QTF160" s="187"/>
      <c r="QTG160" s="187"/>
      <c r="QTH160" s="187"/>
      <c r="QTI160" s="187"/>
      <c r="QTJ160" s="187"/>
      <c r="QTK160" s="187"/>
      <c r="QTL160" s="187"/>
      <c r="QTM160" s="187"/>
      <c r="QTN160" s="187"/>
      <c r="QTO160" s="187"/>
      <c r="QTP160" s="187"/>
      <c r="QTQ160" s="187"/>
      <c r="QTR160" s="187"/>
      <c r="QTS160" s="187"/>
      <c r="QTT160" s="187"/>
      <c r="QTU160" s="187"/>
      <c r="QTV160" s="187"/>
      <c r="QTW160" s="187"/>
      <c r="QTX160" s="187"/>
      <c r="QTY160" s="187"/>
      <c r="QTZ160" s="187"/>
      <c r="QUA160" s="187"/>
      <c r="QUB160" s="187"/>
      <c r="QUC160" s="187"/>
      <c r="QUD160" s="187"/>
      <c r="QUE160" s="187"/>
      <c r="QUF160" s="187"/>
      <c r="QUG160" s="187"/>
      <c r="QUH160" s="187"/>
      <c r="QUI160" s="187"/>
      <c r="QUJ160" s="187"/>
      <c r="QUK160" s="187"/>
      <c r="QUL160" s="187"/>
      <c r="QUM160" s="187"/>
      <c r="QUN160" s="187"/>
      <c r="QUO160" s="187"/>
      <c r="QUP160" s="187"/>
      <c r="QUQ160" s="187"/>
      <c r="QUR160" s="187"/>
      <c r="QUS160" s="187"/>
      <c r="QUT160" s="187"/>
      <c r="QUU160" s="187"/>
      <c r="QUV160" s="187"/>
      <c r="QUW160" s="187"/>
      <c r="QUX160" s="187"/>
      <c r="QUY160" s="187"/>
      <c r="QUZ160" s="187"/>
      <c r="QVA160" s="187"/>
      <c r="QVB160" s="187"/>
      <c r="QVC160" s="187"/>
      <c r="QVD160" s="187"/>
      <c r="QVE160" s="187"/>
      <c r="QVF160" s="187"/>
      <c r="QVG160" s="187"/>
      <c r="QVH160" s="187"/>
      <c r="QVI160" s="187"/>
      <c r="QVJ160" s="187"/>
      <c r="QVK160" s="187"/>
      <c r="QVL160" s="187"/>
      <c r="QVM160" s="187"/>
      <c r="QVN160" s="187"/>
      <c r="QVO160" s="187"/>
      <c r="QVP160" s="187"/>
      <c r="QVQ160" s="187"/>
      <c r="QVR160" s="187"/>
      <c r="QVS160" s="187"/>
      <c r="QVT160" s="187"/>
      <c r="QVU160" s="187"/>
      <c r="QVV160" s="187"/>
      <c r="QVW160" s="187"/>
      <c r="QVX160" s="187"/>
      <c r="QVY160" s="187"/>
      <c r="QVZ160" s="187"/>
      <c r="QWA160" s="187"/>
      <c r="QWB160" s="187"/>
      <c r="QWC160" s="187"/>
      <c r="QWD160" s="187"/>
      <c r="QWE160" s="187"/>
      <c r="QWF160" s="187"/>
      <c r="QWG160" s="187"/>
      <c r="QWH160" s="187"/>
      <c r="QWI160" s="187"/>
      <c r="QWJ160" s="187"/>
      <c r="QWK160" s="187"/>
      <c r="QWL160" s="187"/>
      <c r="QWM160" s="187"/>
      <c r="QWN160" s="187"/>
      <c r="QWO160" s="187"/>
      <c r="QWP160" s="187"/>
      <c r="QWQ160" s="187"/>
      <c r="QWR160" s="187"/>
      <c r="QWS160" s="187"/>
      <c r="QWT160" s="187"/>
      <c r="QWU160" s="187"/>
      <c r="QWV160" s="187"/>
      <c r="QWW160" s="187"/>
      <c r="QWX160" s="187"/>
      <c r="QWY160" s="187"/>
      <c r="QWZ160" s="187"/>
      <c r="QXA160" s="187"/>
      <c r="QXB160" s="187"/>
      <c r="QXC160" s="187"/>
      <c r="QXD160" s="187"/>
      <c r="QXE160" s="187"/>
      <c r="QXF160" s="187"/>
      <c r="QXG160" s="187"/>
      <c r="QXH160" s="187"/>
      <c r="QXI160" s="187"/>
      <c r="QXJ160" s="187"/>
      <c r="QXK160" s="187"/>
      <c r="QXL160" s="187"/>
      <c r="QXM160" s="187"/>
      <c r="QXN160" s="187"/>
      <c r="QXO160" s="187"/>
      <c r="QXP160" s="187"/>
      <c r="QXQ160" s="187"/>
      <c r="QXR160" s="187"/>
      <c r="QXS160" s="187"/>
      <c r="QXT160" s="187"/>
      <c r="QXU160" s="187"/>
      <c r="QXV160" s="187"/>
      <c r="QXW160" s="187"/>
      <c r="QXX160" s="187"/>
      <c r="QXY160" s="187"/>
      <c r="QXZ160" s="187"/>
      <c r="QYA160" s="187"/>
      <c r="QYB160" s="187"/>
      <c r="QYC160" s="187"/>
      <c r="QYD160" s="187"/>
      <c r="QYE160" s="187"/>
      <c r="QYF160" s="187"/>
      <c r="QYG160" s="187"/>
      <c r="QYH160" s="187"/>
      <c r="QYI160" s="187"/>
      <c r="QYJ160" s="187"/>
      <c r="QYK160" s="187"/>
      <c r="QYL160" s="187"/>
      <c r="QYM160" s="187"/>
      <c r="QYN160" s="187"/>
      <c r="QYO160" s="187"/>
      <c r="QYP160" s="187"/>
      <c r="QYQ160" s="187"/>
      <c r="QYR160" s="187"/>
      <c r="QYS160" s="187"/>
      <c r="QYT160" s="187"/>
      <c r="QYU160" s="187"/>
      <c r="QYV160" s="187"/>
      <c r="QYW160" s="187"/>
      <c r="QYX160" s="187"/>
      <c r="QYY160" s="187"/>
      <c r="QYZ160" s="187"/>
      <c r="QZA160" s="187"/>
      <c r="QZB160" s="187"/>
      <c r="QZC160" s="187"/>
      <c r="QZD160" s="187"/>
      <c r="QZE160" s="187"/>
      <c r="QZF160" s="187"/>
      <c r="QZG160" s="187"/>
      <c r="QZH160" s="187"/>
      <c r="QZI160" s="187"/>
      <c r="QZJ160" s="187"/>
      <c r="QZK160" s="187"/>
      <c r="QZL160" s="187"/>
      <c r="QZM160" s="187"/>
      <c r="QZN160" s="187"/>
      <c r="QZO160" s="187"/>
      <c r="QZP160" s="187"/>
      <c r="QZQ160" s="187"/>
      <c r="QZR160" s="187"/>
      <c r="QZS160" s="187"/>
      <c r="QZT160" s="187"/>
      <c r="QZU160" s="187"/>
      <c r="QZV160" s="187"/>
      <c r="QZW160" s="187"/>
      <c r="QZX160" s="187"/>
      <c r="QZY160" s="187"/>
      <c r="QZZ160" s="187"/>
      <c r="RAA160" s="187"/>
      <c r="RAB160" s="187"/>
      <c r="RAC160" s="187"/>
      <c r="RAD160" s="187"/>
      <c r="RAE160" s="187"/>
      <c r="RAF160" s="187"/>
      <c r="RAG160" s="187"/>
      <c r="RAH160" s="187"/>
      <c r="RAI160" s="187"/>
      <c r="RAJ160" s="187"/>
      <c r="RAK160" s="187"/>
      <c r="RAL160" s="187"/>
      <c r="RAM160" s="187"/>
      <c r="RAN160" s="187"/>
      <c r="RAO160" s="187"/>
      <c r="RAP160" s="187"/>
      <c r="RAQ160" s="187"/>
      <c r="RAR160" s="187"/>
      <c r="RAS160" s="187"/>
      <c r="RAT160" s="187"/>
      <c r="RAU160" s="187"/>
      <c r="RAV160" s="187"/>
      <c r="RAW160" s="187"/>
      <c r="RAX160" s="187"/>
      <c r="RAY160" s="187"/>
      <c r="RAZ160" s="187"/>
      <c r="RBA160" s="187"/>
      <c r="RBB160" s="187"/>
      <c r="RBC160" s="187"/>
      <c r="RBD160" s="187"/>
      <c r="RBE160" s="187"/>
      <c r="RBF160" s="187"/>
      <c r="RBG160" s="187"/>
      <c r="RBH160" s="187"/>
      <c r="RBI160" s="187"/>
      <c r="RBJ160" s="187"/>
      <c r="RBK160" s="187"/>
      <c r="RBL160" s="187"/>
      <c r="RBM160" s="187"/>
      <c r="RBN160" s="187"/>
      <c r="RBO160" s="187"/>
      <c r="RBP160" s="187"/>
      <c r="RBQ160" s="187"/>
      <c r="RBR160" s="187"/>
      <c r="RBS160" s="187"/>
      <c r="RBT160" s="187"/>
      <c r="RBU160" s="187"/>
      <c r="RBV160" s="187"/>
      <c r="RBW160" s="187"/>
      <c r="RBX160" s="187"/>
      <c r="RBY160" s="187"/>
      <c r="RBZ160" s="187"/>
      <c r="RCA160" s="187"/>
      <c r="RCB160" s="187"/>
      <c r="RCC160" s="187"/>
      <c r="RCD160" s="187"/>
      <c r="RCE160" s="187"/>
      <c r="RCF160" s="187"/>
      <c r="RCG160" s="187"/>
      <c r="RCH160" s="187"/>
      <c r="RCI160" s="187"/>
      <c r="RCJ160" s="187"/>
      <c r="RCK160" s="187"/>
      <c r="RCL160" s="187"/>
      <c r="RCM160" s="187"/>
      <c r="RCN160" s="187"/>
      <c r="RCO160" s="187"/>
      <c r="RCP160" s="187"/>
      <c r="RCQ160" s="187"/>
      <c r="RCR160" s="187"/>
      <c r="RCS160" s="187"/>
      <c r="RCT160" s="187"/>
      <c r="RCU160" s="187"/>
      <c r="RCV160" s="187"/>
      <c r="RCW160" s="187"/>
      <c r="RCX160" s="187"/>
      <c r="RCY160" s="187"/>
      <c r="RCZ160" s="187"/>
      <c r="RDA160" s="187"/>
      <c r="RDB160" s="187"/>
      <c r="RDC160" s="187"/>
      <c r="RDD160" s="187"/>
      <c r="RDE160" s="187"/>
      <c r="RDF160" s="187"/>
      <c r="RDG160" s="187"/>
      <c r="RDH160" s="187"/>
      <c r="RDI160" s="187"/>
      <c r="RDJ160" s="187"/>
      <c r="RDK160" s="187"/>
      <c r="RDL160" s="187"/>
      <c r="RDM160" s="187"/>
      <c r="RDN160" s="187"/>
      <c r="RDO160" s="187"/>
      <c r="RDP160" s="187"/>
      <c r="RDQ160" s="187"/>
      <c r="RDR160" s="187"/>
      <c r="RDS160" s="187"/>
      <c r="RDT160" s="187"/>
      <c r="RDU160" s="187"/>
      <c r="RDV160" s="187"/>
      <c r="RDW160" s="187"/>
      <c r="RDX160" s="187"/>
      <c r="RDY160" s="187"/>
      <c r="RDZ160" s="187"/>
      <c r="REA160" s="187"/>
      <c r="REB160" s="187"/>
      <c r="REC160" s="187"/>
      <c r="RED160" s="187"/>
      <c r="REE160" s="187"/>
      <c r="REF160" s="187"/>
      <c r="REG160" s="187"/>
      <c r="REH160" s="187"/>
      <c r="REI160" s="187"/>
      <c r="REJ160" s="187"/>
      <c r="REK160" s="187"/>
      <c r="REL160" s="187"/>
      <c r="REM160" s="187"/>
      <c r="REN160" s="187"/>
      <c r="REO160" s="187"/>
      <c r="REP160" s="187"/>
      <c r="REQ160" s="187"/>
      <c r="RER160" s="187"/>
      <c r="RES160" s="187"/>
      <c r="RET160" s="187"/>
      <c r="REU160" s="187"/>
      <c r="REV160" s="187"/>
      <c r="REW160" s="187"/>
      <c r="REX160" s="187"/>
      <c r="REY160" s="187"/>
      <c r="REZ160" s="187"/>
      <c r="RFA160" s="187"/>
      <c r="RFB160" s="187"/>
      <c r="RFC160" s="187"/>
      <c r="RFD160" s="187"/>
      <c r="RFE160" s="187"/>
      <c r="RFF160" s="187"/>
      <c r="RFG160" s="187"/>
      <c r="RFH160" s="187"/>
      <c r="RFI160" s="187"/>
      <c r="RFJ160" s="187"/>
      <c r="RFK160" s="187"/>
      <c r="RFL160" s="187"/>
      <c r="RFM160" s="187"/>
      <c r="RFN160" s="187"/>
      <c r="RFO160" s="187"/>
      <c r="RFP160" s="187"/>
      <c r="RFQ160" s="187"/>
      <c r="RFR160" s="187"/>
      <c r="RFS160" s="187"/>
      <c r="RFT160" s="187"/>
      <c r="RFU160" s="187"/>
      <c r="RFV160" s="187"/>
      <c r="RFW160" s="187"/>
      <c r="RFX160" s="187"/>
      <c r="RFY160" s="187"/>
      <c r="RFZ160" s="187"/>
      <c r="RGA160" s="187"/>
      <c r="RGB160" s="187"/>
      <c r="RGC160" s="187"/>
      <c r="RGD160" s="187"/>
      <c r="RGE160" s="187"/>
      <c r="RGF160" s="187"/>
      <c r="RGG160" s="187"/>
      <c r="RGH160" s="187"/>
      <c r="RGI160" s="187"/>
      <c r="RGJ160" s="187"/>
      <c r="RGK160" s="187"/>
      <c r="RGL160" s="187"/>
      <c r="RGM160" s="187"/>
      <c r="RGN160" s="187"/>
      <c r="RGO160" s="187"/>
      <c r="RGP160" s="187"/>
      <c r="RGQ160" s="187"/>
      <c r="RGR160" s="187"/>
      <c r="RGS160" s="187"/>
      <c r="RGT160" s="187"/>
      <c r="RGU160" s="187"/>
      <c r="RGV160" s="187"/>
      <c r="RGW160" s="187"/>
      <c r="RGX160" s="187"/>
      <c r="RGY160" s="187"/>
      <c r="RGZ160" s="187"/>
      <c r="RHA160" s="187"/>
      <c r="RHB160" s="187"/>
      <c r="RHC160" s="187"/>
      <c r="RHD160" s="187"/>
      <c r="RHE160" s="187"/>
      <c r="RHF160" s="187"/>
      <c r="RHG160" s="187"/>
      <c r="RHH160" s="187"/>
      <c r="RHI160" s="187"/>
      <c r="RHJ160" s="187"/>
      <c r="RHK160" s="187"/>
      <c r="RHL160" s="187"/>
      <c r="RHM160" s="187"/>
      <c r="RHN160" s="187"/>
      <c r="RHO160" s="187"/>
      <c r="RHP160" s="187"/>
      <c r="RHQ160" s="187"/>
      <c r="RHR160" s="187"/>
      <c r="RHS160" s="187"/>
      <c r="RHT160" s="187"/>
      <c r="RHU160" s="187"/>
      <c r="RHV160" s="187"/>
      <c r="RHW160" s="187"/>
      <c r="RHX160" s="187"/>
      <c r="RHY160" s="187"/>
      <c r="RHZ160" s="187"/>
      <c r="RIA160" s="187"/>
      <c r="RIB160" s="187"/>
      <c r="RIC160" s="187"/>
      <c r="RID160" s="187"/>
      <c r="RIE160" s="187"/>
      <c r="RIF160" s="187"/>
      <c r="RIG160" s="187"/>
      <c r="RIH160" s="187"/>
      <c r="RII160" s="187"/>
      <c r="RIJ160" s="187"/>
      <c r="RIK160" s="187"/>
      <c r="RIL160" s="187"/>
      <c r="RIM160" s="187"/>
      <c r="RIN160" s="187"/>
      <c r="RIO160" s="187"/>
      <c r="RIP160" s="187"/>
      <c r="RIQ160" s="187"/>
      <c r="RIR160" s="187"/>
      <c r="RIS160" s="187"/>
      <c r="RIT160" s="187"/>
      <c r="RIU160" s="187"/>
      <c r="RIV160" s="187"/>
      <c r="RIW160" s="187"/>
      <c r="RIX160" s="187"/>
      <c r="RIY160" s="187"/>
      <c r="RIZ160" s="187"/>
      <c r="RJA160" s="187"/>
      <c r="RJB160" s="187"/>
      <c r="RJC160" s="187"/>
      <c r="RJD160" s="187"/>
      <c r="RJE160" s="187"/>
      <c r="RJF160" s="187"/>
      <c r="RJG160" s="187"/>
      <c r="RJH160" s="187"/>
      <c r="RJI160" s="187"/>
      <c r="RJJ160" s="187"/>
      <c r="RJK160" s="187"/>
      <c r="RJL160" s="187"/>
      <c r="RJM160" s="187"/>
      <c r="RJN160" s="187"/>
      <c r="RJO160" s="187"/>
      <c r="RJP160" s="187"/>
      <c r="RJQ160" s="187"/>
      <c r="RJR160" s="187"/>
      <c r="RJS160" s="187"/>
      <c r="RJT160" s="187"/>
      <c r="RJU160" s="187"/>
      <c r="RJV160" s="187"/>
      <c r="RJW160" s="187"/>
      <c r="RJX160" s="187"/>
      <c r="RJY160" s="187"/>
      <c r="RJZ160" s="187"/>
      <c r="RKA160" s="187"/>
      <c r="RKB160" s="187"/>
      <c r="RKC160" s="187"/>
      <c r="RKD160" s="187"/>
      <c r="RKE160" s="187"/>
      <c r="RKF160" s="187"/>
      <c r="RKG160" s="187"/>
      <c r="RKH160" s="187"/>
      <c r="RKI160" s="187"/>
      <c r="RKJ160" s="187"/>
      <c r="RKK160" s="187"/>
      <c r="RKL160" s="187"/>
      <c r="RKM160" s="187"/>
      <c r="RKN160" s="187"/>
      <c r="RKO160" s="187"/>
      <c r="RKP160" s="187"/>
      <c r="RKQ160" s="187"/>
      <c r="RKR160" s="187"/>
      <c r="RKS160" s="187"/>
      <c r="RKT160" s="187"/>
      <c r="RKU160" s="187"/>
      <c r="RKV160" s="187"/>
      <c r="RKW160" s="187"/>
      <c r="RKX160" s="187"/>
      <c r="RKY160" s="187"/>
      <c r="RKZ160" s="187"/>
      <c r="RLA160" s="187"/>
      <c r="RLB160" s="187"/>
      <c r="RLC160" s="187"/>
      <c r="RLD160" s="187"/>
      <c r="RLE160" s="187"/>
      <c r="RLF160" s="187"/>
      <c r="RLG160" s="187"/>
      <c r="RLH160" s="187"/>
      <c r="RLI160" s="187"/>
      <c r="RLJ160" s="187"/>
      <c r="RLK160" s="187"/>
      <c r="RLL160" s="187"/>
      <c r="RLM160" s="187"/>
      <c r="RLN160" s="187"/>
      <c r="RLO160" s="187"/>
      <c r="RLP160" s="187"/>
      <c r="RLQ160" s="187"/>
      <c r="RLR160" s="187"/>
      <c r="RLS160" s="187"/>
      <c r="RLT160" s="187"/>
      <c r="RLU160" s="187"/>
      <c r="RLV160" s="187"/>
      <c r="RLW160" s="187"/>
      <c r="RLX160" s="187"/>
      <c r="RLY160" s="187"/>
      <c r="RLZ160" s="187"/>
      <c r="RMA160" s="187"/>
      <c r="RMB160" s="187"/>
      <c r="RMC160" s="187"/>
      <c r="RMD160" s="187"/>
      <c r="RME160" s="187"/>
      <c r="RMF160" s="187"/>
      <c r="RMG160" s="187"/>
      <c r="RMH160" s="187"/>
      <c r="RMI160" s="187"/>
      <c r="RMJ160" s="187"/>
      <c r="RMK160" s="187"/>
      <c r="RML160" s="187"/>
      <c r="RMM160" s="187"/>
      <c r="RMN160" s="187"/>
      <c r="RMO160" s="187"/>
      <c r="RMP160" s="187"/>
      <c r="RMQ160" s="187"/>
      <c r="RMR160" s="187"/>
      <c r="RMS160" s="187"/>
      <c r="RMT160" s="187"/>
      <c r="RMU160" s="187"/>
      <c r="RMV160" s="187"/>
      <c r="RMW160" s="187"/>
      <c r="RMX160" s="187"/>
      <c r="RMY160" s="187"/>
      <c r="RMZ160" s="187"/>
      <c r="RNA160" s="187"/>
      <c r="RNB160" s="187"/>
      <c r="RNC160" s="187"/>
      <c r="RND160" s="187"/>
      <c r="RNE160" s="187"/>
      <c r="RNF160" s="187"/>
      <c r="RNG160" s="187"/>
      <c r="RNH160" s="187"/>
      <c r="RNI160" s="187"/>
      <c r="RNJ160" s="187"/>
      <c r="RNK160" s="187"/>
      <c r="RNL160" s="187"/>
      <c r="RNM160" s="187"/>
      <c r="RNN160" s="187"/>
      <c r="RNO160" s="187"/>
      <c r="RNP160" s="187"/>
      <c r="RNQ160" s="187"/>
      <c r="RNR160" s="187"/>
      <c r="RNS160" s="187"/>
      <c r="RNT160" s="187"/>
      <c r="RNU160" s="187"/>
      <c r="RNV160" s="187"/>
      <c r="RNW160" s="187"/>
      <c r="RNX160" s="187"/>
      <c r="RNY160" s="187"/>
      <c r="RNZ160" s="187"/>
      <c r="ROA160" s="187"/>
      <c r="ROB160" s="187"/>
      <c r="ROC160" s="187"/>
      <c r="ROD160" s="187"/>
      <c r="ROE160" s="187"/>
      <c r="ROF160" s="187"/>
      <c r="ROG160" s="187"/>
      <c r="ROH160" s="187"/>
      <c r="ROI160" s="187"/>
      <c r="ROJ160" s="187"/>
      <c r="ROK160" s="187"/>
      <c r="ROL160" s="187"/>
      <c r="ROM160" s="187"/>
      <c r="RON160" s="187"/>
      <c r="ROO160" s="187"/>
      <c r="ROP160" s="187"/>
      <c r="ROQ160" s="187"/>
      <c r="ROR160" s="187"/>
      <c r="ROS160" s="187"/>
      <c r="ROT160" s="187"/>
      <c r="ROU160" s="187"/>
      <c r="ROV160" s="187"/>
      <c r="ROW160" s="187"/>
      <c r="ROX160" s="187"/>
      <c r="ROY160" s="187"/>
      <c r="ROZ160" s="187"/>
      <c r="RPA160" s="187"/>
      <c r="RPB160" s="187"/>
      <c r="RPC160" s="187"/>
      <c r="RPD160" s="187"/>
      <c r="RPE160" s="187"/>
      <c r="RPF160" s="187"/>
      <c r="RPG160" s="187"/>
      <c r="RPH160" s="187"/>
      <c r="RPI160" s="187"/>
      <c r="RPJ160" s="187"/>
      <c r="RPK160" s="187"/>
      <c r="RPL160" s="187"/>
      <c r="RPM160" s="187"/>
      <c r="RPN160" s="187"/>
      <c r="RPO160" s="187"/>
      <c r="RPP160" s="187"/>
      <c r="RPQ160" s="187"/>
      <c r="RPR160" s="187"/>
      <c r="RPS160" s="187"/>
      <c r="RPT160" s="187"/>
      <c r="RPU160" s="187"/>
      <c r="RPV160" s="187"/>
      <c r="RPW160" s="187"/>
      <c r="RPX160" s="187"/>
      <c r="RPY160" s="187"/>
      <c r="RPZ160" s="187"/>
      <c r="RQA160" s="187"/>
      <c r="RQB160" s="187"/>
      <c r="RQC160" s="187"/>
      <c r="RQD160" s="187"/>
      <c r="RQE160" s="187"/>
      <c r="RQF160" s="187"/>
      <c r="RQG160" s="187"/>
      <c r="RQH160" s="187"/>
      <c r="RQI160" s="187"/>
      <c r="RQJ160" s="187"/>
      <c r="RQK160" s="187"/>
      <c r="RQL160" s="187"/>
      <c r="RQM160" s="187"/>
      <c r="RQN160" s="187"/>
      <c r="RQO160" s="187"/>
      <c r="RQP160" s="187"/>
      <c r="RQQ160" s="187"/>
      <c r="RQR160" s="187"/>
      <c r="RQS160" s="187"/>
      <c r="RQT160" s="187"/>
      <c r="RQU160" s="187"/>
      <c r="RQV160" s="187"/>
      <c r="RQW160" s="187"/>
      <c r="RQX160" s="187"/>
      <c r="RQY160" s="187"/>
      <c r="RQZ160" s="187"/>
      <c r="RRA160" s="187"/>
      <c r="RRB160" s="187"/>
      <c r="RRC160" s="187"/>
      <c r="RRD160" s="187"/>
      <c r="RRE160" s="187"/>
      <c r="RRF160" s="187"/>
      <c r="RRG160" s="187"/>
      <c r="RRH160" s="187"/>
      <c r="RRI160" s="187"/>
      <c r="RRJ160" s="187"/>
      <c r="RRK160" s="187"/>
      <c r="RRL160" s="187"/>
      <c r="RRM160" s="187"/>
      <c r="RRN160" s="187"/>
      <c r="RRO160" s="187"/>
      <c r="RRP160" s="187"/>
      <c r="RRQ160" s="187"/>
      <c r="RRR160" s="187"/>
      <c r="RRS160" s="187"/>
      <c r="RRT160" s="187"/>
      <c r="RRU160" s="187"/>
      <c r="RRV160" s="187"/>
      <c r="RRW160" s="187"/>
      <c r="RRX160" s="187"/>
      <c r="RRY160" s="187"/>
      <c r="RRZ160" s="187"/>
      <c r="RSA160" s="187"/>
      <c r="RSB160" s="187"/>
      <c r="RSC160" s="187"/>
      <c r="RSD160" s="187"/>
      <c r="RSE160" s="187"/>
      <c r="RSF160" s="187"/>
      <c r="RSG160" s="187"/>
      <c r="RSH160" s="187"/>
      <c r="RSI160" s="187"/>
      <c r="RSJ160" s="187"/>
      <c r="RSK160" s="187"/>
      <c r="RSL160" s="187"/>
      <c r="RSM160" s="187"/>
      <c r="RSN160" s="187"/>
      <c r="RSO160" s="187"/>
      <c r="RSP160" s="187"/>
      <c r="RSQ160" s="187"/>
      <c r="RSR160" s="187"/>
      <c r="RSS160" s="187"/>
      <c r="RST160" s="187"/>
      <c r="RSU160" s="187"/>
      <c r="RSV160" s="187"/>
      <c r="RSW160" s="187"/>
      <c r="RSX160" s="187"/>
      <c r="RSY160" s="187"/>
      <c r="RSZ160" s="187"/>
      <c r="RTA160" s="187"/>
      <c r="RTB160" s="187"/>
      <c r="RTC160" s="187"/>
      <c r="RTD160" s="187"/>
      <c r="RTE160" s="187"/>
      <c r="RTF160" s="187"/>
      <c r="RTG160" s="187"/>
      <c r="RTH160" s="187"/>
      <c r="RTI160" s="187"/>
      <c r="RTJ160" s="187"/>
      <c r="RTK160" s="187"/>
      <c r="RTL160" s="187"/>
      <c r="RTM160" s="187"/>
      <c r="RTN160" s="187"/>
      <c r="RTO160" s="187"/>
      <c r="RTP160" s="187"/>
      <c r="RTQ160" s="187"/>
      <c r="RTR160" s="187"/>
      <c r="RTS160" s="187"/>
      <c r="RTT160" s="187"/>
      <c r="RTU160" s="187"/>
      <c r="RTV160" s="187"/>
      <c r="RTW160" s="187"/>
      <c r="RTX160" s="187"/>
      <c r="RTY160" s="187"/>
      <c r="RTZ160" s="187"/>
      <c r="RUA160" s="187"/>
      <c r="RUB160" s="187"/>
      <c r="RUC160" s="187"/>
      <c r="RUD160" s="187"/>
      <c r="RUE160" s="187"/>
      <c r="RUF160" s="187"/>
      <c r="RUG160" s="187"/>
      <c r="RUH160" s="187"/>
      <c r="RUI160" s="187"/>
      <c r="RUJ160" s="187"/>
      <c r="RUK160" s="187"/>
      <c r="RUL160" s="187"/>
      <c r="RUM160" s="187"/>
      <c r="RUN160" s="187"/>
      <c r="RUO160" s="187"/>
      <c r="RUP160" s="187"/>
      <c r="RUQ160" s="187"/>
      <c r="RUR160" s="187"/>
      <c r="RUS160" s="187"/>
      <c r="RUT160" s="187"/>
      <c r="RUU160" s="187"/>
      <c r="RUV160" s="187"/>
      <c r="RUW160" s="187"/>
      <c r="RUX160" s="187"/>
      <c r="RUY160" s="187"/>
      <c r="RUZ160" s="187"/>
      <c r="RVA160" s="187"/>
      <c r="RVB160" s="187"/>
      <c r="RVC160" s="187"/>
      <c r="RVD160" s="187"/>
      <c r="RVE160" s="187"/>
      <c r="RVF160" s="187"/>
      <c r="RVG160" s="187"/>
      <c r="RVH160" s="187"/>
      <c r="RVI160" s="187"/>
      <c r="RVJ160" s="187"/>
      <c r="RVK160" s="187"/>
      <c r="RVL160" s="187"/>
      <c r="RVM160" s="187"/>
      <c r="RVN160" s="187"/>
      <c r="RVO160" s="187"/>
      <c r="RVP160" s="187"/>
      <c r="RVQ160" s="187"/>
      <c r="RVR160" s="187"/>
      <c r="RVS160" s="187"/>
      <c r="RVT160" s="187"/>
      <c r="RVU160" s="187"/>
      <c r="RVV160" s="187"/>
      <c r="RVW160" s="187"/>
      <c r="RVX160" s="187"/>
      <c r="RVY160" s="187"/>
      <c r="RVZ160" s="187"/>
      <c r="RWA160" s="187"/>
      <c r="RWB160" s="187"/>
      <c r="RWC160" s="187"/>
      <c r="RWD160" s="187"/>
      <c r="RWE160" s="187"/>
      <c r="RWF160" s="187"/>
      <c r="RWG160" s="187"/>
      <c r="RWH160" s="187"/>
      <c r="RWI160" s="187"/>
      <c r="RWJ160" s="187"/>
      <c r="RWK160" s="187"/>
      <c r="RWL160" s="187"/>
      <c r="RWM160" s="187"/>
      <c r="RWN160" s="187"/>
      <c r="RWO160" s="187"/>
      <c r="RWP160" s="187"/>
      <c r="RWQ160" s="187"/>
      <c r="RWR160" s="187"/>
      <c r="RWS160" s="187"/>
      <c r="RWT160" s="187"/>
      <c r="RWU160" s="187"/>
      <c r="RWV160" s="187"/>
      <c r="RWW160" s="187"/>
      <c r="RWX160" s="187"/>
      <c r="RWY160" s="187"/>
      <c r="RWZ160" s="187"/>
      <c r="RXA160" s="187"/>
      <c r="RXB160" s="187"/>
      <c r="RXC160" s="187"/>
      <c r="RXD160" s="187"/>
      <c r="RXE160" s="187"/>
      <c r="RXF160" s="187"/>
      <c r="RXG160" s="187"/>
      <c r="RXH160" s="187"/>
      <c r="RXI160" s="187"/>
      <c r="RXJ160" s="187"/>
      <c r="RXK160" s="187"/>
      <c r="RXL160" s="187"/>
      <c r="RXM160" s="187"/>
      <c r="RXN160" s="187"/>
      <c r="RXO160" s="187"/>
      <c r="RXP160" s="187"/>
      <c r="RXQ160" s="187"/>
      <c r="RXR160" s="187"/>
      <c r="RXS160" s="187"/>
      <c r="RXT160" s="187"/>
      <c r="RXU160" s="187"/>
      <c r="RXV160" s="187"/>
      <c r="RXW160" s="187"/>
      <c r="RXX160" s="187"/>
      <c r="RXY160" s="187"/>
      <c r="RXZ160" s="187"/>
      <c r="RYA160" s="187"/>
      <c r="RYB160" s="187"/>
      <c r="RYC160" s="187"/>
      <c r="RYD160" s="187"/>
      <c r="RYE160" s="187"/>
      <c r="RYF160" s="187"/>
      <c r="RYG160" s="187"/>
      <c r="RYH160" s="187"/>
      <c r="RYI160" s="187"/>
      <c r="RYJ160" s="187"/>
      <c r="RYK160" s="187"/>
      <c r="RYL160" s="187"/>
      <c r="RYM160" s="187"/>
      <c r="RYN160" s="187"/>
      <c r="RYO160" s="187"/>
      <c r="RYP160" s="187"/>
      <c r="RYQ160" s="187"/>
      <c r="RYR160" s="187"/>
      <c r="RYS160" s="187"/>
      <c r="RYT160" s="187"/>
      <c r="RYU160" s="187"/>
      <c r="RYV160" s="187"/>
      <c r="RYW160" s="187"/>
      <c r="RYX160" s="187"/>
      <c r="RYY160" s="187"/>
      <c r="RYZ160" s="187"/>
      <c r="RZA160" s="187"/>
      <c r="RZB160" s="187"/>
      <c r="RZC160" s="187"/>
      <c r="RZD160" s="187"/>
      <c r="RZE160" s="187"/>
      <c r="RZF160" s="187"/>
      <c r="RZG160" s="187"/>
      <c r="RZH160" s="187"/>
      <c r="RZI160" s="187"/>
      <c r="RZJ160" s="187"/>
      <c r="RZK160" s="187"/>
      <c r="RZL160" s="187"/>
      <c r="RZM160" s="187"/>
      <c r="RZN160" s="187"/>
      <c r="RZO160" s="187"/>
      <c r="RZP160" s="187"/>
      <c r="RZQ160" s="187"/>
      <c r="RZR160" s="187"/>
      <c r="RZS160" s="187"/>
      <c r="RZT160" s="187"/>
      <c r="RZU160" s="187"/>
      <c r="RZV160" s="187"/>
      <c r="RZW160" s="187"/>
      <c r="RZX160" s="187"/>
      <c r="RZY160" s="187"/>
      <c r="RZZ160" s="187"/>
      <c r="SAA160" s="187"/>
      <c r="SAB160" s="187"/>
      <c r="SAC160" s="187"/>
      <c r="SAD160" s="187"/>
      <c r="SAE160" s="187"/>
      <c r="SAF160" s="187"/>
      <c r="SAG160" s="187"/>
      <c r="SAH160" s="187"/>
      <c r="SAI160" s="187"/>
      <c r="SAJ160" s="187"/>
      <c r="SAK160" s="187"/>
      <c r="SAL160" s="187"/>
      <c r="SAM160" s="187"/>
      <c r="SAN160" s="187"/>
      <c r="SAO160" s="187"/>
      <c r="SAP160" s="187"/>
      <c r="SAQ160" s="187"/>
      <c r="SAR160" s="187"/>
      <c r="SAS160" s="187"/>
      <c r="SAT160" s="187"/>
      <c r="SAU160" s="187"/>
      <c r="SAV160" s="187"/>
      <c r="SAW160" s="187"/>
      <c r="SAX160" s="187"/>
      <c r="SAY160" s="187"/>
      <c r="SAZ160" s="187"/>
      <c r="SBA160" s="187"/>
      <c r="SBB160" s="187"/>
      <c r="SBC160" s="187"/>
      <c r="SBD160" s="187"/>
      <c r="SBE160" s="187"/>
      <c r="SBF160" s="187"/>
      <c r="SBG160" s="187"/>
      <c r="SBH160" s="187"/>
      <c r="SBI160" s="187"/>
      <c r="SBJ160" s="187"/>
      <c r="SBK160" s="187"/>
      <c r="SBL160" s="187"/>
      <c r="SBM160" s="187"/>
      <c r="SBN160" s="187"/>
      <c r="SBO160" s="187"/>
      <c r="SBP160" s="187"/>
      <c r="SBQ160" s="187"/>
      <c r="SBR160" s="187"/>
      <c r="SBS160" s="187"/>
      <c r="SBT160" s="187"/>
      <c r="SBU160" s="187"/>
      <c r="SBV160" s="187"/>
      <c r="SBW160" s="187"/>
      <c r="SBX160" s="187"/>
      <c r="SBY160" s="187"/>
      <c r="SBZ160" s="187"/>
      <c r="SCA160" s="187"/>
      <c r="SCB160" s="187"/>
      <c r="SCC160" s="187"/>
      <c r="SCD160" s="187"/>
      <c r="SCE160" s="187"/>
      <c r="SCF160" s="187"/>
      <c r="SCG160" s="187"/>
      <c r="SCH160" s="187"/>
      <c r="SCI160" s="187"/>
      <c r="SCJ160" s="187"/>
      <c r="SCK160" s="187"/>
      <c r="SCL160" s="187"/>
      <c r="SCM160" s="187"/>
      <c r="SCN160" s="187"/>
      <c r="SCO160" s="187"/>
      <c r="SCP160" s="187"/>
      <c r="SCQ160" s="187"/>
      <c r="SCR160" s="187"/>
      <c r="SCS160" s="187"/>
      <c r="SCT160" s="187"/>
      <c r="SCU160" s="187"/>
      <c r="SCV160" s="187"/>
      <c r="SCW160" s="187"/>
      <c r="SCX160" s="187"/>
      <c r="SCY160" s="187"/>
      <c r="SCZ160" s="187"/>
      <c r="SDA160" s="187"/>
      <c r="SDB160" s="187"/>
      <c r="SDC160" s="187"/>
      <c r="SDD160" s="187"/>
      <c r="SDE160" s="187"/>
      <c r="SDF160" s="187"/>
      <c r="SDG160" s="187"/>
      <c r="SDH160" s="187"/>
      <c r="SDI160" s="187"/>
      <c r="SDJ160" s="187"/>
      <c r="SDK160" s="187"/>
      <c r="SDL160" s="187"/>
      <c r="SDM160" s="187"/>
      <c r="SDN160" s="187"/>
      <c r="SDO160" s="187"/>
      <c r="SDP160" s="187"/>
      <c r="SDQ160" s="187"/>
      <c r="SDR160" s="187"/>
      <c r="SDS160" s="187"/>
      <c r="SDT160" s="187"/>
      <c r="SDU160" s="187"/>
      <c r="SDV160" s="187"/>
      <c r="SDW160" s="187"/>
      <c r="SDX160" s="187"/>
      <c r="SDY160" s="187"/>
      <c r="SDZ160" s="187"/>
      <c r="SEA160" s="187"/>
      <c r="SEB160" s="187"/>
      <c r="SEC160" s="187"/>
      <c r="SED160" s="187"/>
      <c r="SEE160" s="187"/>
      <c r="SEF160" s="187"/>
      <c r="SEG160" s="187"/>
      <c r="SEH160" s="187"/>
      <c r="SEI160" s="187"/>
      <c r="SEJ160" s="187"/>
      <c r="SEK160" s="187"/>
      <c r="SEL160" s="187"/>
      <c r="SEM160" s="187"/>
      <c r="SEN160" s="187"/>
      <c r="SEO160" s="187"/>
      <c r="SEP160" s="187"/>
      <c r="SEQ160" s="187"/>
      <c r="SER160" s="187"/>
      <c r="SES160" s="187"/>
      <c r="SET160" s="187"/>
      <c r="SEU160" s="187"/>
      <c r="SEV160" s="187"/>
      <c r="SEW160" s="187"/>
      <c r="SEX160" s="187"/>
      <c r="SEY160" s="187"/>
      <c r="SEZ160" s="187"/>
      <c r="SFA160" s="187"/>
      <c r="SFB160" s="187"/>
      <c r="SFC160" s="187"/>
      <c r="SFD160" s="187"/>
      <c r="SFE160" s="187"/>
      <c r="SFF160" s="187"/>
      <c r="SFG160" s="187"/>
      <c r="SFH160" s="187"/>
      <c r="SFI160" s="187"/>
      <c r="SFJ160" s="187"/>
      <c r="SFK160" s="187"/>
      <c r="SFL160" s="187"/>
      <c r="SFM160" s="187"/>
      <c r="SFN160" s="187"/>
      <c r="SFO160" s="187"/>
      <c r="SFP160" s="187"/>
      <c r="SFQ160" s="187"/>
      <c r="SFR160" s="187"/>
      <c r="SFS160" s="187"/>
      <c r="SFT160" s="187"/>
      <c r="SFU160" s="187"/>
      <c r="SFV160" s="187"/>
      <c r="SFW160" s="187"/>
      <c r="SFX160" s="187"/>
      <c r="SFY160" s="187"/>
      <c r="SFZ160" s="187"/>
      <c r="SGA160" s="187"/>
      <c r="SGB160" s="187"/>
      <c r="SGC160" s="187"/>
      <c r="SGD160" s="187"/>
      <c r="SGE160" s="187"/>
      <c r="SGF160" s="187"/>
      <c r="SGG160" s="187"/>
      <c r="SGH160" s="187"/>
      <c r="SGI160" s="187"/>
      <c r="SGJ160" s="187"/>
      <c r="SGK160" s="187"/>
      <c r="SGL160" s="187"/>
      <c r="SGM160" s="187"/>
      <c r="SGN160" s="187"/>
      <c r="SGO160" s="187"/>
      <c r="SGP160" s="187"/>
      <c r="SGQ160" s="187"/>
      <c r="SGR160" s="187"/>
      <c r="SGS160" s="187"/>
      <c r="SGT160" s="187"/>
      <c r="SGU160" s="187"/>
      <c r="SGV160" s="187"/>
      <c r="SGW160" s="187"/>
      <c r="SGX160" s="187"/>
      <c r="SGY160" s="187"/>
      <c r="SGZ160" s="187"/>
      <c r="SHA160" s="187"/>
      <c r="SHB160" s="187"/>
      <c r="SHC160" s="187"/>
      <c r="SHD160" s="187"/>
      <c r="SHE160" s="187"/>
      <c r="SHF160" s="187"/>
      <c r="SHG160" s="187"/>
      <c r="SHH160" s="187"/>
      <c r="SHI160" s="187"/>
      <c r="SHJ160" s="187"/>
      <c r="SHK160" s="187"/>
      <c r="SHL160" s="187"/>
      <c r="SHM160" s="187"/>
      <c r="SHN160" s="187"/>
      <c r="SHO160" s="187"/>
      <c r="SHP160" s="187"/>
      <c r="SHQ160" s="187"/>
      <c r="SHR160" s="187"/>
      <c r="SHS160" s="187"/>
      <c r="SHT160" s="187"/>
      <c r="SHU160" s="187"/>
      <c r="SHV160" s="187"/>
      <c r="SHW160" s="187"/>
      <c r="SHX160" s="187"/>
      <c r="SHY160" s="187"/>
      <c r="SHZ160" s="187"/>
      <c r="SIA160" s="187"/>
      <c r="SIB160" s="187"/>
      <c r="SIC160" s="187"/>
      <c r="SID160" s="187"/>
      <c r="SIE160" s="187"/>
      <c r="SIF160" s="187"/>
      <c r="SIG160" s="187"/>
      <c r="SIH160" s="187"/>
      <c r="SII160" s="187"/>
      <c r="SIJ160" s="187"/>
      <c r="SIK160" s="187"/>
      <c r="SIL160" s="187"/>
      <c r="SIM160" s="187"/>
      <c r="SIN160" s="187"/>
      <c r="SIO160" s="187"/>
      <c r="SIP160" s="187"/>
      <c r="SIQ160" s="187"/>
      <c r="SIR160" s="187"/>
      <c r="SIS160" s="187"/>
      <c r="SIT160" s="187"/>
      <c r="SIU160" s="187"/>
      <c r="SIV160" s="187"/>
      <c r="SIW160" s="187"/>
      <c r="SIX160" s="187"/>
      <c r="SIY160" s="187"/>
      <c r="SIZ160" s="187"/>
      <c r="SJA160" s="187"/>
      <c r="SJB160" s="187"/>
      <c r="SJC160" s="187"/>
      <c r="SJD160" s="187"/>
      <c r="SJE160" s="187"/>
      <c r="SJF160" s="187"/>
      <c r="SJG160" s="187"/>
      <c r="SJH160" s="187"/>
      <c r="SJI160" s="187"/>
      <c r="SJJ160" s="187"/>
      <c r="SJK160" s="187"/>
      <c r="SJL160" s="187"/>
      <c r="SJM160" s="187"/>
      <c r="SJN160" s="187"/>
      <c r="SJO160" s="187"/>
      <c r="SJP160" s="187"/>
      <c r="SJQ160" s="187"/>
      <c r="SJR160" s="187"/>
      <c r="SJS160" s="187"/>
      <c r="SJT160" s="187"/>
      <c r="SJU160" s="187"/>
      <c r="SJV160" s="187"/>
      <c r="SJW160" s="187"/>
      <c r="SJX160" s="187"/>
      <c r="SJY160" s="187"/>
      <c r="SJZ160" s="187"/>
      <c r="SKA160" s="187"/>
      <c r="SKB160" s="187"/>
      <c r="SKC160" s="187"/>
      <c r="SKD160" s="187"/>
      <c r="SKE160" s="187"/>
      <c r="SKF160" s="187"/>
      <c r="SKG160" s="187"/>
      <c r="SKH160" s="187"/>
      <c r="SKI160" s="187"/>
      <c r="SKJ160" s="187"/>
      <c r="SKK160" s="187"/>
      <c r="SKL160" s="187"/>
      <c r="SKM160" s="187"/>
      <c r="SKN160" s="187"/>
      <c r="SKO160" s="187"/>
      <c r="SKP160" s="187"/>
      <c r="SKQ160" s="187"/>
      <c r="SKR160" s="187"/>
      <c r="SKS160" s="187"/>
      <c r="SKT160" s="187"/>
      <c r="SKU160" s="187"/>
      <c r="SKV160" s="187"/>
      <c r="SKW160" s="187"/>
      <c r="SKX160" s="187"/>
      <c r="SKY160" s="187"/>
      <c r="SKZ160" s="187"/>
      <c r="SLA160" s="187"/>
      <c r="SLB160" s="187"/>
      <c r="SLC160" s="187"/>
      <c r="SLD160" s="187"/>
      <c r="SLE160" s="187"/>
      <c r="SLF160" s="187"/>
      <c r="SLG160" s="187"/>
      <c r="SLH160" s="187"/>
      <c r="SLI160" s="187"/>
      <c r="SLJ160" s="187"/>
      <c r="SLK160" s="187"/>
      <c r="SLL160" s="187"/>
      <c r="SLM160" s="187"/>
      <c r="SLN160" s="187"/>
      <c r="SLO160" s="187"/>
      <c r="SLP160" s="187"/>
      <c r="SLQ160" s="187"/>
      <c r="SLR160" s="187"/>
      <c r="SLS160" s="187"/>
      <c r="SLT160" s="187"/>
      <c r="SLU160" s="187"/>
      <c r="SLV160" s="187"/>
      <c r="SLW160" s="187"/>
      <c r="SLX160" s="187"/>
      <c r="SLY160" s="187"/>
      <c r="SLZ160" s="187"/>
      <c r="SMA160" s="187"/>
      <c r="SMB160" s="187"/>
      <c r="SMC160" s="187"/>
      <c r="SMD160" s="187"/>
      <c r="SME160" s="187"/>
      <c r="SMF160" s="187"/>
      <c r="SMG160" s="187"/>
      <c r="SMH160" s="187"/>
      <c r="SMI160" s="187"/>
      <c r="SMJ160" s="187"/>
      <c r="SMK160" s="187"/>
      <c r="SML160" s="187"/>
      <c r="SMM160" s="187"/>
      <c r="SMN160" s="187"/>
      <c r="SMO160" s="187"/>
      <c r="SMP160" s="187"/>
      <c r="SMQ160" s="187"/>
      <c r="SMR160" s="187"/>
      <c r="SMS160" s="187"/>
      <c r="SMT160" s="187"/>
      <c r="SMU160" s="187"/>
      <c r="SMV160" s="187"/>
      <c r="SMW160" s="187"/>
      <c r="SMX160" s="187"/>
      <c r="SMY160" s="187"/>
      <c r="SMZ160" s="187"/>
      <c r="SNA160" s="187"/>
      <c r="SNB160" s="187"/>
      <c r="SNC160" s="187"/>
      <c r="SND160" s="187"/>
      <c r="SNE160" s="187"/>
      <c r="SNF160" s="187"/>
      <c r="SNG160" s="187"/>
      <c r="SNH160" s="187"/>
      <c r="SNI160" s="187"/>
      <c r="SNJ160" s="187"/>
      <c r="SNK160" s="187"/>
      <c r="SNL160" s="187"/>
      <c r="SNM160" s="187"/>
      <c r="SNN160" s="187"/>
      <c r="SNO160" s="187"/>
      <c r="SNP160" s="187"/>
      <c r="SNQ160" s="187"/>
      <c r="SNR160" s="187"/>
      <c r="SNS160" s="187"/>
      <c r="SNT160" s="187"/>
      <c r="SNU160" s="187"/>
      <c r="SNV160" s="187"/>
      <c r="SNW160" s="187"/>
      <c r="SNX160" s="187"/>
      <c r="SNY160" s="187"/>
      <c r="SNZ160" s="187"/>
      <c r="SOA160" s="187"/>
      <c r="SOB160" s="187"/>
      <c r="SOC160" s="187"/>
      <c r="SOD160" s="187"/>
      <c r="SOE160" s="187"/>
      <c r="SOF160" s="187"/>
      <c r="SOG160" s="187"/>
      <c r="SOH160" s="187"/>
      <c r="SOI160" s="187"/>
      <c r="SOJ160" s="187"/>
      <c r="SOK160" s="187"/>
      <c r="SOL160" s="187"/>
      <c r="SOM160" s="187"/>
      <c r="SON160" s="187"/>
      <c r="SOO160" s="187"/>
      <c r="SOP160" s="187"/>
      <c r="SOQ160" s="187"/>
      <c r="SOR160" s="187"/>
      <c r="SOS160" s="187"/>
      <c r="SOT160" s="187"/>
      <c r="SOU160" s="187"/>
      <c r="SOV160" s="187"/>
      <c r="SOW160" s="187"/>
      <c r="SOX160" s="187"/>
      <c r="SOY160" s="187"/>
      <c r="SOZ160" s="187"/>
      <c r="SPA160" s="187"/>
      <c r="SPB160" s="187"/>
      <c r="SPC160" s="187"/>
      <c r="SPD160" s="187"/>
      <c r="SPE160" s="187"/>
      <c r="SPF160" s="187"/>
      <c r="SPG160" s="187"/>
      <c r="SPH160" s="187"/>
      <c r="SPI160" s="187"/>
      <c r="SPJ160" s="187"/>
      <c r="SPK160" s="187"/>
      <c r="SPL160" s="187"/>
      <c r="SPM160" s="187"/>
      <c r="SPN160" s="187"/>
      <c r="SPO160" s="187"/>
      <c r="SPP160" s="187"/>
      <c r="SPQ160" s="187"/>
      <c r="SPR160" s="187"/>
      <c r="SPS160" s="187"/>
      <c r="SPT160" s="187"/>
      <c r="SPU160" s="187"/>
      <c r="SPV160" s="187"/>
      <c r="SPW160" s="187"/>
      <c r="SPX160" s="187"/>
      <c r="SPY160" s="187"/>
      <c r="SPZ160" s="187"/>
      <c r="SQA160" s="187"/>
      <c r="SQB160" s="187"/>
      <c r="SQC160" s="187"/>
      <c r="SQD160" s="187"/>
      <c r="SQE160" s="187"/>
      <c r="SQF160" s="187"/>
      <c r="SQG160" s="187"/>
      <c r="SQH160" s="187"/>
      <c r="SQI160" s="187"/>
      <c r="SQJ160" s="187"/>
      <c r="SQK160" s="187"/>
      <c r="SQL160" s="187"/>
      <c r="SQM160" s="187"/>
      <c r="SQN160" s="187"/>
      <c r="SQO160" s="187"/>
      <c r="SQP160" s="187"/>
      <c r="SQQ160" s="187"/>
      <c r="SQR160" s="187"/>
      <c r="SQS160" s="187"/>
      <c r="SQT160" s="187"/>
      <c r="SQU160" s="187"/>
      <c r="SQV160" s="187"/>
      <c r="SQW160" s="187"/>
      <c r="SQX160" s="187"/>
      <c r="SQY160" s="187"/>
      <c r="SQZ160" s="187"/>
      <c r="SRA160" s="187"/>
      <c r="SRB160" s="187"/>
      <c r="SRC160" s="187"/>
      <c r="SRD160" s="187"/>
      <c r="SRE160" s="187"/>
      <c r="SRF160" s="187"/>
      <c r="SRG160" s="187"/>
      <c r="SRH160" s="187"/>
      <c r="SRI160" s="187"/>
      <c r="SRJ160" s="187"/>
      <c r="SRK160" s="187"/>
      <c r="SRL160" s="187"/>
      <c r="SRM160" s="187"/>
      <c r="SRN160" s="187"/>
      <c r="SRO160" s="187"/>
      <c r="SRP160" s="187"/>
      <c r="SRQ160" s="187"/>
      <c r="SRR160" s="187"/>
      <c r="SRS160" s="187"/>
      <c r="SRT160" s="187"/>
      <c r="SRU160" s="187"/>
      <c r="SRV160" s="187"/>
      <c r="SRW160" s="187"/>
      <c r="SRX160" s="187"/>
      <c r="SRY160" s="187"/>
      <c r="SRZ160" s="187"/>
      <c r="SSA160" s="187"/>
      <c r="SSB160" s="187"/>
      <c r="SSC160" s="187"/>
      <c r="SSD160" s="187"/>
      <c r="SSE160" s="187"/>
      <c r="SSF160" s="187"/>
      <c r="SSG160" s="187"/>
      <c r="SSH160" s="187"/>
      <c r="SSI160" s="187"/>
      <c r="SSJ160" s="187"/>
      <c r="SSK160" s="187"/>
      <c r="SSL160" s="187"/>
      <c r="SSM160" s="187"/>
      <c r="SSN160" s="187"/>
      <c r="SSO160" s="187"/>
      <c r="SSP160" s="187"/>
      <c r="SSQ160" s="187"/>
      <c r="SSR160" s="187"/>
      <c r="SSS160" s="187"/>
      <c r="SST160" s="187"/>
      <c r="SSU160" s="187"/>
      <c r="SSV160" s="187"/>
      <c r="SSW160" s="187"/>
      <c r="SSX160" s="187"/>
      <c r="SSY160" s="187"/>
      <c r="SSZ160" s="187"/>
      <c r="STA160" s="187"/>
      <c r="STB160" s="187"/>
      <c r="STC160" s="187"/>
      <c r="STD160" s="187"/>
      <c r="STE160" s="187"/>
      <c r="STF160" s="187"/>
      <c r="STG160" s="187"/>
      <c r="STH160" s="187"/>
      <c r="STI160" s="187"/>
      <c r="STJ160" s="187"/>
      <c r="STK160" s="187"/>
      <c r="STL160" s="187"/>
      <c r="STM160" s="187"/>
      <c r="STN160" s="187"/>
      <c r="STO160" s="187"/>
      <c r="STP160" s="187"/>
      <c r="STQ160" s="187"/>
      <c r="STR160" s="187"/>
      <c r="STS160" s="187"/>
      <c r="STT160" s="187"/>
      <c r="STU160" s="187"/>
      <c r="STV160" s="187"/>
      <c r="STW160" s="187"/>
      <c r="STX160" s="187"/>
      <c r="STY160" s="187"/>
      <c r="STZ160" s="187"/>
      <c r="SUA160" s="187"/>
      <c r="SUB160" s="187"/>
      <c r="SUC160" s="187"/>
      <c r="SUD160" s="187"/>
      <c r="SUE160" s="187"/>
      <c r="SUF160" s="187"/>
      <c r="SUG160" s="187"/>
      <c r="SUH160" s="187"/>
      <c r="SUI160" s="187"/>
      <c r="SUJ160" s="187"/>
      <c r="SUK160" s="187"/>
      <c r="SUL160" s="187"/>
      <c r="SUM160" s="187"/>
      <c r="SUN160" s="187"/>
      <c r="SUO160" s="187"/>
      <c r="SUP160" s="187"/>
      <c r="SUQ160" s="187"/>
      <c r="SUR160" s="187"/>
      <c r="SUS160" s="187"/>
      <c r="SUT160" s="187"/>
      <c r="SUU160" s="187"/>
      <c r="SUV160" s="187"/>
      <c r="SUW160" s="187"/>
      <c r="SUX160" s="187"/>
      <c r="SUY160" s="187"/>
      <c r="SUZ160" s="187"/>
      <c r="SVA160" s="187"/>
      <c r="SVB160" s="187"/>
      <c r="SVC160" s="187"/>
      <c r="SVD160" s="187"/>
      <c r="SVE160" s="187"/>
      <c r="SVF160" s="187"/>
      <c r="SVG160" s="187"/>
      <c r="SVH160" s="187"/>
      <c r="SVI160" s="187"/>
      <c r="SVJ160" s="187"/>
      <c r="SVK160" s="187"/>
      <c r="SVL160" s="187"/>
      <c r="SVM160" s="187"/>
      <c r="SVN160" s="187"/>
      <c r="SVO160" s="187"/>
      <c r="SVP160" s="187"/>
      <c r="SVQ160" s="187"/>
      <c r="SVR160" s="187"/>
      <c r="SVS160" s="187"/>
      <c r="SVT160" s="187"/>
      <c r="SVU160" s="187"/>
      <c r="SVV160" s="187"/>
      <c r="SVW160" s="187"/>
      <c r="SVX160" s="187"/>
      <c r="SVY160" s="187"/>
      <c r="SVZ160" s="187"/>
      <c r="SWA160" s="187"/>
      <c r="SWB160" s="187"/>
      <c r="SWC160" s="187"/>
      <c r="SWD160" s="187"/>
      <c r="SWE160" s="187"/>
      <c r="SWF160" s="187"/>
      <c r="SWG160" s="187"/>
      <c r="SWH160" s="187"/>
      <c r="SWI160" s="187"/>
      <c r="SWJ160" s="187"/>
      <c r="SWK160" s="187"/>
      <c r="SWL160" s="187"/>
      <c r="SWM160" s="187"/>
      <c r="SWN160" s="187"/>
      <c r="SWO160" s="187"/>
      <c r="SWP160" s="187"/>
      <c r="SWQ160" s="187"/>
      <c r="SWR160" s="187"/>
      <c r="SWS160" s="187"/>
      <c r="SWT160" s="187"/>
      <c r="SWU160" s="187"/>
      <c r="SWV160" s="187"/>
      <c r="SWW160" s="187"/>
      <c r="SWX160" s="187"/>
      <c r="SWY160" s="187"/>
      <c r="SWZ160" s="187"/>
      <c r="SXA160" s="187"/>
      <c r="SXB160" s="187"/>
      <c r="SXC160" s="187"/>
      <c r="SXD160" s="187"/>
      <c r="SXE160" s="187"/>
      <c r="SXF160" s="187"/>
      <c r="SXG160" s="187"/>
      <c r="SXH160" s="187"/>
      <c r="SXI160" s="187"/>
      <c r="SXJ160" s="187"/>
      <c r="SXK160" s="187"/>
      <c r="SXL160" s="187"/>
      <c r="SXM160" s="187"/>
      <c r="SXN160" s="187"/>
      <c r="SXO160" s="187"/>
      <c r="SXP160" s="187"/>
      <c r="SXQ160" s="187"/>
      <c r="SXR160" s="187"/>
      <c r="SXS160" s="187"/>
      <c r="SXT160" s="187"/>
      <c r="SXU160" s="187"/>
      <c r="SXV160" s="187"/>
      <c r="SXW160" s="187"/>
      <c r="SXX160" s="187"/>
      <c r="SXY160" s="187"/>
      <c r="SXZ160" s="187"/>
      <c r="SYA160" s="187"/>
      <c r="SYB160" s="187"/>
      <c r="SYC160" s="187"/>
      <c r="SYD160" s="187"/>
      <c r="SYE160" s="187"/>
      <c r="SYF160" s="187"/>
      <c r="SYG160" s="187"/>
      <c r="SYH160" s="187"/>
      <c r="SYI160" s="187"/>
      <c r="SYJ160" s="187"/>
      <c r="SYK160" s="187"/>
      <c r="SYL160" s="187"/>
      <c r="SYM160" s="187"/>
      <c r="SYN160" s="187"/>
      <c r="SYO160" s="187"/>
      <c r="SYP160" s="187"/>
      <c r="SYQ160" s="187"/>
      <c r="SYR160" s="187"/>
      <c r="SYS160" s="187"/>
      <c r="SYT160" s="187"/>
      <c r="SYU160" s="187"/>
      <c r="SYV160" s="187"/>
      <c r="SYW160" s="187"/>
      <c r="SYX160" s="187"/>
      <c r="SYY160" s="187"/>
      <c r="SYZ160" s="187"/>
      <c r="SZA160" s="187"/>
      <c r="SZB160" s="187"/>
      <c r="SZC160" s="187"/>
      <c r="SZD160" s="187"/>
      <c r="SZE160" s="187"/>
      <c r="SZF160" s="187"/>
      <c r="SZG160" s="187"/>
      <c r="SZH160" s="187"/>
      <c r="SZI160" s="187"/>
      <c r="SZJ160" s="187"/>
      <c r="SZK160" s="187"/>
      <c r="SZL160" s="187"/>
      <c r="SZM160" s="187"/>
      <c r="SZN160" s="187"/>
      <c r="SZO160" s="187"/>
      <c r="SZP160" s="187"/>
      <c r="SZQ160" s="187"/>
      <c r="SZR160" s="187"/>
      <c r="SZS160" s="187"/>
      <c r="SZT160" s="187"/>
      <c r="SZU160" s="187"/>
      <c r="SZV160" s="187"/>
      <c r="SZW160" s="187"/>
      <c r="SZX160" s="187"/>
      <c r="SZY160" s="187"/>
      <c r="SZZ160" s="187"/>
      <c r="TAA160" s="187"/>
      <c r="TAB160" s="187"/>
      <c r="TAC160" s="187"/>
      <c r="TAD160" s="187"/>
      <c r="TAE160" s="187"/>
      <c r="TAF160" s="187"/>
      <c r="TAG160" s="187"/>
      <c r="TAH160" s="187"/>
      <c r="TAI160" s="187"/>
      <c r="TAJ160" s="187"/>
      <c r="TAK160" s="187"/>
      <c r="TAL160" s="187"/>
      <c r="TAM160" s="187"/>
      <c r="TAN160" s="187"/>
      <c r="TAO160" s="187"/>
      <c r="TAP160" s="187"/>
      <c r="TAQ160" s="187"/>
      <c r="TAR160" s="187"/>
      <c r="TAS160" s="187"/>
      <c r="TAT160" s="187"/>
      <c r="TAU160" s="187"/>
      <c r="TAV160" s="187"/>
      <c r="TAW160" s="187"/>
      <c r="TAX160" s="187"/>
      <c r="TAY160" s="187"/>
      <c r="TAZ160" s="187"/>
      <c r="TBA160" s="187"/>
      <c r="TBB160" s="187"/>
      <c r="TBC160" s="187"/>
      <c r="TBD160" s="187"/>
      <c r="TBE160" s="187"/>
      <c r="TBF160" s="187"/>
      <c r="TBG160" s="187"/>
      <c r="TBH160" s="187"/>
      <c r="TBI160" s="187"/>
      <c r="TBJ160" s="187"/>
      <c r="TBK160" s="187"/>
      <c r="TBL160" s="187"/>
      <c r="TBM160" s="187"/>
      <c r="TBN160" s="187"/>
      <c r="TBO160" s="187"/>
      <c r="TBP160" s="187"/>
      <c r="TBQ160" s="187"/>
      <c r="TBR160" s="187"/>
      <c r="TBS160" s="187"/>
      <c r="TBT160" s="187"/>
      <c r="TBU160" s="187"/>
      <c r="TBV160" s="187"/>
      <c r="TBW160" s="187"/>
      <c r="TBX160" s="187"/>
      <c r="TBY160" s="187"/>
      <c r="TBZ160" s="187"/>
      <c r="TCA160" s="187"/>
      <c r="TCB160" s="187"/>
      <c r="TCC160" s="187"/>
      <c r="TCD160" s="187"/>
      <c r="TCE160" s="187"/>
      <c r="TCF160" s="187"/>
      <c r="TCG160" s="187"/>
      <c r="TCH160" s="187"/>
      <c r="TCI160" s="187"/>
      <c r="TCJ160" s="187"/>
      <c r="TCK160" s="187"/>
      <c r="TCL160" s="187"/>
      <c r="TCM160" s="187"/>
      <c r="TCN160" s="187"/>
      <c r="TCO160" s="187"/>
      <c r="TCP160" s="187"/>
      <c r="TCQ160" s="187"/>
      <c r="TCR160" s="187"/>
      <c r="TCS160" s="187"/>
      <c r="TCT160" s="187"/>
      <c r="TCU160" s="187"/>
      <c r="TCV160" s="187"/>
      <c r="TCW160" s="187"/>
      <c r="TCX160" s="187"/>
      <c r="TCY160" s="187"/>
      <c r="TCZ160" s="187"/>
      <c r="TDA160" s="187"/>
      <c r="TDB160" s="187"/>
      <c r="TDC160" s="187"/>
      <c r="TDD160" s="187"/>
      <c r="TDE160" s="187"/>
      <c r="TDF160" s="187"/>
      <c r="TDG160" s="187"/>
      <c r="TDH160" s="187"/>
      <c r="TDI160" s="187"/>
      <c r="TDJ160" s="187"/>
      <c r="TDK160" s="187"/>
      <c r="TDL160" s="187"/>
      <c r="TDM160" s="187"/>
      <c r="TDN160" s="187"/>
      <c r="TDO160" s="187"/>
      <c r="TDP160" s="187"/>
      <c r="TDQ160" s="187"/>
      <c r="TDR160" s="187"/>
      <c r="TDS160" s="187"/>
      <c r="TDT160" s="187"/>
      <c r="TDU160" s="187"/>
      <c r="TDV160" s="187"/>
      <c r="TDW160" s="187"/>
      <c r="TDX160" s="187"/>
      <c r="TDY160" s="187"/>
      <c r="TDZ160" s="187"/>
      <c r="TEA160" s="187"/>
      <c r="TEB160" s="187"/>
      <c r="TEC160" s="187"/>
      <c r="TED160" s="187"/>
      <c r="TEE160" s="187"/>
      <c r="TEF160" s="187"/>
      <c r="TEG160" s="187"/>
      <c r="TEH160" s="187"/>
      <c r="TEI160" s="187"/>
      <c r="TEJ160" s="187"/>
      <c r="TEK160" s="187"/>
      <c r="TEL160" s="187"/>
      <c r="TEM160" s="187"/>
      <c r="TEN160" s="187"/>
      <c r="TEO160" s="187"/>
      <c r="TEP160" s="187"/>
      <c r="TEQ160" s="187"/>
      <c r="TER160" s="187"/>
      <c r="TES160" s="187"/>
      <c r="TET160" s="187"/>
      <c r="TEU160" s="187"/>
      <c r="TEV160" s="187"/>
      <c r="TEW160" s="187"/>
      <c r="TEX160" s="187"/>
      <c r="TEY160" s="187"/>
      <c r="TEZ160" s="187"/>
      <c r="TFA160" s="187"/>
      <c r="TFB160" s="187"/>
      <c r="TFC160" s="187"/>
      <c r="TFD160" s="187"/>
      <c r="TFE160" s="187"/>
      <c r="TFF160" s="187"/>
      <c r="TFG160" s="187"/>
      <c r="TFH160" s="187"/>
      <c r="TFI160" s="187"/>
      <c r="TFJ160" s="187"/>
      <c r="TFK160" s="187"/>
      <c r="TFL160" s="187"/>
      <c r="TFM160" s="187"/>
      <c r="TFN160" s="187"/>
      <c r="TFO160" s="187"/>
      <c r="TFP160" s="187"/>
      <c r="TFQ160" s="187"/>
      <c r="TFR160" s="187"/>
      <c r="TFS160" s="187"/>
      <c r="TFT160" s="187"/>
      <c r="TFU160" s="187"/>
      <c r="TFV160" s="187"/>
      <c r="TFW160" s="187"/>
      <c r="TFX160" s="187"/>
      <c r="TFY160" s="187"/>
      <c r="TFZ160" s="187"/>
      <c r="TGA160" s="187"/>
      <c r="TGB160" s="187"/>
      <c r="TGC160" s="187"/>
      <c r="TGD160" s="187"/>
      <c r="TGE160" s="187"/>
      <c r="TGF160" s="187"/>
      <c r="TGG160" s="187"/>
      <c r="TGH160" s="187"/>
      <c r="TGI160" s="187"/>
      <c r="TGJ160" s="187"/>
      <c r="TGK160" s="187"/>
      <c r="TGL160" s="187"/>
      <c r="TGM160" s="187"/>
      <c r="TGN160" s="187"/>
      <c r="TGO160" s="187"/>
      <c r="TGP160" s="187"/>
      <c r="TGQ160" s="187"/>
      <c r="TGR160" s="187"/>
      <c r="TGS160" s="187"/>
      <c r="TGT160" s="187"/>
      <c r="TGU160" s="187"/>
      <c r="TGV160" s="187"/>
      <c r="TGW160" s="187"/>
      <c r="TGX160" s="187"/>
      <c r="TGY160" s="187"/>
      <c r="TGZ160" s="187"/>
      <c r="THA160" s="187"/>
      <c r="THB160" s="187"/>
      <c r="THC160" s="187"/>
      <c r="THD160" s="187"/>
      <c r="THE160" s="187"/>
      <c r="THF160" s="187"/>
      <c r="THG160" s="187"/>
      <c r="THH160" s="187"/>
      <c r="THI160" s="187"/>
      <c r="THJ160" s="187"/>
      <c r="THK160" s="187"/>
      <c r="THL160" s="187"/>
      <c r="THM160" s="187"/>
      <c r="THN160" s="187"/>
      <c r="THO160" s="187"/>
      <c r="THP160" s="187"/>
      <c r="THQ160" s="187"/>
      <c r="THR160" s="187"/>
      <c r="THS160" s="187"/>
      <c r="THT160" s="187"/>
      <c r="THU160" s="187"/>
      <c r="THV160" s="187"/>
      <c r="THW160" s="187"/>
      <c r="THX160" s="187"/>
      <c r="THY160" s="187"/>
      <c r="THZ160" s="187"/>
      <c r="TIA160" s="187"/>
      <c r="TIB160" s="187"/>
      <c r="TIC160" s="187"/>
      <c r="TID160" s="187"/>
      <c r="TIE160" s="187"/>
      <c r="TIF160" s="187"/>
      <c r="TIG160" s="187"/>
      <c r="TIH160" s="187"/>
      <c r="TII160" s="187"/>
      <c r="TIJ160" s="187"/>
      <c r="TIK160" s="187"/>
      <c r="TIL160" s="187"/>
      <c r="TIM160" s="187"/>
      <c r="TIN160" s="187"/>
      <c r="TIO160" s="187"/>
      <c r="TIP160" s="187"/>
      <c r="TIQ160" s="187"/>
      <c r="TIR160" s="187"/>
      <c r="TIS160" s="187"/>
      <c r="TIT160" s="187"/>
      <c r="TIU160" s="187"/>
      <c r="TIV160" s="187"/>
      <c r="TIW160" s="187"/>
      <c r="TIX160" s="187"/>
      <c r="TIY160" s="187"/>
      <c r="TIZ160" s="187"/>
      <c r="TJA160" s="187"/>
      <c r="TJB160" s="187"/>
      <c r="TJC160" s="187"/>
      <c r="TJD160" s="187"/>
      <c r="TJE160" s="187"/>
      <c r="TJF160" s="187"/>
      <c r="TJG160" s="187"/>
      <c r="TJH160" s="187"/>
      <c r="TJI160" s="187"/>
      <c r="TJJ160" s="187"/>
      <c r="TJK160" s="187"/>
      <c r="TJL160" s="187"/>
      <c r="TJM160" s="187"/>
      <c r="TJN160" s="187"/>
      <c r="TJO160" s="187"/>
      <c r="TJP160" s="187"/>
      <c r="TJQ160" s="187"/>
      <c r="TJR160" s="187"/>
      <c r="TJS160" s="187"/>
      <c r="TJT160" s="187"/>
      <c r="TJU160" s="187"/>
      <c r="TJV160" s="187"/>
      <c r="TJW160" s="187"/>
      <c r="TJX160" s="187"/>
      <c r="TJY160" s="187"/>
      <c r="TJZ160" s="187"/>
      <c r="TKA160" s="187"/>
      <c r="TKB160" s="187"/>
      <c r="TKC160" s="187"/>
      <c r="TKD160" s="187"/>
      <c r="TKE160" s="187"/>
      <c r="TKF160" s="187"/>
      <c r="TKG160" s="187"/>
      <c r="TKH160" s="187"/>
      <c r="TKI160" s="187"/>
      <c r="TKJ160" s="187"/>
      <c r="TKK160" s="187"/>
      <c r="TKL160" s="187"/>
      <c r="TKM160" s="187"/>
      <c r="TKN160" s="187"/>
      <c r="TKO160" s="187"/>
      <c r="TKP160" s="187"/>
      <c r="TKQ160" s="187"/>
      <c r="TKR160" s="187"/>
      <c r="TKS160" s="187"/>
      <c r="TKT160" s="187"/>
      <c r="TKU160" s="187"/>
      <c r="TKV160" s="187"/>
      <c r="TKW160" s="187"/>
      <c r="TKX160" s="187"/>
      <c r="TKY160" s="187"/>
      <c r="TKZ160" s="187"/>
      <c r="TLA160" s="187"/>
      <c r="TLB160" s="187"/>
      <c r="TLC160" s="187"/>
      <c r="TLD160" s="187"/>
      <c r="TLE160" s="187"/>
      <c r="TLF160" s="187"/>
      <c r="TLG160" s="187"/>
      <c r="TLH160" s="187"/>
      <c r="TLI160" s="187"/>
      <c r="TLJ160" s="187"/>
      <c r="TLK160" s="187"/>
      <c r="TLL160" s="187"/>
      <c r="TLM160" s="187"/>
      <c r="TLN160" s="187"/>
      <c r="TLO160" s="187"/>
      <c r="TLP160" s="187"/>
      <c r="TLQ160" s="187"/>
      <c r="TLR160" s="187"/>
      <c r="TLS160" s="187"/>
      <c r="TLT160" s="187"/>
      <c r="TLU160" s="187"/>
      <c r="TLV160" s="187"/>
      <c r="TLW160" s="187"/>
      <c r="TLX160" s="187"/>
      <c r="TLY160" s="187"/>
      <c r="TLZ160" s="187"/>
      <c r="TMA160" s="187"/>
      <c r="TMB160" s="187"/>
      <c r="TMC160" s="187"/>
      <c r="TMD160" s="187"/>
      <c r="TME160" s="187"/>
      <c r="TMF160" s="187"/>
      <c r="TMG160" s="187"/>
      <c r="TMH160" s="187"/>
      <c r="TMI160" s="187"/>
      <c r="TMJ160" s="187"/>
      <c r="TMK160" s="187"/>
      <c r="TML160" s="187"/>
      <c r="TMM160" s="187"/>
      <c r="TMN160" s="187"/>
      <c r="TMO160" s="187"/>
      <c r="TMP160" s="187"/>
      <c r="TMQ160" s="187"/>
      <c r="TMR160" s="187"/>
      <c r="TMS160" s="187"/>
      <c r="TMT160" s="187"/>
      <c r="TMU160" s="187"/>
      <c r="TMV160" s="187"/>
      <c r="TMW160" s="187"/>
      <c r="TMX160" s="187"/>
      <c r="TMY160" s="187"/>
      <c r="TMZ160" s="187"/>
      <c r="TNA160" s="187"/>
      <c r="TNB160" s="187"/>
      <c r="TNC160" s="187"/>
      <c r="TND160" s="187"/>
      <c r="TNE160" s="187"/>
      <c r="TNF160" s="187"/>
      <c r="TNG160" s="187"/>
      <c r="TNH160" s="187"/>
      <c r="TNI160" s="187"/>
      <c r="TNJ160" s="187"/>
      <c r="TNK160" s="187"/>
      <c r="TNL160" s="187"/>
      <c r="TNM160" s="187"/>
      <c r="TNN160" s="187"/>
      <c r="TNO160" s="187"/>
      <c r="TNP160" s="187"/>
      <c r="TNQ160" s="187"/>
      <c r="TNR160" s="187"/>
      <c r="TNS160" s="187"/>
      <c r="TNT160" s="187"/>
      <c r="TNU160" s="187"/>
      <c r="TNV160" s="187"/>
      <c r="TNW160" s="187"/>
      <c r="TNX160" s="187"/>
      <c r="TNY160" s="187"/>
      <c r="TNZ160" s="187"/>
      <c r="TOA160" s="187"/>
      <c r="TOB160" s="187"/>
      <c r="TOC160" s="187"/>
      <c r="TOD160" s="187"/>
      <c r="TOE160" s="187"/>
      <c r="TOF160" s="187"/>
      <c r="TOG160" s="187"/>
      <c r="TOH160" s="187"/>
      <c r="TOI160" s="187"/>
      <c r="TOJ160" s="187"/>
      <c r="TOK160" s="187"/>
      <c r="TOL160" s="187"/>
      <c r="TOM160" s="187"/>
      <c r="TON160" s="187"/>
      <c r="TOO160" s="187"/>
      <c r="TOP160" s="187"/>
      <c r="TOQ160" s="187"/>
      <c r="TOR160" s="187"/>
      <c r="TOS160" s="187"/>
      <c r="TOT160" s="187"/>
      <c r="TOU160" s="187"/>
      <c r="TOV160" s="187"/>
      <c r="TOW160" s="187"/>
      <c r="TOX160" s="187"/>
      <c r="TOY160" s="187"/>
      <c r="TOZ160" s="187"/>
      <c r="TPA160" s="187"/>
      <c r="TPB160" s="187"/>
      <c r="TPC160" s="187"/>
      <c r="TPD160" s="187"/>
      <c r="TPE160" s="187"/>
      <c r="TPF160" s="187"/>
      <c r="TPG160" s="187"/>
      <c r="TPH160" s="187"/>
      <c r="TPI160" s="187"/>
      <c r="TPJ160" s="187"/>
      <c r="TPK160" s="187"/>
      <c r="TPL160" s="187"/>
      <c r="TPM160" s="187"/>
      <c r="TPN160" s="187"/>
      <c r="TPO160" s="187"/>
      <c r="TPP160" s="187"/>
      <c r="TPQ160" s="187"/>
      <c r="TPR160" s="187"/>
      <c r="TPS160" s="187"/>
      <c r="TPT160" s="187"/>
      <c r="TPU160" s="187"/>
      <c r="TPV160" s="187"/>
      <c r="TPW160" s="187"/>
      <c r="TPX160" s="187"/>
      <c r="TPY160" s="187"/>
      <c r="TPZ160" s="187"/>
      <c r="TQA160" s="187"/>
      <c r="TQB160" s="187"/>
      <c r="TQC160" s="187"/>
      <c r="TQD160" s="187"/>
      <c r="TQE160" s="187"/>
      <c r="TQF160" s="187"/>
      <c r="TQG160" s="187"/>
      <c r="TQH160" s="187"/>
      <c r="TQI160" s="187"/>
      <c r="TQJ160" s="187"/>
      <c r="TQK160" s="187"/>
      <c r="TQL160" s="187"/>
      <c r="TQM160" s="187"/>
      <c r="TQN160" s="187"/>
      <c r="TQO160" s="187"/>
      <c r="TQP160" s="187"/>
      <c r="TQQ160" s="187"/>
      <c r="TQR160" s="187"/>
      <c r="TQS160" s="187"/>
      <c r="TQT160" s="187"/>
      <c r="TQU160" s="187"/>
      <c r="TQV160" s="187"/>
      <c r="TQW160" s="187"/>
      <c r="TQX160" s="187"/>
      <c r="TQY160" s="187"/>
      <c r="TQZ160" s="187"/>
      <c r="TRA160" s="187"/>
      <c r="TRB160" s="187"/>
      <c r="TRC160" s="187"/>
      <c r="TRD160" s="187"/>
      <c r="TRE160" s="187"/>
      <c r="TRF160" s="187"/>
      <c r="TRG160" s="187"/>
      <c r="TRH160" s="187"/>
      <c r="TRI160" s="187"/>
      <c r="TRJ160" s="187"/>
      <c r="TRK160" s="187"/>
      <c r="TRL160" s="187"/>
      <c r="TRM160" s="187"/>
      <c r="TRN160" s="187"/>
      <c r="TRO160" s="187"/>
      <c r="TRP160" s="187"/>
      <c r="TRQ160" s="187"/>
      <c r="TRR160" s="187"/>
      <c r="TRS160" s="187"/>
      <c r="TRT160" s="187"/>
      <c r="TRU160" s="187"/>
      <c r="TRV160" s="187"/>
      <c r="TRW160" s="187"/>
      <c r="TRX160" s="187"/>
      <c r="TRY160" s="187"/>
      <c r="TRZ160" s="187"/>
      <c r="TSA160" s="187"/>
      <c r="TSB160" s="187"/>
      <c r="TSC160" s="187"/>
      <c r="TSD160" s="187"/>
      <c r="TSE160" s="187"/>
      <c r="TSF160" s="187"/>
      <c r="TSG160" s="187"/>
      <c r="TSH160" s="187"/>
      <c r="TSI160" s="187"/>
      <c r="TSJ160" s="187"/>
      <c r="TSK160" s="187"/>
      <c r="TSL160" s="187"/>
      <c r="TSM160" s="187"/>
      <c r="TSN160" s="187"/>
      <c r="TSO160" s="187"/>
      <c r="TSP160" s="187"/>
      <c r="TSQ160" s="187"/>
      <c r="TSR160" s="187"/>
      <c r="TSS160" s="187"/>
      <c r="TST160" s="187"/>
      <c r="TSU160" s="187"/>
      <c r="TSV160" s="187"/>
      <c r="TSW160" s="187"/>
      <c r="TSX160" s="187"/>
      <c r="TSY160" s="187"/>
      <c r="TSZ160" s="187"/>
      <c r="TTA160" s="187"/>
      <c r="TTB160" s="187"/>
      <c r="TTC160" s="187"/>
      <c r="TTD160" s="187"/>
      <c r="TTE160" s="187"/>
      <c r="TTF160" s="187"/>
      <c r="TTG160" s="187"/>
      <c r="TTH160" s="187"/>
      <c r="TTI160" s="187"/>
      <c r="TTJ160" s="187"/>
      <c r="TTK160" s="187"/>
      <c r="TTL160" s="187"/>
      <c r="TTM160" s="187"/>
      <c r="TTN160" s="187"/>
      <c r="TTO160" s="187"/>
      <c r="TTP160" s="187"/>
      <c r="TTQ160" s="187"/>
      <c r="TTR160" s="187"/>
      <c r="TTS160" s="187"/>
      <c r="TTT160" s="187"/>
      <c r="TTU160" s="187"/>
      <c r="TTV160" s="187"/>
      <c r="TTW160" s="187"/>
      <c r="TTX160" s="187"/>
      <c r="TTY160" s="187"/>
      <c r="TTZ160" s="187"/>
      <c r="TUA160" s="187"/>
      <c r="TUB160" s="187"/>
      <c r="TUC160" s="187"/>
      <c r="TUD160" s="187"/>
      <c r="TUE160" s="187"/>
      <c r="TUF160" s="187"/>
      <c r="TUG160" s="187"/>
      <c r="TUH160" s="187"/>
      <c r="TUI160" s="187"/>
      <c r="TUJ160" s="187"/>
      <c r="TUK160" s="187"/>
      <c r="TUL160" s="187"/>
      <c r="TUM160" s="187"/>
      <c r="TUN160" s="187"/>
      <c r="TUO160" s="187"/>
      <c r="TUP160" s="187"/>
      <c r="TUQ160" s="187"/>
      <c r="TUR160" s="187"/>
      <c r="TUS160" s="187"/>
      <c r="TUT160" s="187"/>
      <c r="TUU160" s="187"/>
      <c r="TUV160" s="187"/>
      <c r="TUW160" s="187"/>
      <c r="TUX160" s="187"/>
      <c r="TUY160" s="187"/>
      <c r="TUZ160" s="187"/>
      <c r="TVA160" s="187"/>
      <c r="TVB160" s="187"/>
      <c r="TVC160" s="187"/>
      <c r="TVD160" s="187"/>
      <c r="TVE160" s="187"/>
      <c r="TVF160" s="187"/>
      <c r="TVG160" s="187"/>
      <c r="TVH160" s="187"/>
      <c r="TVI160" s="187"/>
      <c r="TVJ160" s="187"/>
      <c r="TVK160" s="187"/>
      <c r="TVL160" s="187"/>
      <c r="TVM160" s="187"/>
      <c r="TVN160" s="187"/>
      <c r="TVO160" s="187"/>
      <c r="TVP160" s="187"/>
      <c r="TVQ160" s="187"/>
      <c r="TVR160" s="187"/>
      <c r="TVS160" s="187"/>
      <c r="TVT160" s="187"/>
      <c r="TVU160" s="187"/>
      <c r="TVV160" s="187"/>
      <c r="TVW160" s="187"/>
      <c r="TVX160" s="187"/>
      <c r="TVY160" s="187"/>
      <c r="TVZ160" s="187"/>
      <c r="TWA160" s="187"/>
      <c r="TWB160" s="187"/>
      <c r="TWC160" s="187"/>
      <c r="TWD160" s="187"/>
      <c r="TWE160" s="187"/>
      <c r="TWF160" s="187"/>
      <c r="TWG160" s="187"/>
      <c r="TWH160" s="187"/>
      <c r="TWI160" s="187"/>
      <c r="TWJ160" s="187"/>
      <c r="TWK160" s="187"/>
      <c r="TWL160" s="187"/>
      <c r="TWM160" s="187"/>
      <c r="TWN160" s="187"/>
      <c r="TWO160" s="187"/>
      <c r="TWP160" s="187"/>
      <c r="TWQ160" s="187"/>
      <c r="TWR160" s="187"/>
      <c r="TWS160" s="187"/>
      <c r="TWT160" s="187"/>
      <c r="TWU160" s="187"/>
      <c r="TWV160" s="187"/>
      <c r="TWW160" s="187"/>
      <c r="TWX160" s="187"/>
      <c r="TWY160" s="187"/>
      <c r="TWZ160" s="187"/>
      <c r="TXA160" s="187"/>
      <c r="TXB160" s="187"/>
      <c r="TXC160" s="187"/>
      <c r="TXD160" s="187"/>
      <c r="TXE160" s="187"/>
      <c r="TXF160" s="187"/>
      <c r="TXG160" s="187"/>
      <c r="TXH160" s="187"/>
      <c r="TXI160" s="187"/>
      <c r="TXJ160" s="187"/>
      <c r="TXK160" s="187"/>
      <c r="TXL160" s="187"/>
      <c r="TXM160" s="187"/>
      <c r="TXN160" s="187"/>
      <c r="TXO160" s="187"/>
      <c r="TXP160" s="187"/>
      <c r="TXQ160" s="187"/>
      <c r="TXR160" s="187"/>
      <c r="TXS160" s="187"/>
      <c r="TXT160" s="187"/>
      <c r="TXU160" s="187"/>
      <c r="TXV160" s="187"/>
      <c r="TXW160" s="187"/>
      <c r="TXX160" s="187"/>
      <c r="TXY160" s="187"/>
      <c r="TXZ160" s="187"/>
      <c r="TYA160" s="187"/>
      <c r="TYB160" s="187"/>
      <c r="TYC160" s="187"/>
      <c r="TYD160" s="187"/>
      <c r="TYE160" s="187"/>
      <c r="TYF160" s="187"/>
      <c r="TYG160" s="187"/>
      <c r="TYH160" s="187"/>
      <c r="TYI160" s="187"/>
      <c r="TYJ160" s="187"/>
      <c r="TYK160" s="187"/>
      <c r="TYL160" s="187"/>
      <c r="TYM160" s="187"/>
      <c r="TYN160" s="187"/>
      <c r="TYO160" s="187"/>
      <c r="TYP160" s="187"/>
      <c r="TYQ160" s="187"/>
      <c r="TYR160" s="187"/>
      <c r="TYS160" s="187"/>
      <c r="TYT160" s="187"/>
      <c r="TYU160" s="187"/>
      <c r="TYV160" s="187"/>
      <c r="TYW160" s="187"/>
      <c r="TYX160" s="187"/>
      <c r="TYY160" s="187"/>
      <c r="TYZ160" s="187"/>
      <c r="TZA160" s="187"/>
      <c r="TZB160" s="187"/>
      <c r="TZC160" s="187"/>
      <c r="TZD160" s="187"/>
      <c r="TZE160" s="187"/>
      <c r="TZF160" s="187"/>
      <c r="TZG160" s="187"/>
      <c r="TZH160" s="187"/>
      <c r="TZI160" s="187"/>
      <c r="TZJ160" s="187"/>
      <c r="TZK160" s="187"/>
      <c r="TZL160" s="187"/>
      <c r="TZM160" s="187"/>
      <c r="TZN160" s="187"/>
      <c r="TZO160" s="187"/>
      <c r="TZP160" s="187"/>
      <c r="TZQ160" s="187"/>
      <c r="TZR160" s="187"/>
      <c r="TZS160" s="187"/>
      <c r="TZT160" s="187"/>
      <c r="TZU160" s="187"/>
      <c r="TZV160" s="187"/>
      <c r="TZW160" s="187"/>
      <c r="TZX160" s="187"/>
      <c r="TZY160" s="187"/>
      <c r="TZZ160" s="187"/>
      <c r="UAA160" s="187"/>
      <c r="UAB160" s="187"/>
      <c r="UAC160" s="187"/>
      <c r="UAD160" s="187"/>
      <c r="UAE160" s="187"/>
      <c r="UAF160" s="187"/>
      <c r="UAG160" s="187"/>
      <c r="UAH160" s="187"/>
      <c r="UAI160" s="187"/>
      <c r="UAJ160" s="187"/>
      <c r="UAK160" s="187"/>
      <c r="UAL160" s="187"/>
      <c r="UAM160" s="187"/>
      <c r="UAN160" s="187"/>
      <c r="UAO160" s="187"/>
      <c r="UAP160" s="187"/>
      <c r="UAQ160" s="187"/>
      <c r="UAR160" s="187"/>
      <c r="UAS160" s="187"/>
      <c r="UAT160" s="187"/>
      <c r="UAU160" s="187"/>
      <c r="UAV160" s="187"/>
      <c r="UAW160" s="187"/>
      <c r="UAX160" s="187"/>
      <c r="UAY160" s="187"/>
      <c r="UAZ160" s="187"/>
      <c r="UBA160" s="187"/>
      <c r="UBB160" s="187"/>
      <c r="UBC160" s="187"/>
      <c r="UBD160" s="187"/>
      <c r="UBE160" s="187"/>
      <c r="UBF160" s="187"/>
      <c r="UBG160" s="187"/>
      <c r="UBH160" s="187"/>
      <c r="UBI160" s="187"/>
      <c r="UBJ160" s="187"/>
      <c r="UBK160" s="187"/>
      <c r="UBL160" s="187"/>
      <c r="UBM160" s="187"/>
      <c r="UBN160" s="187"/>
      <c r="UBO160" s="187"/>
      <c r="UBP160" s="187"/>
      <c r="UBQ160" s="187"/>
      <c r="UBR160" s="187"/>
      <c r="UBS160" s="187"/>
      <c r="UBT160" s="187"/>
      <c r="UBU160" s="187"/>
      <c r="UBV160" s="187"/>
      <c r="UBW160" s="187"/>
      <c r="UBX160" s="187"/>
      <c r="UBY160" s="187"/>
      <c r="UBZ160" s="187"/>
      <c r="UCA160" s="187"/>
      <c r="UCB160" s="187"/>
      <c r="UCC160" s="187"/>
      <c r="UCD160" s="187"/>
      <c r="UCE160" s="187"/>
      <c r="UCF160" s="187"/>
      <c r="UCG160" s="187"/>
      <c r="UCH160" s="187"/>
      <c r="UCI160" s="187"/>
      <c r="UCJ160" s="187"/>
      <c r="UCK160" s="187"/>
      <c r="UCL160" s="187"/>
      <c r="UCM160" s="187"/>
      <c r="UCN160" s="187"/>
      <c r="UCO160" s="187"/>
      <c r="UCP160" s="187"/>
      <c r="UCQ160" s="187"/>
      <c r="UCR160" s="187"/>
      <c r="UCS160" s="187"/>
      <c r="UCT160" s="187"/>
      <c r="UCU160" s="187"/>
      <c r="UCV160" s="187"/>
      <c r="UCW160" s="187"/>
      <c r="UCX160" s="187"/>
      <c r="UCY160" s="187"/>
      <c r="UCZ160" s="187"/>
      <c r="UDA160" s="187"/>
      <c r="UDB160" s="187"/>
      <c r="UDC160" s="187"/>
      <c r="UDD160" s="187"/>
      <c r="UDE160" s="187"/>
      <c r="UDF160" s="187"/>
      <c r="UDG160" s="187"/>
      <c r="UDH160" s="187"/>
      <c r="UDI160" s="187"/>
      <c r="UDJ160" s="187"/>
      <c r="UDK160" s="187"/>
      <c r="UDL160" s="187"/>
      <c r="UDM160" s="187"/>
      <c r="UDN160" s="187"/>
      <c r="UDO160" s="187"/>
      <c r="UDP160" s="187"/>
      <c r="UDQ160" s="187"/>
      <c r="UDR160" s="187"/>
      <c r="UDS160" s="187"/>
      <c r="UDT160" s="187"/>
      <c r="UDU160" s="187"/>
      <c r="UDV160" s="187"/>
      <c r="UDW160" s="187"/>
      <c r="UDX160" s="187"/>
      <c r="UDY160" s="187"/>
      <c r="UDZ160" s="187"/>
      <c r="UEA160" s="187"/>
      <c r="UEB160" s="187"/>
      <c r="UEC160" s="187"/>
      <c r="UED160" s="187"/>
      <c r="UEE160" s="187"/>
      <c r="UEF160" s="187"/>
      <c r="UEG160" s="187"/>
      <c r="UEH160" s="187"/>
      <c r="UEI160" s="187"/>
      <c r="UEJ160" s="187"/>
      <c r="UEK160" s="187"/>
      <c r="UEL160" s="187"/>
      <c r="UEM160" s="187"/>
      <c r="UEN160" s="187"/>
      <c r="UEO160" s="187"/>
      <c r="UEP160" s="187"/>
      <c r="UEQ160" s="187"/>
      <c r="UER160" s="187"/>
      <c r="UES160" s="187"/>
      <c r="UET160" s="187"/>
      <c r="UEU160" s="187"/>
      <c r="UEV160" s="187"/>
      <c r="UEW160" s="187"/>
      <c r="UEX160" s="187"/>
      <c r="UEY160" s="187"/>
      <c r="UEZ160" s="187"/>
      <c r="UFA160" s="187"/>
      <c r="UFB160" s="187"/>
      <c r="UFC160" s="187"/>
      <c r="UFD160" s="187"/>
      <c r="UFE160" s="187"/>
      <c r="UFF160" s="187"/>
      <c r="UFG160" s="187"/>
      <c r="UFH160" s="187"/>
      <c r="UFI160" s="187"/>
      <c r="UFJ160" s="187"/>
      <c r="UFK160" s="187"/>
      <c r="UFL160" s="187"/>
      <c r="UFM160" s="187"/>
      <c r="UFN160" s="187"/>
      <c r="UFO160" s="187"/>
      <c r="UFP160" s="187"/>
      <c r="UFQ160" s="187"/>
      <c r="UFR160" s="187"/>
      <c r="UFS160" s="187"/>
      <c r="UFT160" s="187"/>
      <c r="UFU160" s="187"/>
      <c r="UFV160" s="187"/>
      <c r="UFW160" s="187"/>
      <c r="UFX160" s="187"/>
      <c r="UFY160" s="187"/>
      <c r="UFZ160" s="187"/>
      <c r="UGA160" s="187"/>
      <c r="UGB160" s="187"/>
      <c r="UGC160" s="187"/>
      <c r="UGD160" s="187"/>
      <c r="UGE160" s="187"/>
      <c r="UGF160" s="187"/>
      <c r="UGG160" s="187"/>
      <c r="UGH160" s="187"/>
      <c r="UGI160" s="187"/>
      <c r="UGJ160" s="187"/>
      <c r="UGK160" s="187"/>
      <c r="UGL160" s="187"/>
      <c r="UGM160" s="187"/>
      <c r="UGN160" s="187"/>
      <c r="UGO160" s="187"/>
      <c r="UGP160" s="187"/>
      <c r="UGQ160" s="187"/>
      <c r="UGR160" s="187"/>
      <c r="UGS160" s="187"/>
      <c r="UGT160" s="187"/>
      <c r="UGU160" s="187"/>
      <c r="UGV160" s="187"/>
      <c r="UGW160" s="187"/>
      <c r="UGX160" s="187"/>
      <c r="UGY160" s="187"/>
      <c r="UGZ160" s="187"/>
      <c r="UHA160" s="187"/>
      <c r="UHB160" s="187"/>
      <c r="UHC160" s="187"/>
      <c r="UHD160" s="187"/>
      <c r="UHE160" s="187"/>
      <c r="UHF160" s="187"/>
      <c r="UHG160" s="187"/>
      <c r="UHH160" s="187"/>
      <c r="UHI160" s="187"/>
      <c r="UHJ160" s="187"/>
      <c r="UHK160" s="187"/>
      <c r="UHL160" s="187"/>
      <c r="UHM160" s="187"/>
      <c r="UHN160" s="187"/>
      <c r="UHO160" s="187"/>
      <c r="UHP160" s="187"/>
      <c r="UHQ160" s="187"/>
      <c r="UHR160" s="187"/>
      <c r="UHS160" s="187"/>
      <c r="UHT160" s="187"/>
      <c r="UHU160" s="187"/>
      <c r="UHV160" s="187"/>
      <c r="UHW160" s="187"/>
      <c r="UHX160" s="187"/>
      <c r="UHY160" s="187"/>
      <c r="UHZ160" s="187"/>
      <c r="UIA160" s="187"/>
      <c r="UIB160" s="187"/>
      <c r="UIC160" s="187"/>
      <c r="UID160" s="187"/>
      <c r="UIE160" s="187"/>
      <c r="UIF160" s="187"/>
      <c r="UIG160" s="187"/>
      <c r="UIH160" s="187"/>
      <c r="UII160" s="187"/>
      <c r="UIJ160" s="187"/>
      <c r="UIK160" s="187"/>
      <c r="UIL160" s="187"/>
      <c r="UIM160" s="187"/>
      <c r="UIN160" s="187"/>
      <c r="UIO160" s="187"/>
      <c r="UIP160" s="187"/>
      <c r="UIQ160" s="187"/>
      <c r="UIR160" s="187"/>
      <c r="UIS160" s="187"/>
      <c r="UIT160" s="187"/>
      <c r="UIU160" s="187"/>
      <c r="UIV160" s="187"/>
      <c r="UIW160" s="187"/>
      <c r="UIX160" s="187"/>
      <c r="UIY160" s="187"/>
      <c r="UIZ160" s="187"/>
      <c r="UJA160" s="187"/>
      <c r="UJB160" s="187"/>
      <c r="UJC160" s="187"/>
      <c r="UJD160" s="187"/>
      <c r="UJE160" s="187"/>
      <c r="UJF160" s="187"/>
      <c r="UJG160" s="187"/>
      <c r="UJH160" s="187"/>
      <c r="UJI160" s="187"/>
      <c r="UJJ160" s="187"/>
      <c r="UJK160" s="187"/>
      <c r="UJL160" s="187"/>
      <c r="UJM160" s="187"/>
      <c r="UJN160" s="187"/>
      <c r="UJO160" s="187"/>
      <c r="UJP160" s="187"/>
      <c r="UJQ160" s="187"/>
      <c r="UJR160" s="187"/>
      <c r="UJS160" s="187"/>
      <c r="UJT160" s="187"/>
      <c r="UJU160" s="187"/>
      <c r="UJV160" s="187"/>
      <c r="UJW160" s="187"/>
      <c r="UJX160" s="187"/>
      <c r="UJY160" s="187"/>
      <c r="UJZ160" s="187"/>
      <c r="UKA160" s="187"/>
      <c r="UKB160" s="187"/>
      <c r="UKC160" s="187"/>
      <c r="UKD160" s="187"/>
      <c r="UKE160" s="187"/>
      <c r="UKF160" s="187"/>
      <c r="UKG160" s="187"/>
      <c r="UKH160" s="187"/>
      <c r="UKI160" s="187"/>
      <c r="UKJ160" s="187"/>
      <c r="UKK160" s="187"/>
      <c r="UKL160" s="187"/>
      <c r="UKM160" s="187"/>
      <c r="UKN160" s="187"/>
      <c r="UKO160" s="187"/>
      <c r="UKP160" s="187"/>
      <c r="UKQ160" s="187"/>
      <c r="UKR160" s="187"/>
      <c r="UKS160" s="187"/>
      <c r="UKT160" s="187"/>
      <c r="UKU160" s="187"/>
      <c r="UKV160" s="187"/>
      <c r="UKW160" s="187"/>
      <c r="UKX160" s="187"/>
      <c r="UKY160" s="187"/>
      <c r="UKZ160" s="187"/>
      <c r="ULA160" s="187"/>
      <c r="ULB160" s="187"/>
      <c r="ULC160" s="187"/>
      <c r="ULD160" s="187"/>
      <c r="ULE160" s="187"/>
      <c r="ULF160" s="187"/>
      <c r="ULG160" s="187"/>
      <c r="ULH160" s="187"/>
      <c r="ULI160" s="187"/>
      <c r="ULJ160" s="187"/>
      <c r="ULK160" s="187"/>
      <c r="ULL160" s="187"/>
      <c r="ULM160" s="187"/>
      <c r="ULN160" s="187"/>
      <c r="ULO160" s="187"/>
      <c r="ULP160" s="187"/>
      <c r="ULQ160" s="187"/>
      <c r="ULR160" s="187"/>
      <c r="ULS160" s="187"/>
      <c r="ULT160" s="187"/>
      <c r="ULU160" s="187"/>
      <c r="ULV160" s="187"/>
      <c r="ULW160" s="187"/>
      <c r="ULX160" s="187"/>
      <c r="ULY160" s="187"/>
      <c r="ULZ160" s="187"/>
      <c r="UMA160" s="187"/>
      <c r="UMB160" s="187"/>
      <c r="UMC160" s="187"/>
      <c r="UMD160" s="187"/>
      <c r="UME160" s="187"/>
      <c r="UMF160" s="187"/>
      <c r="UMG160" s="187"/>
      <c r="UMH160" s="187"/>
      <c r="UMI160" s="187"/>
      <c r="UMJ160" s="187"/>
      <c r="UMK160" s="187"/>
      <c r="UML160" s="187"/>
      <c r="UMM160" s="187"/>
      <c r="UMN160" s="187"/>
      <c r="UMO160" s="187"/>
      <c r="UMP160" s="187"/>
      <c r="UMQ160" s="187"/>
      <c r="UMR160" s="187"/>
      <c r="UMS160" s="187"/>
      <c r="UMT160" s="187"/>
      <c r="UMU160" s="187"/>
      <c r="UMV160" s="187"/>
      <c r="UMW160" s="187"/>
      <c r="UMX160" s="187"/>
      <c r="UMY160" s="187"/>
      <c r="UMZ160" s="187"/>
      <c r="UNA160" s="187"/>
      <c r="UNB160" s="187"/>
      <c r="UNC160" s="187"/>
      <c r="UND160" s="187"/>
      <c r="UNE160" s="187"/>
      <c r="UNF160" s="187"/>
      <c r="UNG160" s="187"/>
      <c r="UNH160" s="187"/>
      <c r="UNI160" s="187"/>
      <c r="UNJ160" s="187"/>
      <c r="UNK160" s="187"/>
      <c r="UNL160" s="187"/>
      <c r="UNM160" s="187"/>
      <c r="UNN160" s="187"/>
      <c r="UNO160" s="187"/>
      <c r="UNP160" s="187"/>
      <c r="UNQ160" s="187"/>
      <c r="UNR160" s="187"/>
      <c r="UNS160" s="187"/>
      <c r="UNT160" s="187"/>
      <c r="UNU160" s="187"/>
      <c r="UNV160" s="187"/>
      <c r="UNW160" s="187"/>
      <c r="UNX160" s="187"/>
      <c r="UNY160" s="187"/>
      <c r="UNZ160" s="187"/>
      <c r="UOA160" s="187"/>
      <c r="UOB160" s="187"/>
      <c r="UOC160" s="187"/>
      <c r="UOD160" s="187"/>
      <c r="UOE160" s="187"/>
      <c r="UOF160" s="187"/>
      <c r="UOG160" s="187"/>
      <c r="UOH160" s="187"/>
      <c r="UOI160" s="187"/>
      <c r="UOJ160" s="187"/>
      <c r="UOK160" s="187"/>
      <c r="UOL160" s="187"/>
      <c r="UOM160" s="187"/>
      <c r="UON160" s="187"/>
      <c r="UOO160" s="187"/>
      <c r="UOP160" s="187"/>
      <c r="UOQ160" s="187"/>
      <c r="UOR160" s="187"/>
      <c r="UOS160" s="187"/>
      <c r="UOT160" s="187"/>
      <c r="UOU160" s="187"/>
      <c r="UOV160" s="187"/>
      <c r="UOW160" s="187"/>
      <c r="UOX160" s="187"/>
      <c r="UOY160" s="187"/>
      <c r="UOZ160" s="187"/>
      <c r="UPA160" s="187"/>
      <c r="UPB160" s="187"/>
      <c r="UPC160" s="187"/>
      <c r="UPD160" s="187"/>
      <c r="UPE160" s="187"/>
      <c r="UPF160" s="187"/>
      <c r="UPG160" s="187"/>
      <c r="UPH160" s="187"/>
      <c r="UPI160" s="187"/>
      <c r="UPJ160" s="187"/>
      <c r="UPK160" s="187"/>
      <c r="UPL160" s="187"/>
      <c r="UPM160" s="187"/>
      <c r="UPN160" s="187"/>
      <c r="UPO160" s="187"/>
      <c r="UPP160" s="187"/>
      <c r="UPQ160" s="187"/>
      <c r="UPR160" s="187"/>
      <c r="UPS160" s="187"/>
      <c r="UPT160" s="187"/>
      <c r="UPU160" s="187"/>
      <c r="UPV160" s="187"/>
      <c r="UPW160" s="187"/>
      <c r="UPX160" s="187"/>
      <c r="UPY160" s="187"/>
      <c r="UPZ160" s="187"/>
      <c r="UQA160" s="187"/>
      <c r="UQB160" s="187"/>
      <c r="UQC160" s="187"/>
      <c r="UQD160" s="187"/>
      <c r="UQE160" s="187"/>
      <c r="UQF160" s="187"/>
      <c r="UQG160" s="187"/>
      <c r="UQH160" s="187"/>
      <c r="UQI160" s="187"/>
      <c r="UQJ160" s="187"/>
      <c r="UQK160" s="187"/>
      <c r="UQL160" s="187"/>
      <c r="UQM160" s="187"/>
      <c r="UQN160" s="187"/>
      <c r="UQO160" s="187"/>
      <c r="UQP160" s="187"/>
      <c r="UQQ160" s="187"/>
      <c r="UQR160" s="187"/>
      <c r="UQS160" s="187"/>
      <c r="UQT160" s="187"/>
      <c r="UQU160" s="187"/>
      <c r="UQV160" s="187"/>
      <c r="UQW160" s="187"/>
      <c r="UQX160" s="187"/>
      <c r="UQY160" s="187"/>
      <c r="UQZ160" s="187"/>
      <c r="URA160" s="187"/>
      <c r="URB160" s="187"/>
      <c r="URC160" s="187"/>
      <c r="URD160" s="187"/>
      <c r="URE160" s="187"/>
      <c r="URF160" s="187"/>
      <c r="URG160" s="187"/>
      <c r="URH160" s="187"/>
      <c r="URI160" s="187"/>
      <c r="URJ160" s="187"/>
      <c r="URK160" s="187"/>
      <c r="URL160" s="187"/>
      <c r="URM160" s="187"/>
      <c r="URN160" s="187"/>
      <c r="URO160" s="187"/>
      <c r="URP160" s="187"/>
      <c r="URQ160" s="187"/>
      <c r="URR160" s="187"/>
      <c r="URS160" s="187"/>
      <c r="URT160" s="187"/>
      <c r="URU160" s="187"/>
      <c r="URV160" s="187"/>
      <c r="URW160" s="187"/>
      <c r="URX160" s="187"/>
      <c r="URY160" s="187"/>
      <c r="URZ160" s="187"/>
      <c r="USA160" s="187"/>
      <c r="USB160" s="187"/>
      <c r="USC160" s="187"/>
      <c r="USD160" s="187"/>
      <c r="USE160" s="187"/>
      <c r="USF160" s="187"/>
      <c r="USG160" s="187"/>
      <c r="USH160" s="187"/>
      <c r="USI160" s="187"/>
      <c r="USJ160" s="187"/>
      <c r="USK160" s="187"/>
      <c r="USL160" s="187"/>
      <c r="USM160" s="187"/>
      <c r="USN160" s="187"/>
      <c r="USO160" s="187"/>
      <c r="USP160" s="187"/>
      <c r="USQ160" s="187"/>
      <c r="USR160" s="187"/>
      <c r="USS160" s="187"/>
      <c r="UST160" s="187"/>
      <c r="USU160" s="187"/>
      <c r="USV160" s="187"/>
      <c r="USW160" s="187"/>
      <c r="USX160" s="187"/>
      <c r="USY160" s="187"/>
      <c r="USZ160" s="187"/>
      <c r="UTA160" s="187"/>
      <c r="UTB160" s="187"/>
      <c r="UTC160" s="187"/>
      <c r="UTD160" s="187"/>
      <c r="UTE160" s="187"/>
      <c r="UTF160" s="187"/>
      <c r="UTG160" s="187"/>
      <c r="UTH160" s="187"/>
      <c r="UTI160" s="187"/>
      <c r="UTJ160" s="187"/>
      <c r="UTK160" s="187"/>
      <c r="UTL160" s="187"/>
      <c r="UTM160" s="187"/>
      <c r="UTN160" s="187"/>
      <c r="UTO160" s="187"/>
      <c r="UTP160" s="187"/>
      <c r="UTQ160" s="187"/>
      <c r="UTR160" s="187"/>
      <c r="UTS160" s="187"/>
      <c r="UTT160" s="187"/>
      <c r="UTU160" s="187"/>
      <c r="UTV160" s="187"/>
      <c r="UTW160" s="187"/>
      <c r="UTX160" s="187"/>
      <c r="UTY160" s="187"/>
      <c r="UTZ160" s="187"/>
      <c r="UUA160" s="187"/>
      <c r="UUB160" s="187"/>
      <c r="UUC160" s="187"/>
      <c r="UUD160" s="187"/>
      <c r="UUE160" s="187"/>
      <c r="UUF160" s="187"/>
      <c r="UUG160" s="187"/>
      <c r="UUH160" s="187"/>
      <c r="UUI160" s="187"/>
      <c r="UUJ160" s="187"/>
      <c r="UUK160" s="187"/>
      <c r="UUL160" s="187"/>
      <c r="UUM160" s="187"/>
      <c r="UUN160" s="187"/>
      <c r="UUO160" s="187"/>
      <c r="UUP160" s="187"/>
      <c r="UUQ160" s="187"/>
      <c r="UUR160" s="187"/>
      <c r="UUS160" s="187"/>
      <c r="UUT160" s="187"/>
      <c r="UUU160" s="187"/>
      <c r="UUV160" s="187"/>
      <c r="UUW160" s="187"/>
      <c r="UUX160" s="187"/>
      <c r="UUY160" s="187"/>
      <c r="UUZ160" s="187"/>
      <c r="UVA160" s="187"/>
      <c r="UVB160" s="187"/>
      <c r="UVC160" s="187"/>
      <c r="UVD160" s="187"/>
      <c r="UVE160" s="187"/>
      <c r="UVF160" s="187"/>
      <c r="UVG160" s="187"/>
      <c r="UVH160" s="187"/>
      <c r="UVI160" s="187"/>
      <c r="UVJ160" s="187"/>
      <c r="UVK160" s="187"/>
      <c r="UVL160" s="187"/>
      <c r="UVM160" s="187"/>
      <c r="UVN160" s="187"/>
      <c r="UVO160" s="187"/>
      <c r="UVP160" s="187"/>
      <c r="UVQ160" s="187"/>
      <c r="UVR160" s="187"/>
      <c r="UVS160" s="187"/>
      <c r="UVT160" s="187"/>
      <c r="UVU160" s="187"/>
      <c r="UVV160" s="187"/>
      <c r="UVW160" s="187"/>
      <c r="UVX160" s="187"/>
      <c r="UVY160" s="187"/>
      <c r="UVZ160" s="187"/>
      <c r="UWA160" s="187"/>
      <c r="UWB160" s="187"/>
      <c r="UWC160" s="187"/>
      <c r="UWD160" s="187"/>
      <c r="UWE160" s="187"/>
      <c r="UWF160" s="187"/>
      <c r="UWG160" s="187"/>
      <c r="UWH160" s="187"/>
      <c r="UWI160" s="187"/>
      <c r="UWJ160" s="187"/>
      <c r="UWK160" s="187"/>
      <c r="UWL160" s="187"/>
      <c r="UWM160" s="187"/>
      <c r="UWN160" s="187"/>
      <c r="UWO160" s="187"/>
      <c r="UWP160" s="187"/>
      <c r="UWQ160" s="187"/>
      <c r="UWR160" s="187"/>
      <c r="UWS160" s="187"/>
      <c r="UWT160" s="187"/>
      <c r="UWU160" s="187"/>
      <c r="UWV160" s="187"/>
      <c r="UWW160" s="187"/>
      <c r="UWX160" s="187"/>
      <c r="UWY160" s="187"/>
      <c r="UWZ160" s="187"/>
      <c r="UXA160" s="187"/>
      <c r="UXB160" s="187"/>
      <c r="UXC160" s="187"/>
      <c r="UXD160" s="187"/>
      <c r="UXE160" s="187"/>
      <c r="UXF160" s="187"/>
      <c r="UXG160" s="187"/>
      <c r="UXH160" s="187"/>
      <c r="UXI160" s="187"/>
      <c r="UXJ160" s="187"/>
      <c r="UXK160" s="187"/>
      <c r="UXL160" s="187"/>
      <c r="UXM160" s="187"/>
      <c r="UXN160" s="187"/>
      <c r="UXO160" s="187"/>
      <c r="UXP160" s="187"/>
      <c r="UXQ160" s="187"/>
      <c r="UXR160" s="187"/>
      <c r="UXS160" s="187"/>
      <c r="UXT160" s="187"/>
      <c r="UXU160" s="187"/>
      <c r="UXV160" s="187"/>
      <c r="UXW160" s="187"/>
      <c r="UXX160" s="187"/>
      <c r="UXY160" s="187"/>
      <c r="UXZ160" s="187"/>
      <c r="UYA160" s="187"/>
      <c r="UYB160" s="187"/>
      <c r="UYC160" s="187"/>
      <c r="UYD160" s="187"/>
      <c r="UYE160" s="187"/>
      <c r="UYF160" s="187"/>
      <c r="UYG160" s="187"/>
      <c r="UYH160" s="187"/>
      <c r="UYI160" s="187"/>
      <c r="UYJ160" s="187"/>
      <c r="UYK160" s="187"/>
      <c r="UYL160" s="187"/>
      <c r="UYM160" s="187"/>
      <c r="UYN160" s="187"/>
      <c r="UYO160" s="187"/>
      <c r="UYP160" s="187"/>
      <c r="UYQ160" s="187"/>
      <c r="UYR160" s="187"/>
      <c r="UYS160" s="187"/>
      <c r="UYT160" s="187"/>
      <c r="UYU160" s="187"/>
      <c r="UYV160" s="187"/>
      <c r="UYW160" s="187"/>
      <c r="UYX160" s="187"/>
      <c r="UYY160" s="187"/>
      <c r="UYZ160" s="187"/>
      <c r="UZA160" s="187"/>
      <c r="UZB160" s="187"/>
      <c r="UZC160" s="187"/>
      <c r="UZD160" s="187"/>
      <c r="UZE160" s="187"/>
      <c r="UZF160" s="187"/>
      <c r="UZG160" s="187"/>
      <c r="UZH160" s="187"/>
      <c r="UZI160" s="187"/>
      <c r="UZJ160" s="187"/>
      <c r="UZK160" s="187"/>
      <c r="UZL160" s="187"/>
      <c r="UZM160" s="187"/>
      <c r="UZN160" s="187"/>
      <c r="UZO160" s="187"/>
      <c r="UZP160" s="187"/>
      <c r="UZQ160" s="187"/>
      <c r="UZR160" s="187"/>
      <c r="UZS160" s="187"/>
      <c r="UZT160" s="187"/>
      <c r="UZU160" s="187"/>
      <c r="UZV160" s="187"/>
      <c r="UZW160" s="187"/>
      <c r="UZX160" s="187"/>
      <c r="UZY160" s="187"/>
      <c r="UZZ160" s="187"/>
      <c r="VAA160" s="187"/>
      <c r="VAB160" s="187"/>
      <c r="VAC160" s="187"/>
      <c r="VAD160" s="187"/>
      <c r="VAE160" s="187"/>
      <c r="VAF160" s="187"/>
      <c r="VAG160" s="187"/>
      <c r="VAH160" s="187"/>
      <c r="VAI160" s="187"/>
      <c r="VAJ160" s="187"/>
      <c r="VAK160" s="187"/>
      <c r="VAL160" s="187"/>
      <c r="VAM160" s="187"/>
      <c r="VAN160" s="187"/>
      <c r="VAO160" s="187"/>
      <c r="VAP160" s="187"/>
      <c r="VAQ160" s="187"/>
      <c r="VAR160" s="187"/>
      <c r="VAS160" s="187"/>
      <c r="VAT160" s="187"/>
      <c r="VAU160" s="187"/>
      <c r="VAV160" s="187"/>
      <c r="VAW160" s="187"/>
      <c r="VAX160" s="187"/>
      <c r="VAY160" s="187"/>
      <c r="VAZ160" s="187"/>
      <c r="VBA160" s="187"/>
      <c r="VBB160" s="187"/>
      <c r="VBC160" s="187"/>
      <c r="VBD160" s="187"/>
      <c r="VBE160" s="187"/>
      <c r="VBF160" s="187"/>
      <c r="VBG160" s="187"/>
      <c r="VBH160" s="187"/>
      <c r="VBI160" s="187"/>
      <c r="VBJ160" s="187"/>
      <c r="VBK160" s="187"/>
      <c r="VBL160" s="187"/>
      <c r="VBM160" s="187"/>
      <c r="VBN160" s="187"/>
      <c r="VBO160" s="187"/>
      <c r="VBP160" s="187"/>
      <c r="VBQ160" s="187"/>
      <c r="VBR160" s="187"/>
      <c r="VBS160" s="187"/>
      <c r="VBT160" s="187"/>
      <c r="VBU160" s="187"/>
      <c r="VBV160" s="187"/>
      <c r="VBW160" s="187"/>
      <c r="VBX160" s="187"/>
      <c r="VBY160" s="187"/>
      <c r="VBZ160" s="187"/>
      <c r="VCA160" s="187"/>
      <c r="VCB160" s="187"/>
      <c r="VCC160" s="187"/>
      <c r="VCD160" s="187"/>
      <c r="VCE160" s="187"/>
      <c r="VCF160" s="187"/>
      <c r="VCG160" s="187"/>
      <c r="VCH160" s="187"/>
      <c r="VCI160" s="187"/>
      <c r="VCJ160" s="187"/>
      <c r="VCK160" s="187"/>
      <c r="VCL160" s="187"/>
      <c r="VCM160" s="187"/>
      <c r="VCN160" s="187"/>
      <c r="VCO160" s="187"/>
      <c r="VCP160" s="187"/>
      <c r="VCQ160" s="187"/>
      <c r="VCR160" s="187"/>
      <c r="VCS160" s="187"/>
      <c r="VCT160" s="187"/>
      <c r="VCU160" s="187"/>
      <c r="VCV160" s="187"/>
      <c r="VCW160" s="187"/>
      <c r="VCX160" s="187"/>
      <c r="VCY160" s="187"/>
      <c r="VCZ160" s="187"/>
      <c r="VDA160" s="187"/>
      <c r="VDB160" s="187"/>
      <c r="VDC160" s="187"/>
      <c r="VDD160" s="187"/>
      <c r="VDE160" s="187"/>
      <c r="VDF160" s="187"/>
      <c r="VDG160" s="187"/>
      <c r="VDH160" s="187"/>
      <c r="VDI160" s="187"/>
      <c r="VDJ160" s="187"/>
      <c r="VDK160" s="187"/>
      <c r="VDL160" s="187"/>
      <c r="VDM160" s="187"/>
      <c r="VDN160" s="187"/>
      <c r="VDO160" s="187"/>
      <c r="VDP160" s="187"/>
      <c r="VDQ160" s="187"/>
      <c r="VDR160" s="187"/>
      <c r="VDS160" s="187"/>
      <c r="VDT160" s="187"/>
      <c r="VDU160" s="187"/>
      <c r="VDV160" s="187"/>
      <c r="VDW160" s="187"/>
      <c r="VDX160" s="187"/>
      <c r="VDY160" s="187"/>
      <c r="VDZ160" s="187"/>
      <c r="VEA160" s="187"/>
      <c r="VEB160" s="187"/>
      <c r="VEC160" s="187"/>
      <c r="VED160" s="187"/>
      <c r="VEE160" s="187"/>
      <c r="VEF160" s="187"/>
      <c r="VEG160" s="187"/>
      <c r="VEH160" s="187"/>
      <c r="VEI160" s="187"/>
      <c r="VEJ160" s="187"/>
      <c r="VEK160" s="187"/>
      <c r="VEL160" s="187"/>
      <c r="VEM160" s="187"/>
      <c r="VEN160" s="187"/>
      <c r="VEO160" s="187"/>
      <c r="VEP160" s="187"/>
      <c r="VEQ160" s="187"/>
      <c r="VER160" s="187"/>
      <c r="VES160" s="187"/>
      <c r="VET160" s="187"/>
      <c r="VEU160" s="187"/>
      <c r="VEV160" s="187"/>
      <c r="VEW160" s="187"/>
      <c r="VEX160" s="187"/>
      <c r="VEY160" s="187"/>
      <c r="VEZ160" s="187"/>
      <c r="VFA160" s="187"/>
      <c r="VFB160" s="187"/>
      <c r="VFC160" s="187"/>
      <c r="VFD160" s="187"/>
      <c r="VFE160" s="187"/>
      <c r="VFF160" s="187"/>
      <c r="VFG160" s="187"/>
      <c r="VFH160" s="187"/>
      <c r="VFI160" s="187"/>
      <c r="VFJ160" s="187"/>
      <c r="VFK160" s="187"/>
      <c r="VFL160" s="187"/>
      <c r="VFM160" s="187"/>
      <c r="VFN160" s="187"/>
      <c r="VFO160" s="187"/>
      <c r="VFP160" s="187"/>
      <c r="VFQ160" s="187"/>
      <c r="VFR160" s="187"/>
      <c r="VFS160" s="187"/>
      <c r="VFT160" s="187"/>
      <c r="VFU160" s="187"/>
      <c r="VFV160" s="187"/>
      <c r="VFW160" s="187"/>
      <c r="VFX160" s="187"/>
      <c r="VFY160" s="187"/>
      <c r="VFZ160" s="187"/>
      <c r="VGA160" s="187"/>
      <c r="VGB160" s="187"/>
      <c r="VGC160" s="187"/>
      <c r="VGD160" s="187"/>
      <c r="VGE160" s="187"/>
      <c r="VGF160" s="187"/>
      <c r="VGG160" s="187"/>
      <c r="VGH160" s="187"/>
      <c r="VGI160" s="187"/>
      <c r="VGJ160" s="187"/>
      <c r="VGK160" s="187"/>
      <c r="VGL160" s="187"/>
      <c r="VGM160" s="187"/>
      <c r="VGN160" s="187"/>
      <c r="VGO160" s="187"/>
      <c r="VGP160" s="187"/>
      <c r="VGQ160" s="187"/>
      <c r="VGR160" s="187"/>
      <c r="VGS160" s="187"/>
      <c r="VGT160" s="187"/>
      <c r="VGU160" s="187"/>
      <c r="VGV160" s="187"/>
      <c r="VGW160" s="187"/>
      <c r="VGX160" s="187"/>
      <c r="VGY160" s="187"/>
      <c r="VGZ160" s="187"/>
      <c r="VHA160" s="187"/>
      <c r="VHB160" s="187"/>
      <c r="VHC160" s="187"/>
      <c r="VHD160" s="187"/>
      <c r="VHE160" s="187"/>
      <c r="VHF160" s="187"/>
      <c r="VHG160" s="187"/>
      <c r="VHH160" s="187"/>
      <c r="VHI160" s="187"/>
      <c r="VHJ160" s="187"/>
      <c r="VHK160" s="187"/>
      <c r="VHL160" s="187"/>
      <c r="VHM160" s="187"/>
      <c r="VHN160" s="187"/>
      <c r="VHO160" s="187"/>
      <c r="VHP160" s="187"/>
      <c r="VHQ160" s="187"/>
      <c r="VHR160" s="187"/>
      <c r="VHS160" s="187"/>
      <c r="VHT160" s="187"/>
      <c r="VHU160" s="187"/>
      <c r="VHV160" s="187"/>
      <c r="VHW160" s="187"/>
      <c r="VHX160" s="187"/>
      <c r="VHY160" s="187"/>
      <c r="VHZ160" s="187"/>
      <c r="VIA160" s="187"/>
      <c r="VIB160" s="187"/>
      <c r="VIC160" s="187"/>
      <c r="VID160" s="187"/>
      <c r="VIE160" s="187"/>
      <c r="VIF160" s="187"/>
      <c r="VIG160" s="187"/>
      <c r="VIH160" s="187"/>
      <c r="VII160" s="187"/>
      <c r="VIJ160" s="187"/>
      <c r="VIK160" s="187"/>
      <c r="VIL160" s="187"/>
      <c r="VIM160" s="187"/>
      <c r="VIN160" s="187"/>
      <c r="VIO160" s="187"/>
      <c r="VIP160" s="187"/>
      <c r="VIQ160" s="187"/>
      <c r="VIR160" s="187"/>
      <c r="VIS160" s="187"/>
      <c r="VIT160" s="187"/>
      <c r="VIU160" s="187"/>
      <c r="VIV160" s="187"/>
      <c r="VIW160" s="187"/>
      <c r="VIX160" s="187"/>
      <c r="VIY160" s="187"/>
      <c r="VIZ160" s="187"/>
      <c r="VJA160" s="187"/>
      <c r="VJB160" s="187"/>
      <c r="VJC160" s="187"/>
      <c r="VJD160" s="187"/>
      <c r="VJE160" s="187"/>
      <c r="VJF160" s="187"/>
      <c r="VJG160" s="187"/>
      <c r="VJH160" s="187"/>
      <c r="VJI160" s="187"/>
      <c r="VJJ160" s="187"/>
      <c r="VJK160" s="187"/>
      <c r="VJL160" s="187"/>
      <c r="VJM160" s="187"/>
      <c r="VJN160" s="187"/>
      <c r="VJO160" s="187"/>
      <c r="VJP160" s="187"/>
      <c r="VJQ160" s="187"/>
      <c r="VJR160" s="187"/>
      <c r="VJS160" s="187"/>
      <c r="VJT160" s="187"/>
      <c r="VJU160" s="187"/>
      <c r="VJV160" s="187"/>
      <c r="VJW160" s="187"/>
      <c r="VJX160" s="187"/>
      <c r="VJY160" s="187"/>
      <c r="VJZ160" s="187"/>
      <c r="VKA160" s="187"/>
      <c r="VKB160" s="187"/>
      <c r="VKC160" s="187"/>
      <c r="VKD160" s="187"/>
      <c r="VKE160" s="187"/>
      <c r="VKF160" s="187"/>
      <c r="VKG160" s="187"/>
      <c r="VKH160" s="187"/>
      <c r="VKI160" s="187"/>
      <c r="VKJ160" s="187"/>
      <c r="VKK160" s="187"/>
      <c r="VKL160" s="187"/>
      <c r="VKM160" s="187"/>
      <c r="VKN160" s="187"/>
      <c r="VKO160" s="187"/>
      <c r="VKP160" s="187"/>
      <c r="VKQ160" s="187"/>
      <c r="VKR160" s="187"/>
      <c r="VKS160" s="187"/>
      <c r="VKT160" s="187"/>
      <c r="VKU160" s="187"/>
      <c r="VKV160" s="187"/>
      <c r="VKW160" s="187"/>
      <c r="VKX160" s="187"/>
      <c r="VKY160" s="187"/>
      <c r="VKZ160" s="187"/>
      <c r="VLA160" s="187"/>
      <c r="VLB160" s="187"/>
      <c r="VLC160" s="187"/>
      <c r="VLD160" s="187"/>
      <c r="VLE160" s="187"/>
      <c r="VLF160" s="187"/>
      <c r="VLG160" s="187"/>
      <c r="VLH160" s="187"/>
      <c r="VLI160" s="187"/>
      <c r="VLJ160" s="187"/>
      <c r="VLK160" s="187"/>
      <c r="VLL160" s="187"/>
      <c r="VLM160" s="187"/>
      <c r="VLN160" s="187"/>
      <c r="VLO160" s="187"/>
      <c r="VLP160" s="187"/>
      <c r="VLQ160" s="187"/>
      <c r="VLR160" s="187"/>
      <c r="VLS160" s="187"/>
      <c r="VLT160" s="187"/>
      <c r="VLU160" s="187"/>
      <c r="VLV160" s="187"/>
      <c r="VLW160" s="187"/>
      <c r="VLX160" s="187"/>
      <c r="VLY160" s="187"/>
      <c r="VLZ160" s="187"/>
      <c r="VMA160" s="187"/>
      <c r="VMB160" s="187"/>
      <c r="VMC160" s="187"/>
      <c r="VMD160" s="187"/>
      <c r="VME160" s="187"/>
      <c r="VMF160" s="187"/>
      <c r="VMG160" s="187"/>
      <c r="VMH160" s="187"/>
      <c r="VMI160" s="187"/>
      <c r="VMJ160" s="187"/>
      <c r="VMK160" s="187"/>
      <c r="VML160" s="187"/>
      <c r="VMM160" s="187"/>
      <c r="VMN160" s="187"/>
      <c r="VMO160" s="187"/>
      <c r="VMP160" s="187"/>
      <c r="VMQ160" s="187"/>
      <c r="VMR160" s="187"/>
      <c r="VMS160" s="187"/>
      <c r="VMT160" s="187"/>
      <c r="VMU160" s="187"/>
      <c r="VMV160" s="187"/>
      <c r="VMW160" s="187"/>
      <c r="VMX160" s="187"/>
      <c r="VMY160" s="187"/>
      <c r="VMZ160" s="187"/>
      <c r="VNA160" s="187"/>
      <c r="VNB160" s="187"/>
      <c r="VNC160" s="187"/>
      <c r="VND160" s="187"/>
      <c r="VNE160" s="187"/>
      <c r="VNF160" s="187"/>
      <c r="VNG160" s="187"/>
      <c r="VNH160" s="187"/>
      <c r="VNI160" s="187"/>
      <c r="VNJ160" s="187"/>
      <c r="VNK160" s="187"/>
      <c r="VNL160" s="187"/>
      <c r="VNM160" s="187"/>
      <c r="VNN160" s="187"/>
      <c r="VNO160" s="187"/>
      <c r="VNP160" s="187"/>
      <c r="VNQ160" s="187"/>
      <c r="VNR160" s="187"/>
      <c r="VNS160" s="187"/>
      <c r="VNT160" s="187"/>
      <c r="VNU160" s="187"/>
      <c r="VNV160" s="187"/>
      <c r="VNW160" s="187"/>
      <c r="VNX160" s="187"/>
      <c r="VNY160" s="187"/>
      <c r="VNZ160" s="187"/>
      <c r="VOA160" s="187"/>
      <c r="VOB160" s="187"/>
      <c r="VOC160" s="187"/>
      <c r="VOD160" s="187"/>
      <c r="VOE160" s="187"/>
      <c r="VOF160" s="187"/>
      <c r="VOG160" s="187"/>
      <c r="VOH160" s="187"/>
      <c r="VOI160" s="187"/>
      <c r="VOJ160" s="187"/>
      <c r="VOK160" s="187"/>
      <c r="VOL160" s="187"/>
      <c r="VOM160" s="187"/>
      <c r="VON160" s="187"/>
      <c r="VOO160" s="187"/>
      <c r="VOP160" s="187"/>
      <c r="VOQ160" s="187"/>
      <c r="VOR160" s="187"/>
      <c r="VOS160" s="187"/>
      <c r="VOT160" s="187"/>
      <c r="VOU160" s="187"/>
      <c r="VOV160" s="187"/>
      <c r="VOW160" s="187"/>
      <c r="VOX160" s="187"/>
      <c r="VOY160" s="187"/>
      <c r="VOZ160" s="187"/>
      <c r="VPA160" s="187"/>
      <c r="VPB160" s="187"/>
      <c r="VPC160" s="187"/>
      <c r="VPD160" s="187"/>
      <c r="VPE160" s="187"/>
      <c r="VPF160" s="187"/>
      <c r="VPG160" s="187"/>
      <c r="VPH160" s="187"/>
      <c r="VPI160" s="187"/>
      <c r="VPJ160" s="187"/>
      <c r="VPK160" s="187"/>
      <c r="VPL160" s="187"/>
      <c r="VPM160" s="187"/>
      <c r="VPN160" s="187"/>
      <c r="VPO160" s="187"/>
      <c r="VPP160" s="187"/>
      <c r="VPQ160" s="187"/>
      <c r="VPR160" s="187"/>
      <c r="VPS160" s="187"/>
      <c r="VPT160" s="187"/>
      <c r="VPU160" s="187"/>
      <c r="VPV160" s="187"/>
      <c r="VPW160" s="187"/>
      <c r="VPX160" s="187"/>
      <c r="VPY160" s="187"/>
      <c r="VPZ160" s="187"/>
      <c r="VQA160" s="187"/>
      <c r="VQB160" s="187"/>
      <c r="VQC160" s="187"/>
      <c r="VQD160" s="187"/>
      <c r="VQE160" s="187"/>
      <c r="VQF160" s="187"/>
      <c r="VQG160" s="187"/>
      <c r="VQH160" s="187"/>
      <c r="VQI160" s="187"/>
      <c r="VQJ160" s="187"/>
      <c r="VQK160" s="187"/>
      <c r="VQL160" s="187"/>
      <c r="VQM160" s="187"/>
      <c r="VQN160" s="187"/>
      <c r="VQO160" s="187"/>
      <c r="VQP160" s="187"/>
      <c r="VQQ160" s="187"/>
      <c r="VQR160" s="187"/>
      <c r="VQS160" s="187"/>
      <c r="VQT160" s="187"/>
      <c r="VQU160" s="187"/>
      <c r="VQV160" s="187"/>
      <c r="VQW160" s="187"/>
      <c r="VQX160" s="187"/>
      <c r="VQY160" s="187"/>
      <c r="VQZ160" s="187"/>
      <c r="VRA160" s="187"/>
      <c r="VRB160" s="187"/>
      <c r="VRC160" s="187"/>
      <c r="VRD160" s="187"/>
      <c r="VRE160" s="187"/>
      <c r="VRF160" s="187"/>
      <c r="VRG160" s="187"/>
      <c r="VRH160" s="187"/>
      <c r="VRI160" s="187"/>
      <c r="VRJ160" s="187"/>
      <c r="VRK160" s="187"/>
      <c r="VRL160" s="187"/>
      <c r="VRM160" s="187"/>
      <c r="VRN160" s="187"/>
      <c r="VRO160" s="187"/>
      <c r="VRP160" s="187"/>
      <c r="VRQ160" s="187"/>
      <c r="VRR160" s="187"/>
      <c r="VRS160" s="187"/>
      <c r="VRT160" s="187"/>
      <c r="VRU160" s="187"/>
      <c r="VRV160" s="187"/>
      <c r="VRW160" s="187"/>
      <c r="VRX160" s="187"/>
      <c r="VRY160" s="187"/>
      <c r="VRZ160" s="187"/>
      <c r="VSA160" s="187"/>
      <c r="VSB160" s="187"/>
      <c r="VSC160" s="187"/>
      <c r="VSD160" s="187"/>
      <c r="VSE160" s="187"/>
      <c r="VSF160" s="187"/>
      <c r="VSG160" s="187"/>
      <c r="VSH160" s="187"/>
      <c r="VSI160" s="187"/>
      <c r="VSJ160" s="187"/>
      <c r="VSK160" s="187"/>
      <c r="VSL160" s="187"/>
      <c r="VSM160" s="187"/>
      <c r="VSN160" s="187"/>
      <c r="VSO160" s="187"/>
      <c r="VSP160" s="187"/>
      <c r="VSQ160" s="187"/>
      <c r="VSR160" s="187"/>
      <c r="VSS160" s="187"/>
      <c r="VST160" s="187"/>
      <c r="VSU160" s="187"/>
      <c r="VSV160" s="187"/>
      <c r="VSW160" s="187"/>
      <c r="VSX160" s="187"/>
      <c r="VSY160" s="187"/>
      <c r="VSZ160" s="187"/>
      <c r="VTA160" s="187"/>
      <c r="VTB160" s="187"/>
      <c r="VTC160" s="187"/>
      <c r="VTD160" s="187"/>
      <c r="VTE160" s="187"/>
      <c r="VTF160" s="187"/>
      <c r="VTG160" s="187"/>
      <c r="VTH160" s="187"/>
      <c r="VTI160" s="187"/>
      <c r="VTJ160" s="187"/>
      <c r="VTK160" s="187"/>
      <c r="VTL160" s="187"/>
      <c r="VTM160" s="187"/>
      <c r="VTN160" s="187"/>
      <c r="VTO160" s="187"/>
      <c r="VTP160" s="187"/>
      <c r="VTQ160" s="187"/>
      <c r="VTR160" s="187"/>
      <c r="VTS160" s="187"/>
      <c r="VTT160" s="187"/>
      <c r="VTU160" s="187"/>
      <c r="VTV160" s="187"/>
      <c r="VTW160" s="187"/>
      <c r="VTX160" s="187"/>
      <c r="VTY160" s="187"/>
      <c r="VTZ160" s="187"/>
      <c r="VUA160" s="187"/>
      <c r="VUB160" s="187"/>
      <c r="VUC160" s="187"/>
      <c r="VUD160" s="187"/>
      <c r="VUE160" s="187"/>
      <c r="VUF160" s="187"/>
      <c r="VUG160" s="187"/>
      <c r="VUH160" s="187"/>
      <c r="VUI160" s="187"/>
      <c r="VUJ160" s="187"/>
      <c r="VUK160" s="187"/>
      <c r="VUL160" s="187"/>
      <c r="VUM160" s="187"/>
      <c r="VUN160" s="187"/>
      <c r="VUO160" s="187"/>
      <c r="VUP160" s="187"/>
      <c r="VUQ160" s="187"/>
      <c r="VUR160" s="187"/>
      <c r="VUS160" s="187"/>
      <c r="VUT160" s="187"/>
      <c r="VUU160" s="187"/>
      <c r="VUV160" s="187"/>
      <c r="VUW160" s="187"/>
      <c r="VUX160" s="187"/>
      <c r="VUY160" s="187"/>
      <c r="VUZ160" s="187"/>
      <c r="VVA160" s="187"/>
      <c r="VVB160" s="187"/>
      <c r="VVC160" s="187"/>
      <c r="VVD160" s="187"/>
      <c r="VVE160" s="187"/>
      <c r="VVF160" s="187"/>
      <c r="VVG160" s="187"/>
      <c r="VVH160" s="187"/>
      <c r="VVI160" s="187"/>
      <c r="VVJ160" s="187"/>
      <c r="VVK160" s="187"/>
      <c r="VVL160" s="187"/>
      <c r="VVM160" s="187"/>
      <c r="VVN160" s="187"/>
      <c r="VVO160" s="187"/>
      <c r="VVP160" s="187"/>
      <c r="VVQ160" s="187"/>
      <c r="VVR160" s="187"/>
      <c r="VVS160" s="187"/>
      <c r="VVT160" s="187"/>
      <c r="VVU160" s="187"/>
      <c r="VVV160" s="187"/>
      <c r="VVW160" s="187"/>
      <c r="VVX160" s="187"/>
      <c r="VVY160" s="187"/>
      <c r="VVZ160" s="187"/>
      <c r="VWA160" s="187"/>
      <c r="VWB160" s="187"/>
      <c r="VWC160" s="187"/>
      <c r="VWD160" s="187"/>
      <c r="VWE160" s="187"/>
      <c r="VWF160" s="187"/>
      <c r="VWG160" s="187"/>
      <c r="VWH160" s="187"/>
      <c r="VWI160" s="187"/>
      <c r="VWJ160" s="187"/>
      <c r="VWK160" s="187"/>
      <c r="VWL160" s="187"/>
      <c r="VWM160" s="187"/>
      <c r="VWN160" s="187"/>
      <c r="VWO160" s="187"/>
      <c r="VWP160" s="187"/>
      <c r="VWQ160" s="187"/>
      <c r="VWR160" s="187"/>
      <c r="VWS160" s="187"/>
      <c r="VWT160" s="187"/>
      <c r="VWU160" s="187"/>
      <c r="VWV160" s="187"/>
      <c r="VWW160" s="187"/>
      <c r="VWX160" s="187"/>
      <c r="VWY160" s="187"/>
      <c r="VWZ160" s="187"/>
      <c r="VXA160" s="187"/>
      <c r="VXB160" s="187"/>
      <c r="VXC160" s="187"/>
      <c r="VXD160" s="187"/>
      <c r="VXE160" s="187"/>
      <c r="VXF160" s="187"/>
      <c r="VXG160" s="187"/>
      <c r="VXH160" s="187"/>
      <c r="VXI160" s="187"/>
      <c r="VXJ160" s="187"/>
      <c r="VXK160" s="187"/>
      <c r="VXL160" s="187"/>
      <c r="VXM160" s="187"/>
      <c r="VXN160" s="187"/>
      <c r="VXO160" s="187"/>
      <c r="VXP160" s="187"/>
      <c r="VXQ160" s="187"/>
      <c r="VXR160" s="187"/>
      <c r="VXS160" s="187"/>
      <c r="VXT160" s="187"/>
      <c r="VXU160" s="187"/>
      <c r="VXV160" s="187"/>
      <c r="VXW160" s="187"/>
      <c r="VXX160" s="187"/>
      <c r="VXY160" s="187"/>
      <c r="VXZ160" s="187"/>
      <c r="VYA160" s="187"/>
      <c r="VYB160" s="187"/>
      <c r="VYC160" s="187"/>
      <c r="VYD160" s="187"/>
      <c r="VYE160" s="187"/>
      <c r="VYF160" s="187"/>
      <c r="VYG160" s="187"/>
      <c r="VYH160" s="187"/>
      <c r="VYI160" s="187"/>
      <c r="VYJ160" s="187"/>
      <c r="VYK160" s="187"/>
      <c r="VYL160" s="187"/>
      <c r="VYM160" s="187"/>
      <c r="VYN160" s="187"/>
      <c r="VYO160" s="187"/>
      <c r="VYP160" s="187"/>
      <c r="VYQ160" s="187"/>
      <c r="VYR160" s="187"/>
      <c r="VYS160" s="187"/>
      <c r="VYT160" s="187"/>
      <c r="VYU160" s="187"/>
      <c r="VYV160" s="187"/>
      <c r="VYW160" s="187"/>
      <c r="VYX160" s="187"/>
      <c r="VYY160" s="187"/>
      <c r="VYZ160" s="187"/>
      <c r="VZA160" s="187"/>
      <c r="VZB160" s="187"/>
      <c r="VZC160" s="187"/>
      <c r="VZD160" s="187"/>
      <c r="VZE160" s="187"/>
      <c r="VZF160" s="187"/>
      <c r="VZG160" s="187"/>
      <c r="VZH160" s="187"/>
      <c r="VZI160" s="187"/>
      <c r="VZJ160" s="187"/>
      <c r="VZK160" s="187"/>
      <c r="VZL160" s="187"/>
      <c r="VZM160" s="187"/>
      <c r="VZN160" s="187"/>
      <c r="VZO160" s="187"/>
      <c r="VZP160" s="187"/>
      <c r="VZQ160" s="187"/>
      <c r="VZR160" s="187"/>
      <c r="VZS160" s="187"/>
      <c r="VZT160" s="187"/>
      <c r="VZU160" s="187"/>
      <c r="VZV160" s="187"/>
      <c r="VZW160" s="187"/>
      <c r="VZX160" s="187"/>
      <c r="VZY160" s="187"/>
      <c r="VZZ160" s="187"/>
      <c r="WAA160" s="187"/>
      <c r="WAB160" s="187"/>
      <c r="WAC160" s="187"/>
      <c r="WAD160" s="187"/>
      <c r="WAE160" s="187"/>
      <c r="WAF160" s="187"/>
      <c r="WAG160" s="187"/>
      <c r="WAH160" s="187"/>
      <c r="WAI160" s="187"/>
      <c r="WAJ160" s="187"/>
      <c r="WAK160" s="187"/>
      <c r="WAL160" s="187"/>
      <c r="WAM160" s="187"/>
      <c r="WAN160" s="187"/>
      <c r="WAO160" s="187"/>
      <c r="WAP160" s="187"/>
      <c r="WAQ160" s="187"/>
      <c r="WAR160" s="187"/>
      <c r="WAS160" s="187"/>
      <c r="WAT160" s="187"/>
      <c r="WAU160" s="187"/>
      <c r="WAV160" s="187"/>
      <c r="WAW160" s="187"/>
      <c r="WAX160" s="187"/>
      <c r="WAY160" s="187"/>
      <c r="WAZ160" s="187"/>
      <c r="WBA160" s="187"/>
      <c r="WBB160" s="187"/>
      <c r="WBC160" s="187"/>
      <c r="WBD160" s="187"/>
      <c r="WBE160" s="187"/>
      <c r="WBF160" s="187"/>
      <c r="WBG160" s="187"/>
      <c r="WBH160" s="187"/>
      <c r="WBI160" s="187"/>
      <c r="WBJ160" s="187"/>
      <c r="WBK160" s="187"/>
      <c r="WBL160" s="187"/>
      <c r="WBM160" s="187"/>
      <c r="WBN160" s="187"/>
      <c r="WBO160" s="187"/>
      <c r="WBP160" s="187"/>
      <c r="WBQ160" s="187"/>
      <c r="WBR160" s="187"/>
      <c r="WBS160" s="187"/>
      <c r="WBT160" s="187"/>
      <c r="WBU160" s="187"/>
      <c r="WBV160" s="187"/>
      <c r="WBW160" s="187"/>
      <c r="WBX160" s="187"/>
      <c r="WBY160" s="187"/>
      <c r="WBZ160" s="187"/>
      <c r="WCA160" s="187"/>
      <c r="WCB160" s="187"/>
      <c r="WCC160" s="187"/>
      <c r="WCD160" s="187"/>
      <c r="WCE160" s="187"/>
      <c r="WCF160" s="187"/>
      <c r="WCG160" s="187"/>
      <c r="WCH160" s="187"/>
      <c r="WCI160" s="187"/>
      <c r="WCJ160" s="187"/>
      <c r="WCK160" s="187"/>
      <c r="WCL160" s="187"/>
      <c r="WCM160" s="187"/>
      <c r="WCN160" s="187"/>
      <c r="WCO160" s="187"/>
      <c r="WCP160" s="187"/>
      <c r="WCQ160" s="187"/>
      <c r="WCR160" s="187"/>
      <c r="WCS160" s="187"/>
      <c r="WCT160" s="187"/>
      <c r="WCU160" s="187"/>
      <c r="WCV160" s="187"/>
      <c r="WCW160" s="187"/>
      <c r="WCX160" s="187"/>
      <c r="WCY160" s="187"/>
      <c r="WCZ160" s="187"/>
      <c r="WDA160" s="187"/>
      <c r="WDB160" s="187"/>
      <c r="WDC160" s="187"/>
      <c r="WDD160" s="187"/>
      <c r="WDE160" s="187"/>
      <c r="WDF160" s="187"/>
      <c r="WDG160" s="187"/>
      <c r="WDH160" s="187"/>
      <c r="WDI160" s="187"/>
      <c r="WDJ160" s="187"/>
      <c r="WDK160" s="187"/>
      <c r="WDL160" s="187"/>
      <c r="WDM160" s="187"/>
      <c r="WDN160" s="187"/>
      <c r="WDO160" s="187"/>
      <c r="WDP160" s="187"/>
      <c r="WDQ160" s="187"/>
      <c r="WDR160" s="187"/>
      <c r="WDS160" s="187"/>
      <c r="WDT160" s="187"/>
      <c r="WDU160" s="187"/>
      <c r="WDV160" s="187"/>
      <c r="WDW160" s="187"/>
      <c r="WDX160" s="187"/>
      <c r="WDY160" s="187"/>
      <c r="WDZ160" s="187"/>
      <c r="WEA160" s="187"/>
      <c r="WEB160" s="187"/>
      <c r="WEC160" s="187"/>
      <c r="WED160" s="187"/>
      <c r="WEE160" s="187"/>
      <c r="WEF160" s="187"/>
      <c r="WEG160" s="187"/>
      <c r="WEH160" s="187"/>
      <c r="WEI160" s="187"/>
      <c r="WEJ160" s="187"/>
      <c r="WEK160" s="187"/>
      <c r="WEL160" s="187"/>
      <c r="WEM160" s="187"/>
      <c r="WEN160" s="187"/>
      <c r="WEO160" s="187"/>
      <c r="WEP160" s="187"/>
      <c r="WEQ160" s="187"/>
      <c r="WER160" s="187"/>
      <c r="WES160" s="187"/>
      <c r="WET160" s="187"/>
      <c r="WEU160" s="187"/>
      <c r="WEV160" s="187"/>
      <c r="WEW160" s="187"/>
      <c r="WEX160" s="187"/>
      <c r="WEY160" s="187"/>
      <c r="WEZ160" s="187"/>
      <c r="WFA160" s="187"/>
      <c r="WFB160" s="187"/>
      <c r="WFC160" s="187"/>
      <c r="WFD160" s="187"/>
      <c r="WFE160" s="187"/>
      <c r="WFF160" s="187"/>
      <c r="WFG160" s="187"/>
      <c r="WFH160" s="187"/>
      <c r="WFI160" s="187"/>
      <c r="WFJ160" s="187"/>
      <c r="WFK160" s="187"/>
      <c r="WFL160" s="187"/>
      <c r="WFM160" s="187"/>
      <c r="WFN160" s="187"/>
      <c r="WFO160" s="187"/>
      <c r="WFP160" s="187"/>
      <c r="WFQ160" s="187"/>
      <c r="WFR160" s="187"/>
      <c r="WFS160" s="187"/>
      <c r="WFT160" s="187"/>
      <c r="WFU160" s="187"/>
      <c r="WFV160" s="187"/>
      <c r="WFW160" s="187"/>
      <c r="WFX160" s="187"/>
      <c r="WFY160" s="187"/>
      <c r="WFZ160" s="187"/>
      <c r="WGA160" s="187"/>
      <c r="WGB160" s="187"/>
      <c r="WGC160" s="187"/>
      <c r="WGD160" s="187"/>
      <c r="WGE160" s="187"/>
      <c r="WGF160" s="187"/>
      <c r="WGG160" s="187"/>
      <c r="WGH160" s="187"/>
      <c r="WGI160" s="187"/>
      <c r="WGJ160" s="187"/>
      <c r="WGK160" s="187"/>
      <c r="WGL160" s="187"/>
      <c r="WGM160" s="187"/>
      <c r="WGN160" s="187"/>
      <c r="WGO160" s="187"/>
      <c r="WGP160" s="187"/>
      <c r="WGQ160" s="187"/>
      <c r="WGR160" s="187"/>
      <c r="WGS160" s="187"/>
      <c r="WGT160" s="187"/>
      <c r="WGU160" s="187"/>
      <c r="WGV160" s="187"/>
      <c r="WGW160" s="187"/>
      <c r="WGX160" s="187"/>
      <c r="WGY160" s="187"/>
      <c r="WGZ160" s="187"/>
      <c r="WHA160" s="187"/>
      <c r="WHB160" s="187"/>
      <c r="WHC160" s="187"/>
      <c r="WHD160" s="187"/>
      <c r="WHE160" s="187"/>
      <c r="WHF160" s="187"/>
      <c r="WHG160" s="187"/>
      <c r="WHH160" s="187"/>
      <c r="WHI160" s="187"/>
      <c r="WHJ160" s="187"/>
      <c r="WHK160" s="187"/>
      <c r="WHL160" s="187"/>
      <c r="WHM160" s="187"/>
      <c r="WHN160" s="187"/>
      <c r="WHO160" s="187"/>
      <c r="WHP160" s="187"/>
      <c r="WHQ160" s="187"/>
      <c r="WHR160" s="187"/>
      <c r="WHS160" s="187"/>
      <c r="WHT160" s="187"/>
      <c r="WHU160" s="187"/>
      <c r="WHV160" s="187"/>
      <c r="WHW160" s="187"/>
      <c r="WHX160" s="187"/>
      <c r="WHY160" s="187"/>
      <c r="WHZ160" s="187"/>
      <c r="WIA160" s="187"/>
      <c r="WIB160" s="187"/>
      <c r="WIC160" s="187"/>
      <c r="WID160" s="187"/>
      <c r="WIE160" s="187"/>
      <c r="WIF160" s="187"/>
      <c r="WIG160" s="187"/>
      <c r="WIH160" s="187"/>
      <c r="WII160" s="187"/>
      <c r="WIJ160" s="187"/>
      <c r="WIK160" s="187"/>
      <c r="WIL160" s="187"/>
      <c r="WIM160" s="187"/>
      <c r="WIN160" s="187"/>
      <c r="WIO160" s="187"/>
      <c r="WIP160" s="187"/>
      <c r="WIQ160" s="187"/>
      <c r="WIR160" s="187"/>
      <c r="WIS160" s="187"/>
      <c r="WIT160" s="187"/>
      <c r="WIU160" s="187"/>
      <c r="WIV160" s="187"/>
      <c r="WIW160" s="187"/>
      <c r="WIX160" s="187"/>
      <c r="WIY160" s="187"/>
      <c r="WIZ160" s="187"/>
      <c r="WJA160" s="187"/>
      <c r="WJB160" s="187"/>
      <c r="WJC160" s="187"/>
      <c r="WJD160" s="187"/>
      <c r="WJE160" s="187"/>
      <c r="WJF160" s="187"/>
      <c r="WJG160" s="187"/>
      <c r="WJH160" s="187"/>
      <c r="WJI160" s="187"/>
      <c r="WJJ160" s="187"/>
      <c r="WJK160" s="187"/>
      <c r="WJL160" s="187"/>
      <c r="WJM160" s="187"/>
      <c r="WJN160" s="187"/>
      <c r="WJO160" s="187"/>
      <c r="WJP160" s="187"/>
      <c r="WJQ160" s="187"/>
      <c r="WJR160" s="187"/>
      <c r="WJS160" s="187"/>
      <c r="WJT160" s="187"/>
      <c r="WJU160" s="187"/>
      <c r="WJV160" s="187"/>
      <c r="WJW160" s="187"/>
      <c r="WJX160" s="187"/>
      <c r="WJY160" s="187"/>
      <c r="WJZ160" s="187"/>
      <c r="WKA160" s="187"/>
      <c r="WKB160" s="187"/>
      <c r="WKC160" s="187"/>
      <c r="WKD160" s="187"/>
      <c r="WKE160" s="187"/>
      <c r="WKF160" s="187"/>
      <c r="WKG160" s="187"/>
      <c r="WKH160" s="187"/>
      <c r="WKI160" s="187"/>
      <c r="WKJ160" s="187"/>
      <c r="WKK160" s="187"/>
      <c r="WKL160" s="187"/>
      <c r="WKM160" s="187"/>
      <c r="WKN160" s="187"/>
      <c r="WKO160" s="187"/>
      <c r="WKP160" s="187"/>
      <c r="WKQ160" s="187"/>
      <c r="WKR160" s="187"/>
      <c r="WKS160" s="187"/>
      <c r="WKT160" s="187"/>
      <c r="WKU160" s="187"/>
      <c r="WKV160" s="187"/>
      <c r="WKW160" s="187"/>
      <c r="WKX160" s="187"/>
      <c r="WKY160" s="187"/>
      <c r="WKZ160" s="187"/>
      <c r="WLA160" s="187"/>
      <c r="WLB160" s="187"/>
      <c r="WLC160" s="187"/>
      <c r="WLD160" s="187"/>
      <c r="WLE160" s="187"/>
      <c r="WLF160" s="187"/>
      <c r="WLG160" s="187"/>
      <c r="WLH160" s="187"/>
      <c r="WLI160" s="187"/>
      <c r="WLJ160" s="187"/>
      <c r="WLK160" s="187"/>
      <c r="WLL160" s="187"/>
      <c r="WLM160" s="187"/>
      <c r="WLN160" s="187"/>
      <c r="WLO160" s="187"/>
      <c r="WLP160" s="187"/>
      <c r="WLQ160" s="187"/>
      <c r="WLR160" s="187"/>
      <c r="WLS160" s="187"/>
      <c r="WLT160" s="187"/>
      <c r="WLU160" s="187"/>
      <c r="WLV160" s="187"/>
      <c r="WLW160" s="187"/>
      <c r="WLX160" s="187"/>
      <c r="WLY160" s="187"/>
      <c r="WLZ160" s="187"/>
      <c r="WMA160" s="187"/>
      <c r="WMB160" s="187"/>
      <c r="WMC160" s="187"/>
      <c r="WMD160" s="187"/>
      <c r="WME160" s="187"/>
      <c r="WMF160" s="187"/>
      <c r="WMG160" s="187"/>
      <c r="WMH160" s="187"/>
      <c r="WMI160" s="187"/>
      <c r="WMJ160" s="187"/>
      <c r="WMK160" s="187"/>
      <c r="WML160" s="187"/>
      <c r="WMM160" s="187"/>
      <c r="WMN160" s="187"/>
      <c r="WMO160" s="187"/>
      <c r="WMP160" s="187"/>
      <c r="WMQ160" s="187"/>
      <c r="WMR160" s="187"/>
      <c r="WMS160" s="187"/>
      <c r="WMT160" s="187"/>
      <c r="WMU160" s="187"/>
      <c r="WMV160" s="187"/>
      <c r="WMW160" s="187"/>
      <c r="WMX160" s="187"/>
      <c r="WMY160" s="187"/>
      <c r="WMZ160" s="187"/>
      <c r="WNA160" s="187"/>
      <c r="WNB160" s="187"/>
      <c r="WNC160" s="187"/>
      <c r="WND160" s="187"/>
      <c r="WNE160" s="187"/>
      <c r="WNF160" s="187"/>
      <c r="WNG160" s="187"/>
      <c r="WNH160" s="187"/>
      <c r="WNI160" s="187"/>
      <c r="WNJ160" s="187"/>
      <c r="WNK160" s="187"/>
      <c r="WNL160" s="187"/>
      <c r="WNM160" s="187"/>
      <c r="WNN160" s="187"/>
      <c r="WNO160" s="187"/>
      <c r="WNP160" s="187"/>
      <c r="WNQ160" s="187"/>
      <c r="WNR160" s="187"/>
      <c r="WNS160" s="187"/>
      <c r="WNT160" s="187"/>
      <c r="WNU160" s="187"/>
      <c r="WNV160" s="187"/>
      <c r="WNW160" s="187"/>
      <c r="WNX160" s="187"/>
      <c r="WNY160" s="187"/>
      <c r="WNZ160" s="187"/>
      <c r="WOA160" s="187"/>
      <c r="WOB160" s="187"/>
      <c r="WOC160" s="187"/>
      <c r="WOD160" s="187"/>
      <c r="WOE160" s="187"/>
      <c r="WOF160" s="187"/>
      <c r="WOG160" s="187"/>
      <c r="WOH160" s="187"/>
      <c r="WOI160" s="187"/>
      <c r="WOJ160" s="187"/>
      <c r="WOK160" s="187"/>
      <c r="WOL160" s="187"/>
      <c r="WOM160" s="187"/>
      <c r="WON160" s="187"/>
      <c r="WOO160" s="187"/>
      <c r="WOP160" s="187"/>
      <c r="WOQ160" s="187"/>
      <c r="WOR160" s="187"/>
      <c r="WOS160" s="187"/>
      <c r="WOT160" s="187"/>
      <c r="WOU160" s="187"/>
      <c r="WOV160" s="187"/>
      <c r="WOW160" s="187"/>
      <c r="WOX160" s="187"/>
      <c r="WOY160" s="187"/>
      <c r="WOZ160" s="187"/>
      <c r="WPA160" s="187"/>
      <c r="WPB160" s="187"/>
      <c r="WPC160" s="187"/>
      <c r="WPD160" s="187"/>
      <c r="WPE160" s="187"/>
      <c r="WPF160" s="187"/>
      <c r="WPG160" s="187"/>
      <c r="WPH160" s="187"/>
      <c r="WPI160" s="187"/>
      <c r="WPJ160" s="187"/>
      <c r="WPK160" s="187"/>
      <c r="WPL160" s="187"/>
      <c r="WPM160" s="187"/>
      <c r="WPN160" s="187"/>
      <c r="WPO160" s="187"/>
      <c r="WPP160" s="187"/>
      <c r="WPQ160" s="187"/>
      <c r="WPR160" s="187"/>
      <c r="WPS160" s="187"/>
      <c r="WPT160" s="187"/>
      <c r="WPU160" s="187"/>
      <c r="WPV160" s="187"/>
      <c r="WPW160" s="187"/>
      <c r="WPX160" s="187"/>
      <c r="WPY160" s="187"/>
      <c r="WPZ160" s="187"/>
      <c r="WQA160" s="187"/>
      <c r="WQB160" s="187"/>
      <c r="WQC160" s="187"/>
      <c r="WQD160" s="187"/>
      <c r="WQE160" s="187"/>
      <c r="WQF160" s="187"/>
      <c r="WQG160" s="187"/>
      <c r="WQH160" s="187"/>
      <c r="WQI160" s="187"/>
      <c r="WQJ160" s="187"/>
      <c r="WQK160" s="187"/>
      <c r="WQL160" s="187"/>
      <c r="WQM160" s="187"/>
      <c r="WQN160" s="187"/>
      <c r="WQO160" s="187"/>
      <c r="WQP160" s="187"/>
      <c r="WQQ160" s="187"/>
      <c r="WQR160" s="187"/>
      <c r="WQS160" s="187"/>
      <c r="WQT160" s="187"/>
      <c r="WQU160" s="187"/>
      <c r="WQV160" s="187"/>
      <c r="WQW160" s="187"/>
      <c r="WQX160" s="187"/>
      <c r="WQY160" s="187"/>
      <c r="WQZ160" s="187"/>
      <c r="WRA160" s="187"/>
      <c r="WRB160" s="187"/>
      <c r="WRC160" s="187"/>
      <c r="WRD160" s="187"/>
      <c r="WRE160" s="187"/>
      <c r="WRF160" s="187"/>
      <c r="WRG160" s="187"/>
      <c r="WRH160" s="187"/>
      <c r="WRI160" s="187"/>
      <c r="WRJ160" s="187"/>
      <c r="WRK160" s="187"/>
      <c r="WRL160" s="187"/>
      <c r="WRM160" s="187"/>
      <c r="WRN160" s="187"/>
      <c r="WRO160" s="187"/>
      <c r="WRP160" s="187"/>
      <c r="WRQ160" s="187"/>
      <c r="WRR160" s="187"/>
      <c r="WRS160" s="187"/>
      <c r="WRT160" s="187"/>
      <c r="WRU160" s="187"/>
      <c r="WRV160" s="187"/>
      <c r="WRW160" s="187"/>
      <c r="WRX160" s="187"/>
      <c r="WRY160" s="187"/>
      <c r="WRZ160" s="187"/>
      <c r="WSA160" s="187"/>
      <c r="WSB160" s="187"/>
      <c r="WSC160" s="187"/>
      <c r="WSD160" s="187"/>
      <c r="WSE160" s="187"/>
      <c r="WSF160" s="187"/>
      <c r="WSG160" s="187"/>
      <c r="WSH160" s="187"/>
      <c r="WSI160" s="187"/>
      <c r="WSJ160" s="187"/>
      <c r="WSK160" s="187"/>
      <c r="WSL160" s="187"/>
      <c r="WSM160" s="187"/>
      <c r="WSN160" s="187"/>
      <c r="WSO160" s="187"/>
      <c r="WSP160" s="187"/>
      <c r="WSQ160" s="187"/>
      <c r="WSR160" s="187"/>
      <c r="WSS160" s="187"/>
      <c r="WST160" s="187"/>
      <c r="WSU160" s="187"/>
      <c r="WSV160" s="187"/>
      <c r="WSW160" s="187"/>
      <c r="WSX160" s="187"/>
      <c r="WSY160" s="187"/>
      <c r="WSZ160" s="187"/>
      <c r="WTA160" s="187"/>
      <c r="WTB160" s="187"/>
      <c r="WTC160" s="187"/>
      <c r="WTD160" s="187"/>
      <c r="WTE160" s="187"/>
      <c r="WTF160" s="187"/>
      <c r="WTG160" s="187"/>
      <c r="WTH160" s="187"/>
      <c r="WTI160" s="187"/>
      <c r="WTJ160" s="187"/>
      <c r="WTK160" s="187"/>
      <c r="WTL160" s="187"/>
      <c r="WTM160" s="187"/>
      <c r="WTN160" s="187"/>
      <c r="WTO160" s="187"/>
      <c r="WTP160" s="187"/>
      <c r="WTQ160" s="187"/>
      <c r="WTR160" s="187"/>
      <c r="WTS160" s="187"/>
      <c r="WTT160" s="187"/>
      <c r="WTU160" s="187"/>
      <c r="WTV160" s="187"/>
      <c r="WTW160" s="187"/>
      <c r="WTX160" s="187"/>
      <c r="WTY160" s="187"/>
      <c r="WTZ160" s="187"/>
      <c r="WUA160" s="187"/>
      <c r="WUB160" s="187"/>
      <c r="WUC160" s="187"/>
      <c r="WUD160" s="187"/>
      <c r="WUE160" s="187"/>
      <c r="WUF160" s="187"/>
      <c r="WUG160" s="187"/>
      <c r="WUH160" s="187"/>
      <c r="WUI160" s="187"/>
      <c r="WUJ160" s="187"/>
      <c r="WUK160" s="187"/>
      <c r="WUL160" s="187"/>
      <c r="WUM160" s="187"/>
      <c r="WUN160" s="187"/>
      <c r="WUO160" s="187"/>
      <c r="WUP160" s="187"/>
      <c r="WUQ160" s="187"/>
      <c r="WUR160" s="187"/>
      <c r="WUS160" s="187"/>
      <c r="WUT160" s="187"/>
      <c r="WUU160" s="187"/>
      <c r="WUV160" s="187"/>
      <c r="WUW160" s="187"/>
      <c r="WUX160" s="187"/>
      <c r="WUY160" s="187"/>
      <c r="WUZ160" s="187"/>
      <c r="WVA160" s="187"/>
      <c r="WVB160" s="187"/>
      <c r="WVC160" s="187"/>
      <c r="WVD160" s="187"/>
      <c r="WVE160" s="187"/>
      <c r="WVF160" s="187"/>
      <c r="WVG160" s="187"/>
      <c r="WVH160" s="187"/>
      <c r="WVI160" s="187"/>
      <c r="WVJ160" s="187"/>
      <c r="WVK160" s="187"/>
      <c r="WVL160" s="187"/>
      <c r="WVM160" s="187"/>
      <c r="WVN160" s="187"/>
      <c r="WVO160" s="187"/>
      <c r="WVP160" s="187"/>
      <c r="WVQ160" s="187"/>
      <c r="WVR160" s="187"/>
      <c r="WVS160" s="187"/>
      <c r="WVT160" s="187"/>
      <c r="WVU160" s="187"/>
      <c r="WVV160" s="187"/>
      <c r="WVW160" s="187"/>
      <c r="WVX160" s="187"/>
      <c r="WVY160" s="187"/>
      <c r="WVZ160" s="187"/>
      <c r="WWA160" s="187"/>
      <c r="WWB160" s="187"/>
      <c r="WWC160" s="187"/>
      <c r="WWD160" s="187"/>
      <c r="WWE160" s="187"/>
      <c r="WWF160" s="187"/>
      <c r="WWG160" s="187"/>
      <c r="WWH160" s="187"/>
      <c r="WWI160" s="187"/>
      <c r="WWJ160" s="187"/>
      <c r="WWK160" s="187"/>
      <c r="WWL160" s="187"/>
      <c r="WWM160" s="187"/>
      <c r="WWN160" s="187"/>
      <c r="WWO160" s="187"/>
      <c r="WWP160" s="187"/>
      <c r="WWQ160" s="187"/>
      <c r="WWR160" s="187"/>
      <c r="WWS160" s="187"/>
      <c r="WWT160" s="187"/>
      <c r="WWU160" s="187"/>
      <c r="WWV160" s="187"/>
      <c r="WWW160" s="187"/>
      <c r="WWX160" s="187"/>
      <c r="WWY160" s="187"/>
      <c r="WWZ160" s="187"/>
      <c r="WXA160" s="187"/>
      <c r="WXB160" s="187"/>
      <c r="WXC160" s="187"/>
      <c r="WXD160" s="187"/>
      <c r="WXE160" s="187"/>
      <c r="WXF160" s="187"/>
      <c r="WXG160" s="187"/>
      <c r="WXH160" s="187"/>
      <c r="WXI160" s="187"/>
      <c r="WXJ160" s="187"/>
      <c r="WXK160" s="187"/>
      <c r="WXL160" s="187"/>
      <c r="WXM160" s="187"/>
      <c r="WXN160" s="187"/>
      <c r="WXO160" s="187"/>
      <c r="WXP160" s="187"/>
      <c r="WXQ160" s="187"/>
      <c r="WXR160" s="187"/>
      <c r="WXS160" s="187"/>
      <c r="WXT160" s="187"/>
      <c r="WXU160" s="187"/>
      <c r="WXV160" s="187"/>
      <c r="WXW160" s="187"/>
      <c r="WXX160" s="187"/>
      <c r="WXY160" s="187"/>
      <c r="WXZ160" s="187"/>
      <c r="WYA160" s="187"/>
      <c r="WYB160" s="187"/>
      <c r="WYC160" s="187"/>
      <c r="WYD160" s="187"/>
      <c r="WYE160" s="187"/>
      <c r="WYF160" s="187"/>
      <c r="WYG160" s="187"/>
      <c r="WYH160" s="187"/>
      <c r="WYI160" s="187"/>
      <c r="WYJ160" s="187"/>
      <c r="WYK160" s="187"/>
      <c r="WYL160" s="187"/>
      <c r="WYM160" s="187"/>
      <c r="WYN160" s="187"/>
      <c r="WYO160" s="187"/>
      <c r="WYP160" s="187"/>
      <c r="WYQ160" s="187"/>
      <c r="WYR160" s="187"/>
      <c r="WYS160" s="187"/>
      <c r="WYT160" s="187"/>
      <c r="WYU160" s="187"/>
      <c r="WYV160" s="187"/>
      <c r="WYW160" s="187"/>
      <c r="WYX160" s="187"/>
      <c r="WYY160" s="187"/>
      <c r="WYZ160" s="187"/>
      <c r="WZA160" s="187"/>
      <c r="WZB160" s="187"/>
      <c r="WZC160" s="187"/>
      <c r="WZD160" s="187"/>
      <c r="WZE160" s="187"/>
      <c r="WZF160" s="187"/>
      <c r="WZG160" s="187"/>
      <c r="WZH160" s="187"/>
      <c r="WZI160" s="187"/>
      <c r="WZJ160" s="187"/>
      <c r="WZK160" s="187"/>
      <c r="WZL160" s="187"/>
      <c r="WZM160" s="187"/>
      <c r="WZN160" s="187"/>
      <c r="WZO160" s="187"/>
      <c r="WZP160" s="187"/>
      <c r="WZQ160" s="187"/>
      <c r="WZR160" s="187"/>
      <c r="WZS160" s="187"/>
      <c r="WZT160" s="187"/>
      <c r="WZU160" s="187"/>
      <c r="WZV160" s="187"/>
      <c r="WZW160" s="187"/>
      <c r="WZX160" s="187"/>
      <c r="WZY160" s="187"/>
      <c r="WZZ160" s="187"/>
      <c r="XAA160" s="187"/>
      <c r="XAB160" s="187"/>
      <c r="XAC160" s="187"/>
      <c r="XAD160" s="187"/>
      <c r="XAE160" s="187"/>
      <c r="XAF160" s="187"/>
      <c r="XAG160" s="187"/>
      <c r="XAH160" s="187"/>
      <c r="XAI160" s="187"/>
      <c r="XAJ160" s="187"/>
      <c r="XAK160" s="187"/>
    </row>
    <row r="161" spans="1:5">
      <c r="A161" s="139" t="s">
        <v>1742</v>
      </c>
      <c r="B161" s="139" t="s">
        <v>1859</v>
      </c>
      <c r="C161" s="142">
        <f>40+84-120+366-100-100</f>
        <v>170</v>
      </c>
      <c r="D161" s="143" t="s">
        <v>5869</v>
      </c>
      <c r="E161" s="141">
        <f>29.05*4+24.2*166</f>
        <v>4133.3999999999996</v>
      </c>
    </row>
    <row r="162" spans="1:5">
      <c r="A162" s="139" t="s">
        <v>38</v>
      </c>
      <c r="B162" s="139">
        <v>6057</v>
      </c>
      <c r="C162" s="139">
        <v>4</v>
      </c>
      <c r="D162" s="140" t="s">
        <v>1294</v>
      </c>
      <c r="E162" s="141"/>
    </row>
    <row r="163" spans="1:5">
      <c r="A163" s="139" t="s">
        <v>1743</v>
      </c>
      <c r="B163" s="139" t="s">
        <v>1421</v>
      </c>
      <c r="C163" s="139">
        <f>100-1-5-76+2-20+350-80-250-10-10</f>
        <v>0</v>
      </c>
      <c r="D163" s="140" t="s">
        <v>5438</v>
      </c>
      <c r="E163" s="141">
        <f>107.64*C163</f>
        <v>0</v>
      </c>
    </row>
    <row r="164" spans="1:5">
      <c r="A164" s="139" t="s">
        <v>48</v>
      </c>
      <c r="B164" s="70" t="s">
        <v>1453</v>
      </c>
      <c r="C164" s="70">
        <f>20-2-1-2</f>
        <v>15</v>
      </c>
      <c r="D164" s="144">
        <v>181.36</v>
      </c>
      <c r="E164" s="141">
        <f>D164*C164</f>
        <v>2720.4</v>
      </c>
    </row>
    <row r="165" spans="1:5">
      <c r="A165" s="70" t="s">
        <v>1374</v>
      </c>
      <c r="B165" s="70" t="s">
        <v>1373</v>
      </c>
      <c r="C165" s="70">
        <f>600-150-1-200-1-240</f>
        <v>8</v>
      </c>
      <c r="D165" s="144">
        <v>48.555</v>
      </c>
      <c r="E165" s="141">
        <f>D165*C165</f>
        <v>388.44</v>
      </c>
    </row>
    <row r="166" spans="1:5">
      <c r="A166" s="137"/>
      <c r="B166" s="382" t="s">
        <v>1397</v>
      </c>
      <c r="C166" s="382"/>
      <c r="D166" s="382"/>
      <c r="E166" s="138">
        <f>SUM(E5:E165)</f>
        <v>104822.83820000001</v>
      </c>
    </row>
    <row r="170" spans="1:5">
      <c r="D170" s="115" t="s">
        <v>5079</v>
      </c>
    </row>
  </sheetData>
  <autoFilter ref="A1:E166">
    <filterColumn colId="0"/>
    <filterColumn colId="1"/>
    <filterColumn colId="3"/>
  </autoFilter>
  <mergeCells count="1">
    <mergeCell ref="B166:D166"/>
  </mergeCells>
  <phoneticPr fontId="60" type="noConversion"/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CZ40"/>
  <sheetViews>
    <sheetView workbookViewId="0">
      <pane ySplit="1" topLeftCell="A2" activePane="bottomLeft" state="frozen"/>
      <selection pane="bottomLeft" activeCell="D10" sqref="D10"/>
    </sheetView>
  </sheetViews>
  <sheetFormatPr defaultRowHeight="15" customHeight="1"/>
  <cols>
    <col min="1" max="1" width="34.25" style="202" customWidth="1"/>
    <col min="2" max="2" width="11.5" style="309" customWidth="1"/>
    <col min="3" max="3" width="33.875" style="202" customWidth="1"/>
    <col min="4" max="4" width="11.375" style="201" customWidth="1"/>
    <col min="5" max="5" width="12.375" customWidth="1"/>
    <col min="6" max="6" width="17.375" customWidth="1"/>
    <col min="7" max="7" width="13.375" customWidth="1"/>
  </cols>
  <sheetData>
    <row r="1" spans="1:16328" s="215" customFormat="1" ht="21.75" customHeight="1">
      <c r="A1" s="212" t="s">
        <v>1114</v>
      </c>
      <c r="B1" s="212" t="s">
        <v>5147</v>
      </c>
      <c r="C1" s="212" t="s">
        <v>5129</v>
      </c>
      <c r="D1" s="213" t="s">
        <v>1115</v>
      </c>
      <c r="E1" s="213" t="s">
        <v>6342</v>
      </c>
      <c r="F1" s="212" t="s">
        <v>1849</v>
      </c>
      <c r="G1" s="214" t="s">
        <v>1118</v>
      </c>
    </row>
    <row r="2" spans="1:16328" s="136" customFormat="1" ht="13.5">
      <c r="A2" s="207" t="s">
        <v>1626</v>
      </c>
      <c r="B2" s="320"/>
      <c r="C2" s="320"/>
      <c r="D2" s="208" t="s">
        <v>4707</v>
      </c>
      <c r="E2" s="209">
        <f>2-1</f>
        <v>1</v>
      </c>
      <c r="F2" s="209" t="s">
        <v>1306</v>
      </c>
      <c r="G2" s="320"/>
    </row>
    <row r="3" spans="1:16328" s="136" customFormat="1" ht="13.5">
      <c r="A3" s="5" t="s">
        <v>1672</v>
      </c>
      <c r="B3" s="320"/>
      <c r="C3" s="320"/>
      <c r="D3" s="210" t="s">
        <v>6082</v>
      </c>
      <c r="E3" s="209">
        <v>2</v>
      </c>
      <c r="F3" s="209">
        <v>69.5</v>
      </c>
      <c r="G3" s="209">
        <f>F3*E3</f>
        <v>139</v>
      </c>
    </row>
    <row r="4" spans="1:16328" s="136" customFormat="1" ht="13.5">
      <c r="A4" s="207" t="s">
        <v>1735</v>
      </c>
      <c r="B4" s="320"/>
      <c r="C4" s="320"/>
      <c r="D4" s="208" t="s">
        <v>5391</v>
      </c>
      <c r="E4" s="209">
        <f>1-1</f>
        <v>0</v>
      </c>
      <c r="F4" s="209" t="s">
        <v>1306</v>
      </c>
      <c r="G4" s="320"/>
    </row>
    <row r="5" spans="1:16328" s="136" customFormat="1" ht="13.5">
      <c r="A5" s="207" t="s">
        <v>1627</v>
      </c>
      <c r="B5" s="320"/>
      <c r="C5" s="320"/>
      <c r="D5" s="208" t="s">
        <v>5392</v>
      </c>
      <c r="E5" s="209">
        <f>3-1</f>
        <v>2</v>
      </c>
      <c r="F5" s="209" t="s">
        <v>1306</v>
      </c>
      <c r="G5" s="320"/>
    </row>
    <row r="6" spans="1:16328" s="136" customFormat="1" ht="13.5">
      <c r="A6" s="207" t="s">
        <v>1736</v>
      </c>
      <c r="B6" s="320"/>
      <c r="C6" s="320"/>
      <c r="D6" s="208" t="s">
        <v>5392</v>
      </c>
      <c r="E6" s="209">
        <v>1</v>
      </c>
      <c r="F6" s="209" t="s">
        <v>1306</v>
      </c>
      <c r="G6" s="320"/>
    </row>
    <row r="7" spans="1:16328" s="136" customFormat="1" ht="13.5">
      <c r="A7" s="207" t="s">
        <v>5040</v>
      </c>
      <c r="B7" s="308" t="s">
        <v>5148</v>
      </c>
      <c r="C7" s="211" t="s">
        <v>5130</v>
      </c>
      <c r="D7" s="208" t="s">
        <v>858</v>
      </c>
      <c r="E7" s="209">
        <f>144+144-230-1-30+27-1+288-144-144+144+144-1-288+88</f>
        <v>140</v>
      </c>
      <c r="F7" s="209">
        <v>10</v>
      </c>
      <c r="G7" s="209">
        <f>F7*E7</f>
        <v>1400</v>
      </c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  <c r="AH7" s="302"/>
      <c r="AI7" s="302"/>
      <c r="AJ7" s="302"/>
      <c r="AK7" s="302"/>
      <c r="AL7" s="302"/>
      <c r="AM7" s="302"/>
      <c r="AN7" s="302"/>
      <c r="AO7" s="302"/>
      <c r="AP7" s="302"/>
      <c r="AQ7" s="302"/>
      <c r="AR7" s="302"/>
      <c r="AS7" s="302"/>
      <c r="AT7" s="302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  <c r="BG7" s="302"/>
      <c r="BH7" s="302"/>
      <c r="BI7" s="302"/>
      <c r="BJ7" s="302"/>
      <c r="BK7" s="302"/>
      <c r="BL7" s="302"/>
      <c r="BM7" s="302"/>
      <c r="BN7" s="302"/>
      <c r="BO7" s="302"/>
      <c r="BP7" s="302"/>
      <c r="BQ7" s="302"/>
      <c r="BR7" s="302"/>
      <c r="BS7" s="302"/>
      <c r="BT7" s="302"/>
      <c r="BU7" s="302"/>
      <c r="BV7" s="302"/>
      <c r="BW7" s="302"/>
      <c r="BX7" s="302"/>
      <c r="BY7" s="302"/>
      <c r="BZ7" s="302"/>
      <c r="CA7" s="302"/>
      <c r="CB7" s="302"/>
      <c r="CC7" s="302"/>
      <c r="CD7" s="302"/>
      <c r="CE7" s="302"/>
      <c r="CF7" s="302"/>
      <c r="CG7" s="302"/>
      <c r="CH7" s="302"/>
      <c r="CI7" s="302"/>
      <c r="CJ7" s="302"/>
      <c r="CK7" s="302"/>
      <c r="CL7" s="302"/>
      <c r="CM7" s="302"/>
      <c r="CN7" s="302"/>
      <c r="CO7" s="302"/>
      <c r="CP7" s="302"/>
      <c r="CQ7" s="302"/>
      <c r="CR7" s="302"/>
      <c r="CS7" s="302"/>
      <c r="CT7" s="302"/>
      <c r="CU7" s="302"/>
      <c r="CV7" s="302"/>
      <c r="CW7" s="302"/>
      <c r="CX7" s="302"/>
      <c r="CY7" s="302"/>
      <c r="CZ7" s="302"/>
      <c r="DA7" s="302"/>
      <c r="DB7" s="302"/>
      <c r="DC7" s="302"/>
      <c r="DD7" s="302"/>
      <c r="DE7" s="302"/>
      <c r="DF7" s="302"/>
      <c r="DG7" s="302"/>
      <c r="DH7" s="302"/>
      <c r="DI7" s="302"/>
      <c r="DJ7" s="302"/>
      <c r="DK7" s="302"/>
      <c r="DL7" s="302"/>
      <c r="DM7" s="302"/>
      <c r="DN7" s="302"/>
      <c r="DO7" s="302"/>
      <c r="DP7" s="302"/>
      <c r="DQ7" s="302"/>
      <c r="DR7" s="302"/>
      <c r="DS7" s="302"/>
      <c r="DT7" s="302"/>
      <c r="DU7" s="302"/>
      <c r="DV7" s="302"/>
      <c r="DW7" s="302"/>
      <c r="DX7" s="302"/>
      <c r="DY7" s="302"/>
      <c r="DZ7" s="302"/>
      <c r="EA7" s="302"/>
      <c r="EB7" s="302"/>
      <c r="EC7" s="302"/>
      <c r="ED7" s="302"/>
      <c r="EE7" s="302"/>
      <c r="EF7" s="302"/>
      <c r="EG7" s="302"/>
      <c r="EH7" s="302"/>
      <c r="EI7" s="302"/>
      <c r="EJ7" s="302"/>
      <c r="EK7" s="302"/>
      <c r="EL7" s="302"/>
      <c r="EM7" s="302"/>
      <c r="EN7" s="302"/>
      <c r="EO7" s="302"/>
      <c r="EP7" s="302"/>
      <c r="EQ7" s="302"/>
      <c r="ER7" s="302"/>
      <c r="ES7" s="302"/>
      <c r="ET7" s="302"/>
      <c r="EU7" s="302"/>
      <c r="EV7" s="302"/>
      <c r="EW7" s="302"/>
      <c r="EX7" s="302"/>
      <c r="EY7" s="302"/>
      <c r="EZ7" s="302"/>
      <c r="FA7" s="302"/>
      <c r="FB7" s="302"/>
      <c r="FC7" s="302"/>
      <c r="FD7" s="302"/>
      <c r="FE7" s="302"/>
      <c r="FF7" s="302"/>
      <c r="FG7" s="302"/>
      <c r="FH7" s="302"/>
      <c r="FI7" s="302"/>
      <c r="FJ7" s="302"/>
      <c r="FK7" s="302"/>
      <c r="FL7" s="302"/>
      <c r="FM7" s="302"/>
      <c r="FN7" s="302"/>
      <c r="FO7" s="302"/>
      <c r="FP7" s="302"/>
      <c r="FQ7" s="302"/>
      <c r="FR7" s="302"/>
      <c r="FS7" s="302"/>
      <c r="FT7" s="302"/>
      <c r="FU7" s="302"/>
      <c r="FV7" s="302"/>
      <c r="FW7" s="302"/>
      <c r="FX7" s="302"/>
      <c r="FY7" s="302"/>
      <c r="FZ7" s="302"/>
      <c r="GA7" s="302"/>
      <c r="GB7" s="302"/>
      <c r="GC7" s="302"/>
      <c r="GD7" s="302"/>
      <c r="GE7" s="302"/>
      <c r="GF7" s="302"/>
      <c r="GG7" s="302"/>
      <c r="GH7" s="302"/>
      <c r="GI7" s="302"/>
      <c r="GJ7" s="302"/>
      <c r="GK7" s="302"/>
      <c r="GL7" s="302"/>
      <c r="GM7" s="302"/>
      <c r="GN7" s="302"/>
      <c r="GO7" s="302"/>
      <c r="GP7" s="302"/>
      <c r="GQ7" s="302"/>
      <c r="GR7" s="302"/>
      <c r="GS7" s="302"/>
      <c r="GT7" s="302"/>
      <c r="GU7" s="302"/>
      <c r="GV7" s="302"/>
      <c r="GW7" s="302"/>
      <c r="GX7" s="302"/>
      <c r="GY7" s="302"/>
      <c r="GZ7" s="302"/>
      <c r="HA7" s="302"/>
      <c r="HB7" s="302"/>
      <c r="HC7" s="302"/>
      <c r="HD7" s="302"/>
      <c r="HE7" s="302"/>
      <c r="HF7" s="302"/>
      <c r="HG7" s="302"/>
      <c r="HH7" s="302"/>
      <c r="HI7" s="302"/>
      <c r="HJ7" s="302"/>
      <c r="HK7" s="302"/>
      <c r="HL7" s="302"/>
      <c r="HM7" s="302"/>
      <c r="HN7" s="302"/>
      <c r="HO7" s="302"/>
      <c r="HP7" s="302"/>
      <c r="HQ7" s="302"/>
      <c r="HR7" s="302"/>
      <c r="HS7" s="302"/>
      <c r="HT7" s="302"/>
      <c r="HU7" s="302"/>
      <c r="HV7" s="302"/>
      <c r="HW7" s="302"/>
      <c r="HX7" s="302"/>
      <c r="HY7" s="302"/>
      <c r="HZ7" s="302"/>
      <c r="IA7" s="302"/>
      <c r="IB7" s="302"/>
      <c r="IC7" s="302"/>
      <c r="ID7" s="302"/>
      <c r="IE7" s="302"/>
      <c r="IF7" s="302"/>
      <c r="IG7" s="302"/>
      <c r="IH7" s="302"/>
      <c r="II7" s="302"/>
      <c r="IJ7" s="302"/>
      <c r="IK7" s="302"/>
      <c r="IL7" s="302"/>
      <c r="IM7" s="302"/>
      <c r="IN7" s="302"/>
      <c r="IO7" s="302"/>
      <c r="IP7" s="302"/>
      <c r="IQ7" s="302"/>
      <c r="IR7" s="302"/>
      <c r="IS7" s="302"/>
      <c r="IT7" s="302"/>
      <c r="IU7" s="302"/>
      <c r="IV7" s="302"/>
      <c r="IW7" s="302"/>
      <c r="IX7" s="302"/>
      <c r="IY7" s="302"/>
      <c r="IZ7" s="302"/>
      <c r="JA7" s="302"/>
      <c r="JB7" s="302"/>
      <c r="JC7" s="302"/>
      <c r="JD7" s="302"/>
      <c r="JE7" s="302"/>
      <c r="JF7" s="302"/>
      <c r="JG7" s="302"/>
      <c r="JH7" s="302"/>
      <c r="JI7" s="302"/>
      <c r="JJ7" s="302"/>
      <c r="JK7" s="302"/>
      <c r="JL7" s="302"/>
      <c r="JM7" s="302"/>
      <c r="JN7" s="302"/>
      <c r="JO7" s="302"/>
      <c r="JP7" s="302"/>
      <c r="JQ7" s="302"/>
      <c r="JR7" s="302"/>
      <c r="JS7" s="302"/>
      <c r="JT7" s="302"/>
      <c r="JU7" s="302"/>
      <c r="JV7" s="302"/>
      <c r="JW7" s="302"/>
      <c r="JX7" s="302"/>
      <c r="JY7" s="302"/>
      <c r="JZ7" s="302"/>
      <c r="KA7" s="302"/>
      <c r="KB7" s="302"/>
      <c r="KC7" s="302"/>
      <c r="KD7" s="302"/>
      <c r="KE7" s="302"/>
      <c r="KF7" s="302"/>
      <c r="KG7" s="302"/>
      <c r="KH7" s="302"/>
      <c r="KI7" s="302"/>
      <c r="KJ7" s="302"/>
      <c r="KK7" s="302"/>
      <c r="KL7" s="302"/>
      <c r="KM7" s="302"/>
      <c r="KN7" s="302"/>
      <c r="KO7" s="302"/>
      <c r="KP7" s="302"/>
      <c r="KQ7" s="302"/>
      <c r="KR7" s="302"/>
      <c r="KS7" s="302"/>
      <c r="KT7" s="302"/>
      <c r="KU7" s="302"/>
      <c r="KV7" s="302"/>
      <c r="KW7" s="302"/>
      <c r="KX7" s="302"/>
      <c r="KY7" s="302"/>
      <c r="KZ7" s="302"/>
      <c r="LA7" s="302"/>
      <c r="LB7" s="302"/>
      <c r="LC7" s="302"/>
      <c r="LD7" s="302"/>
      <c r="LE7" s="302"/>
      <c r="LF7" s="302"/>
      <c r="LG7" s="302"/>
      <c r="LH7" s="302"/>
      <c r="LI7" s="302"/>
      <c r="LJ7" s="302"/>
      <c r="LK7" s="302"/>
      <c r="LL7" s="302"/>
      <c r="LM7" s="302"/>
      <c r="LN7" s="302"/>
      <c r="LO7" s="302"/>
      <c r="LP7" s="302"/>
      <c r="LQ7" s="302"/>
      <c r="LR7" s="302"/>
      <c r="LS7" s="302"/>
      <c r="LT7" s="302"/>
      <c r="LU7" s="302"/>
      <c r="LV7" s="302"/>
      <c r="LW7" s="302"/>
      <c r="LX7" s="302"/>
      <c r="LY7" s="302"/>
      <c r="LZ7" s="302"/>
      <c r="MA7" s="302"/>
      <c r="MB7" s="302"/>
      <c r="MC7" s="302"/>
      <c r="MD7" s="302"/>
      <c r="ME7" s="302"/>
      <c r="MF7" s="302"/>
      <c r="MG7" s="302"/>
      <c r="MH7" s="302"/>
      <c r="MI7" s="302"/>
      <c r="MJ7" s="302"/>
      <c r="MK7" s="302"/>
      <c r="ML7" s="302"/>
      <c r="MM7" s="302"/>
      <c r="MN7" s="302"/>
      <c r="MO7" s="302"/>
      <c r="MP7" s="302"/>
      <c r="MQ7" s="302"/>
      <c r="MR7" s="302"/>
      <c r="MS7" s="302"/>
      <c r="MT7" s="302"/>
      <c r="MU7" s="302"/>
      <c r="MV7" s="302"/>
      <c r="MW7" s="302"/>
      <c r="MX7" s="302"/>
      <c r="MY7" s="302"/>
      <c r="MZ7" s="302"/>
      <c r="NA7" s="302"/>
      <c r="NB7" s="302"/>
      <c r="NC7" s="302"/>
      <c r="ND7" s="302"/>
      <c r="NE7" s="302"/>
      <c r="NF7" s="302"/>
      <c r="NG7" s="302"/>
      <c r="NH7" s="302"/>
      <c r="NI7" s="302"/>
      <c r="NJ7" s="302"/>
      <c r="NK7" s="302"/>
      <c r="NL7" s="302"/>
      <c r="NM7" s="302"/>
      <c r="NN7" s="302"/>
      <c r="NO7" s="302"/>
      <c r="NP7" s="302"/>
      <c r="NQ7" s="302"/>
      <c r="NR7" s="302"/>
      <c r="NS7" s="302"/>
      <c r="NT7" s="302"/>
      <c r="NU7" s="302"/>
      <c r="NV7" s="302"/>
      <c r="NW7" s="302"/>
      <c r="NX7" s="302"/>
      <c r="NY7" s="302"/>
      <c r="NZ7" s="302"/>
      <c r="OA7" s="302"/>
      <c r="OB7" s="302"/>
      <c r="OC7" s="302"/>
      <c r="OD7" s="302"/>
      <c r="OE7" s="302"/>
      <c r="OF7" s="302"/>
      <c r="OG7" s="302"/>
      <c r="OH7" s="302"/>
      <c r="OI7" s="302"/>
      <c r="OJ7" s="302"/>
      <c r="OK7" s="302"/>
      <c r="OL7" s="302"/>
      <c r="OM7" s="302"/>
      <c r="ON7" s="302"/>
      <c r="OO7" s="302"/>
      <c r="OP7" s="302"/>
      <c r="OQ7" s="302"/>
      <c r="OR7" s="302"/>
      <c r="OS7" s="302"/>
      <c r="OT7" s="302"/>
      <c r="OU7" s="302"/>
      <c r="OV7" s="302"/>
      <c r="OW7" s="302"/>
      <c r="OX7" s="302"/>
      <c r="OY7" s="302"/>
      <c r="OZ7" s="302"/>
      <c r="PA7" s="302"/>
      <c r="PB7" s="302"/>
      <c r="PC7" s="302"/>
      <c r="PD7" s="302"/>
      <c r="PE7" s="302"/>
      <c r="PF7" s="302"/>
      <c r="PG7" s="302"/>
      <c r="PH7" s="302"/>
      <c r="PI7" s="302"/>
      <c r="PJ7" s="302"/>
      <c r="PK7" s="302"/>
      <c r="PL7" s="302"/>
      <c r="PM7" s="302"/>
      <c r="PN7" s="302"/>
      <c r="PO7" s="302"/>
      <c r="PP7" s="302"/>
      <c r="PQ7" s="302"/>
      <c r="PR7" s="302"/>
      <c r="PS7" s="302"/>
      <c r="PT7" s="302"/>
      <c r="PU7" s="302"/>
      <c r="PV7" s="302"/>
      <c r="PW7" s="302"/>
      <c r="PX7" s="302"/>
      <c r="PY7" s="302"/>
      <c r="PZ7" s="302"/>
      <c r="QA7" s="302"/>
      <c r="QB7" s="302"/>
      <c r="QC7" s="302"/>
      <c r="QD7" s="302"/>
      <c r="QE7" s="302"/>
      <c r="QF7" s="302"/>
      <c r="QG7" s="302"/>
      <c r="QH7" s="302"/>
      <c r="QI7" s="302"/>
      <c r="QJ7" s="302"/>
      <c r="QK7" s="302"/>
      <c r="QL7" s="302"/>
      <c r="QM7" s="302"/>
      <c r="QN7" s="302"/>
      <c r="QO7" s="302"/>
      <c r="QP7" s="302"/>
      <c r="QQ7" s="302"/>
      <c r="QR7" s="302"/>
      <c r="QS7" s="302"/>
      <c r="QT7" s="302"/>
      <c r="QU7" s="302"/>
      <c r="QV7" s="302"/>
      <c r="QW7" s="302"/>
      <c r="QX7" s="302"/>
      <c r="QY7" s="302"/>
      <c r="QZ7" s="302"/>
      <c r="RA7" s="302"/>
      <c r="RB7" s="302"/>
      <c r="RC7" s="302"/>
      <c r="RD7" s="302"/>
      <c r="RE7" s="302"/>
      <c r="RF7" s="302"/>
      <c r="RG7" s="302"/>
      <c r="RH7" s="302"/>
      <c r="RI7" s="302"/>
      <c r="RJ7" s="302"/>
      <c r="RK7" s="302"/>
      <c r="RL7" s="302"/>
      <c r="RM7" s="302"/>
      <c r="RN7" s="302"/>
      <c r="RO7" s="302"/>
      <c r="RP7" s="302"/>
      <c r="RQ7" s="302"/>
      <c r="RR7" s="302"/>
      <c r="RS7" s="302"/>
      <c r="RT7" s="302"/>
      <c r="RU7" s="302"/>
      <c r="RV7" s="302"/>
      <c r="RW7" s="302"/>
      <c r="RX7" s="302"/>
      <c r="RY7" s="302"/>
      <c r="RZ7" s="302"/>
      <c r="SA7" s="302"/>
      <c r="SB7" s="302"/>
      <c r="SC7" s="302"/>
      <c r="SD7" s="302"/>
      <c r="SE7" s="302"/>
      <c r="SF7" s="302"/>
      <c r="SG7" s="302"/>
      <c r="SH7" s="302"/>
      <c r="SI7" s="302"/>
      <c r="SJ7" s="302"/>
      <c r="SK7" s="302"/>
      <c r="SL7" s="302"/>
      <c r="SM7" s="302"/>
      <c r="SN7" s="302"/>
      <c r="SO7" s="302"/>
      <c r="SP7" s="302"/>
      <c r="SQ7" s="302"/>
      <c r="SR7" s="302"/>
      <c r="SS7" s="302"/>
      <c r="ST7" s="302"/>
      <c r="SU7" s="302"/>
      <c r="SV7" s="302"/>
      <c r="SW7" s="302"/>
      <c r="SX7" s="302"/>
      <c r="SY7" s="302"/>
      <c r="SZ7" s="302"/>
      <c r="TA7" s="302"/>
      <c r="TB7" s="302"/>
      <c r="TC7" s="302"/>
      <c r="TD7" s="302"/>
      <c r="TE7" s="302"/>
      <c r="TF7" s="302"/>
      <c r="TG7" s="302"/>
      <c r="TH7" s="302"/>
      <c r="TI7" s="302"/>
      <c r="TJ7" s="302"/>
      <c r="TK7" s="302"/>
      <c r="TL7" s="302"/>
      <c r="TM7" s="302"/>
      <c r="TN7" s="302"/>
      <c r="TO7" s="302"/>
      <c r="TP7" s="302"/>
      <c r="TQ7" s="302"/>
      <c r="TR7" s="302"/>
      <c r="TS7" s="302"/>
      <c r="TT7" s="302"/>
      <c r="TU7" s="302"/>
      <c r="TV7" s="302"/>
      <c r="TW7" s="302"/>
      <c r="TX7" s="302"/>
      <c r="TY7" s="302"/>
      <c r="TZ7" s="302"/>
      <c r="UA7" s="302"/>
      <c r="UB7" s="302"/>
      <c r="UC7" s="302"/>
      <c r="UD7" s="302"/>
      <c r="UE7" s="302"/>
      <c r="UF7" s="302"/>
      <c r="UG7" s="302"/>
      <c r="UH7" s="302"/>
      <c r="UI7" s="302"/>
      <c r="UJ7" s="302"/>
      <c r="UK7" s="302"/>
      <c r="UL7" s="302"/>
      <c r="UM7" s="302"/>
      <c r="UN7" s="302"/>
      <c r="UO7" s="302"/>
      <c r="UP7" s="302"/>
      <c r="UQ7" s="302"/>
      <c r="UR7" s="302"/>
      <c r="US7" s="302"/>
      <c r="UT7" s="302"/>
      <c r="UU7" s="302"/>
      <c r="UV7" s="302"/>
      <c r="UW7" s="302"/>
      <c r="UX7" s="302"/>
      <c r="UY7" s="302"/>
      <c r="UZ7" s="302"/>
      <c r="VA7" s="302"/>
      <c r="VB7" s="302"/>
      <c r="VC7" s="302"/>
      <c r="VD7" s="302"/>
      <c r="VE7" s="302"/>
      <c r="VF7" s="302"/>
      <c r="VG7" s="302"/>
      <c r="VH7" s="302"/>
      <c r="VI7" s="302"/>
      <c r="VJ7" s="302"/>
      <c r="VK7" s="302"/>
      <c r="VL7" s="302"/>
      <c r="VM7" s="302"/>
      <c r="VN7" s="302"/>
      <c r="VO7" s="302"/>
      <c r="VP7" s="302"/>
      <c r="VQ7" s="302"/>
      <c r="VR7" s="302"/>
      <c r="VS7" s="302"/>
      <c r="VT7" s="302"/>
      <c r="VU7" s="302"/>
      <c r="VV7" s="302"/>
      <c r="VW7" s="302"/>
      <c r="VX7" s="302"/>
      <c r="VY7" s="302"/>
      <c r="VZ7" s="302"/>
      <c r="WA7" s="302"/>
      <c r="WB7" s="302"/>
      <c r="WC7" s="302"/>
      <c r="WD7" s="302"/>
      <c r="WE7" s="302"/>
      <c r="WF7" s="302"/>
      <c r="WG7" s="302"/>
      <c r="WH7" s="302"/>
      <c r="WI7" s="302"/>
      <c r="WJ7" s="302"/>
      <c r="WK7" s="302"/>
      <c r="WL7" s="302"/>
      <c r="WM7" s="302"/>
      <c r="WN7" s="302"/>
      <c r="WO7" s="302"/>
      <c r="WP7" s="302"/>
      <c r="WQ7" s="302"/>
      <c r="WR7" s="302"/>
      <c r="WS7" s="302"/>
      <c r="WT7" s="302"/>
      <c r="WU7" s="302"/>
      <c r="WV7" s="302"/>
      <c r="WW7" s="302"/>
      <c r="WX7" s="302"/>
      <c r="WY7" s="302"/>
      <c r="WZ7" s="302"/>
      <c r="XA7" s="302"/>
      <c r="XB7" s="302"/>
      <c r="XC7" s="302"/>
      <c r="XD7" s="302"/>
      <c r="XE7" s="302"/>
      <c r="XF7" s="302"/>
      <c r="XG7" s="302"/>
      <c r="XH7" s="302"/>
      <c r="XI7" s="302"/>
      <c r="XJ7" s="302"/>
      <c r="XK7" s="302"/>
      <c r="XL7" s="302"/>
      <c r="XM7" s="302"/>
      <c r="XN7" s="302"/>
      <c r="XO7" s="302"/>
      <c r="XP7" s="302"/>
      <c r="XQ7" s="302"/>
      <c r="XR7" s="302"/>
      <c r="XS7" s="302"/>
      <c r="XT7" s="302"/>
      <c r="XU7" s="302"/>
      <c r="XV7" s="302"/>
      <c r="XW7" s="302"/>
      <c r="XX7" s="302"/>
      <c r="XY7" s="302"/>
      <c r="XZ7" s="302"/>
      <c r="YA7" s="302"/>
      <c r="YB7" s="302"/>
      <c r="YC7" s="302"/>
      <c r="YD7" s="302"/>
      <c r="YE7" s="302"/>
      <c r="YF7" s="302"/>
      <c r="YG7" s="302"/>
      <c r="YH7" s="302"/>
      <c r="YI7" s="302"/>
      <c r="YJ7" s="302"/>
      <c r="YK7" s="302"/>
      <c r="YL7" s="302"/>
      <c r="YM7" s="302"/>
      <c r="YN7" s="302"/>
      <c r="YO7" s="302"/>
      <c r="YP7" s="302"/>
      <c r="YQ7" s="302"/>
      <c r="YR7" s="302"/>
      <c r="YS7" s="302"/>
      <c r="YT7" s="302"/>
      <c r="YU7" s="302"/>
      <c r="YV7" s="302"/>
      <c r="YW7" s="302"/>
      <c r="YX7" s="302"/>
      <c r="YY7" s="302"/>
      <c r="YZ7" s="302"/>
      <c r="ZA7" s="302"/>
      <c r="ZB7" s="302"/>
      <c r="ZC7" s="302"/>
      <c r="ZD7" s="302"/>
      <c r="ZE7" s="302"/>
      <c r="ZF7" s="302"/>
      <c r="ZG7" s="302"/>
      <c r="ZH7" s="302"/>
      <c r="ZI7" s="302"/>
      <c r="ZJ7" s="302"/>
      <c r="ZK7" s="302"/>
      <c r="ZL7" s="302"/>
      <c r="ZM7" s="302"/>
      <c r="ZN7" s="302"/>
      <c r="ZO7" s="302"/>
      <c r="ZP7" s="302"/>
      <c r="ZQ7" s="302"/>
      <c r="ZR7" s="302"/>
      <c r="ZS7" s="302"/>
      <c r="ZT7" s="302"/>
      <c r="ZU7" s="302"/>
      <c r="ZV7" s="302"/>
      <c r="ZW7" s="302"/>
      <c r="ZX7" s="302"/>
      <c r="ZY7" s="302"/>
      <c r="ZZ7" s="302"/>
      <c r="AAA7" s="302"/>
      <c r="AAB7" s="302"/>
      <c r="AAC7" s="302"/>
      <c r="AAD7" s="302"/>
      <c r="AAE7" s="302"/>
      <c r="AAF7" s="302"/>
      <c r="AAG7" s="302"/>
      <c r="AAH7" s="302"/>
      <c r="AAI7" s="302"/>
      <c r="AAJ7" s="302"/>
      <c r="AAK7" s="302"/>
      <c r="AAL7" s="302"/>
      <c r="AAM7" s="302"/>
      <c r="AAN7" s="302"/>
      <c r="AAO7" s="302"/>
      <c r="AAP7" s="302"/>
      <c r="AAQ7" s="302"/>
      <c r="AAR7" s="302"/>
      <c r="AAS7" s="302"/>
      <c r="AAT7" s="302"/>
      <c r="AAU7" s="302"/>
      <c r="AAV7" s="302"/>
      <c r="AAW7" s="302"/>
      <c r="AAX7" s="302"/>
      <c r="AAY7" s="302"/>
      <c r="AAZ7" s="302"/>
      <c r="ABA7" s="302"/>
      <c r="ABB7" s="302"/>
      <c r="ABC7" s="302"/>
      <c r="ABD7" s="302"/>
      <c r="ABE7" s="302"/>
      <c r="ABF7" s="302"/>
      <c r="ABG7" s="302"/>
      <c r="ABH7" s="302"/>
      <c r="ABI7" s="302"/>
      <c r="ABJ7" s="302"/>
      <c r="ABK7" s="302"/>
      <c r="ABL7" s="302"/>
      <c r="ABM7" s="302"/>
      <c r="ABN7" s="302"/>
      <c r="ABO7" s="302"/>
      <c r="ABP7" s="302"/>
      <c r="ABQ7" s="302"/>
      <c r="ABR7" s="302"/>
      <c r="ABS7" s="302"/>
      <c r="ABT7" s="302"/>
      <c r="ABU7" s="302"/>
      <c r="ABV7" s="302"/>
      <c r="ABW7" s="302"/>
      <c r="ABX7" s="302"/>
      <c r="ABY7" s="302"/>
      <c r="ABZ7" s="302"/>
      <c r="ACA7" s="302"/>
      <c r="ACB7" s="302"/>
      <c r="ACC7" s="302"/>
      <c r="ACD7" s="302"/>
      <c r="ACE7" s="302"/>
      <c r="ACF7" s="302"/>
      <c r="ACG7" s="302"/>
      <c r="ACH7" s="302"/>
      <c r="ACI7" s="302"/>
      <c r="ACJ7" s="302"/>
      <c r="ACK7" s="302"/>
      <c r="ACL7" s="302"/>
      <c r="ACM7" s="302"/>
      <c r="ACN7" s="302"/>
      <c r="ACO7" s="302"/>
      <c r="ACP7" s="302"/>
      <c r="ACQ7" s="302"/>
      <c r="ACR7" s="302"/>
      <c r="ACS7" s="302"/>
      <c r="ACT7" s="302"/>
      <c r="ACU7" s="302"/>
      <c r="ACV7" s="302"/>
      <c r="ACW7" s="302"/>
      <c r="ACX7" s="302"/>
      <c r="ACY7" s="302"/>
      <c r="ACZ7" s="302"/>
      <c r="ADA7" s="302"/>
      <c r="ADB7" s="302"/>
      <c r="ADC7" s="302"/>
      <c r="ADD7" s="302"/>
      <c r="ADE7" s="302"/>
      <c r="ADF7" s="302"/>
      <c r="ADG7" s="302"/>
      <c r="ADH7" s="302"/>
      <c r="ADI7" s="302"/>
      <c r="ADJ7" s="302"/>
      <c r="ADK7" s="302"/>
      <c r="ADL7" s="302"/>
      <c r="ADM7" s="302"/>
      <c r="ADN7" s="302"/>
      <c r="ADO7" s="302"/>
      <c r="ADP7" s="302"/>
      <c r="ADQ7" s="302"/>
      <c r="ADR7" s="302"/>
      <c r="ADS7" s="302"/>
      <c r="ADT7" s="302"/>
      <c r="ADU7" s="302"/>
      <c r="ADV7" s="302"/>
      <c r="ADW7" s="302"/>
      <c r="ADX7" s="302"/>
      <c r="ADY7" s="302"/>
      <c r="ADZ7" s="302"/>
      <c r="AEA7" s="302"/>
      <c r="AEB7" s="302"/>
      <c r="AEC7" s="302"/>
      <c r="AED7" s="302"/>
      <c r="AEE7" s="302"/>
      <c r="AEF7" s="302"/>
      <c r="AEG7" s="302"/>
      <c r="AEH7" s="302"/>
      <c r="AEI7" s="302"/>
      <c r="AEJ7" s="302"/>
      <c r="AEK7" s="302"/>
      <c r="AEL7" s="302"/>
      <c r="AEM7" s="302"/>
      <c r="AEN7" s="302"/>
      <c r="AEO7" s="302"/>
      <c r="AEP7" s="302"/>
      <c r="AEQ7" s="302"/>
      <c r="AER7" s="302"/>
      <c r="AES7" s="302"/>
      <c r="AET7" s="302"/>
      <c r="AEU7" s="302"/>
      <c r="AEV7" s="302"/>
      <c r="AEW7" s="302"/>
      <c r="AEX7" s="302"/>
      <c r="AEY7" s="302"/>
      <c r="AEZ7" s="302"/>
      <c r="AFA7" s="302"/>
      <c r="AFB7" s="302"/>
      <c r="AFC7" s="302"/>
      <c r="AFD7" s="302"/>
      <c r="AFE7" s="302"/>
      <c r="AFF7" s="302"/>
      <c r="AFG7" s="302"/>
      <c r="AFH7" s="302"/>
      <c r="AFI7" s="302"/>
      <c r="AFJ7" s="302"/>
      <c r="AFK7" s="302"/>
      <c r="AFL7" s="302"/>
      <c r="AFM7" s="302"/>
      <c r="AFN7" s="302"/>
      <c r="AFO7" s="302"/>
      <c r="AFP7" s="302"/>
      <c r="AFQ7" s="302"/>
      <c r="AFR7" s="302"/>
      <c r="AFS7" s="302"/>
      <c r="AFT7" s="302"/>
      <c r="AFU7" s="302"/>
      <c r="AFV7" s="302"/>
      <c r="AFW7" s="302"/>
      <c r="AFX7" s="302"/>
      <c r="AFY7" s="302"/>
      <c r="AFZ7" s="302"/>
      <c r="AGA7" s="302"/>
      <c r="AGB7" s="302"/>
      <c r="AGC7" s="302"/>
      <c r="AGD7" s="302"/>
      <c r="AGE7" s="302"/>
      <c r="AGF7" s="302"/>
      <c r="AGG7" s="302"/>
      <c r="AGH7" s="302"/>
      <c r="AGI7" s="302"/>
      <c r="AGJ7" s="302"/>
      <c r="AGK7" s="302"/>
      <c r="AGL7" s="302"/>
      <c r="AGM7" s="302"/>
      <c r="AGN7" s="302"/>
      <c r="AGO7" s="302"/>
      <c r="AGP7" s="302"/>
      <c r="AGQ7" s="302"/>
      <c r="AGR7" s="302"/>
      <c r="AGS7" s="302"/>
      <c r="AGT7" s="302"/>
      <c r="AGU7" s="302"/>
      <c r="AGV7" s="302"/>
      <c r="AGW7" s="302"/>
      <c r="AGX7" s="302"/>
      <c r="AGY7" s="302"/>
      <c r="AGZ7" s="302"/>
      <c r="AHA7" s="302"/>
      <c r="AHB7" s="302"/>
      <c r="AHC7" s="302"/>
      <c r="AHD7" s="302"/>
      <c r="AHE7" s="302"/>
      <c r="AHF7" s="302"/>
      <c r="AHG7" s="302"/>
      <c r="AHH7" s="302"/>
      <c r="AHI7" s="302"/>
      <c r="AHJ7" s="302"/>
      <c r="AHK7" s="302"/>
      <c r="AHL7" s="302"/>
      <c r="AHM7" s="302"/>
      <c r="AHN7" s="302"/>
      <c r="AHO7" s="302"/>
      <c r="AHP7" s="302"/>
      <c r="AHQ7" s="302"/>
      <c r="AHR7" s="302"/>
      <c r="AHS7" s="302"/>
      <c r="AHT7" s="302"/>
      <c r="AHU7" s="302"/>
      <c r="AHV7" s="302"/>
      <c r="AHW7" s="302"/>
      <c r="AHX7" s="302"/>
      <c r="AHY7" s="302"/>
      <c r="AHZ7" s="302"/>
      <c r="AIA7" s="302"/>
      <c r="AIB7" s="302"/>
      <c r="AIC7" s="302"/>
      <c r="AID7" s="302"/>
      <c r="AIE7" s="302"/>
      <c r="AIF7" s="302"/>
      <c r="AIG7" s="302"/>
      <c r="AIH7" s="302"/>
      <c r="AII7" s="302"/>
      <c r="AIJ7" s="302"/>
      <c r="AIK7" s="302"/>
      <c r="AIL7" s="302"/>
      <c r="AIM7" s="302"/>
      <c r="AIN7" s="302"/>
      <c r="AIO7" s="302"/>
      <c r="AIP7" s="302"/>
      <c r="AIQ7" s="302"/>
      <c r="AIR7" s="302"/>
      <c r="AIS7" s="302"/>
      <c r="AIT7" s="302"/>
      <c r="AIU7" s="302"/>
      <c r="AIV7" s="302"/>
      <c r="AIW7" s="302"/>
      <c r="AIX7" s="302"/>
      <c r="AIY7" s="302"/>
      <c r="AIZ7" s="302"/>
      <c r="AJA7" s="302"/>
      <c r="AJB7" s="302"/>
      <c r="AJC7" s="302"/>
      <c r="AJD7" s="302"/>
      <c r="AJE7" s="302"/>
      <c r="AJF7" s="302"/>
      <c r="AJG7" s="302"/>
      <c r="AJH7" s="302"/>
      <c r="AJI7" s="302"/>
      <c r="AJJ7" s="302"/>
      <c r="AJK7" s="302"/>
      <c r="AJL7" s="302"/>
      <c r="AJM7" s="302"/>
      <c r="AJN7" s="302"/>
      <c r="AJO7" s="302"/>
      <c r="AJP7" s="302"/>
      <c r="AJQ7" s="302"/>
      <c r="AJR7" s="302"/>
      <c r="AJS7" s="302"/>
      <c r="AJT7" s="302"/>
      <c r="AJU7" s="302"/>
      <c r="AJV7" s="302"/>
      <c r="AJW7" s="302"/>
      <c r="AJX7" s="302"/>
      <c r="AJY7" s="302"/>
      <c r="AJZ7" s="302"/>
      <c r="AKA7" s="302"/>
      <c r="AKB7" s="302"/>
      <c r="AKC7" s="302"/>
      <c r="AKD7" s="302"/>
      <c r="AKE7" s="302"/>
      <c r="AKF7" s="302"/>
      <c r="AKG7" s="302"/>
      <c r="AKH7" s="302"/>
      <c r="AKI7" s="302"/>
      <c r="AKJ7" s="302"/>
      <c r="AKK7" s="302"/>
      <c r="AKL7" s="302"/>
      <c r="AKM7" s="302"/>
      <c r="AKN7" s="302"/>
      <c r="AKO7" s="302"/>
      <c r="AKP7" s="302"/>
      <c r="AKQ7" s="302"/>
      <c r="AKR7" s="302"/>
      <c r="AKS7" s="302"/>
      <c r="AKT7" s="302"/>
      <c r="AKU7" s="302"/>
      <c r="AKV7" s="302"/>
      <c r="AKW7" s="302"/>
      <c r="AKX7" s="302"/>
      <c r="AKY7" s="302"/>
      <c r="AKZ7" s="302"/>
      <c r="ALA7" s="302"/>
      <c r="ALB7" s="302"/>
      <c r="ALC7" s="302"/>
      <c r="ALD7" s="302"/>
      <c r="ALE7" s="302"/>
      <c r="ALF7" s="302"/>
      <c r="ALG7" s="302"/>
      <c r="ALH7" s="302"/>
      <c r="ALI7" s="302"/>
      <c r="ALJ7" s="302"/>
      <c r="ALK7" s="302"/>
      <c r="ALL7" s="302"/>
      <c r="ALM7" s="302"/>
      <c r="ALN7" s="302"/>
      <c r="ALO7" s="302"/>
      <c r="ALP7" s="302"/>
      <c r="ALQ7" s="302"/>
      <c r="ALR7" s="302"/>
      <c r="ALS7" s="302"/>
      <c r="ALT7" s="302"/>
      <c r="ALU7" s="302"/>
      <c r="ALV7" s="302"/>
      <c r="ALW7" s="302"/>
      <c r="ALX7" s="302"/>
      <c r="ALY7" s="302"/>
      <c r="ALZ7" s="302"/>
      <c r="AMA7" s="302"/>
      <c r="AMB7" s="302"/>
      <c r="AMC7" s="302"/>
      <c r="AMD7" s="302"/>
      <c r="AME7" s="302"/>
      <c r="AMF7" s="302"/>
      <c r="AMG7" s="302"/>
      <c r="AMH7" s="302"/>
      <c r="AMI7" s="302"/>
      <c r="AMJ7" s="302"/>
      <c r="AMK7" s="302"/>
      <c r="AML7" s="302"/>
      <c r="AMM7" s="302"/>
      <c r="AMN7" s="302"/>
      <c r="AMO7" s="302"/>
      <c r="AMP7" s="302"/>
      <c r="AMQ7" s="302"/>
      <c r="AMR7" s="302"/>
      <c r="AMS7" s="302"/>
      <c r="AMT7" s="302"/>
      <c r="AMU7" s="302"/>
      <c r="AMV7" s="302"/>
      <c r="AMW7" s="302"/>
      <c r="AMX7" s="302"/>
      <c r="AMY7" s="302"/>
      <c r="AMZ7" s="302"/>
      <c r="ANA7" s="302"/>
      <c r="ANB7" s="302"/>
      <c r="ANC7" s="302"/>
      <c r="AND7" s="302"/>
      <c r="ANE7" s="302"/>
      <c r="ANF7" s="302"/>
      <c r="ANG7" s="302"/>
      <c r="ANH7" s="302"/>
      <c r="ANI7" s="302"/>
      <c r="ANJ7" s="302"/>
      <c r="ANK7" s="302"/>
      <c r="ANL7" s="302"/>
      <c r="ANM7" s="302"/>
      <c r="ANN7" s="302"/>
      <c r="ANO7" s="302"/>
      <c r="ANP7" s="302"/>
      <c r="ANQ7" s="302"/>
      <c r="ANR7" s="302"/>
      <c r="ANS7" s="302"/>
      <c r="ANT7" s="302"/>
      <c r="ANU7" s="302"/>
      <c r="ANV7" s="302"/>
      <c r="ANW7" s="302"/>
      <c r="ANX7" s="302"/>
      <c r="ANY7" s="302"/>
      <c r="ANZ7" s="302"/>
      <c r="AOA7" s="302"/>
      <c r="AOB7" s="302"/>
      <c r="AOC7" s="302"/>
      <c r="AOD7" s="302"/>
      <c r="AOE7" s="302"/>
      <c r="AOF7" s="302"/>
      <c r="AOG7" s="302"/>
      <c r="AOH7" s="302"/>
      <c r="AOI7" s="302"/>
      <c r="AOJ7" s="302"/>
      <c r="AOK7" s="302"/>
      <c r="AOL7" s="302"/>
      <c r="AOM7" s="302"/>
      <c r="AON7" s="302"/>
      <c r="AOO7" s="302"/>
      <c r="AOP7" s="302"/>
      <c r="AOQ7" s="302"/>
      <c r="AOR7" s="302"/>
      <c r="AOS7" s="302"/>
      <c r="AOT7" s="302"/>
      <c r="AOU7" s="302"/>
      <c r="AOV7" s="302"/>
      <c r="AOW7" s="302"/>
      <c r="AOX7" s="302"/>
      <c r="AOY7" s="302"/>
      <c r="AOZ7" s="302"/>
      <c r="APA7" s="302"/>
      <c r="APB7" s="302"/>
      <c r="APC7" s="302"/>
      <c r="APD7" s="302"/>
      <c r="APE7" s="302"/>
      <c r="APF7" s="302"/>
      <c r="APG7" s="302"/>
      <c r="APH7" s="302"/>
      <c r="API7" s="302"/>
      <c r="APJ7" s="302"/>
      <c r="APK7" s="302"/>
      <c r="APL7" s="302"/>
      <c r="APM7" s="302"/>
      <c r="APN7" s="302"/>
      <c r="APO7" s="302"/>
      <c r="APP7" s="302"/>
      <c r="APQ7" s="302"/>
      <c r="APR7" s="302"/>
      <c r="APS7" s="302"/>
      <c r="APT7" s="302"/>
      <c r="APU7" s="302"/>
      <c r="APV7" s="302"/>
      <c r="APW7" s="302"/>
      <c r="APX7" s="302"/>
      <c r="APY7" s="302"/>
      <c r="APZ7" s="302"/>
      <c r="AQA7" s="302"/>
      <c r="AQB7" s="302"/>
      <c r="AQC7" s="302"/>
      <c r="AQD7" s="302"/>
      <c r="AQE7" s="302"/>
      <c r="AQF7" s="302"/>
      <c r="AQG7" s="302"/>
      <c r="AQH7" s="302"/>
      <c r="AQI7" s="302"/>
      <c r="AQJ7" s="302"/>
      <c r="AQK7" s="302"/>
      <c r="AQL7" s="302"/>
      <c r="AQM7" s="302"/>
      <c r="AQN7" s="302"/>
      <c r="AQO7" s="302"/>
      <c r="AQP7" s="302"/>
      <c r="AQQ7" s="302"/>
      <c r="AQR7" s="302"/>
      <c r="AQS7" s="302"/>
      <c r="AQT7" s="302"/>
      <c r="AQU7" s="302"/>
      <c r="AQV7" s="302"/>
      <c r="AQW7" s="302"/>
      <c r="AQX7" s="302"/>
      <c r="AQY7" s="302"/>
      <c r="AQZ7" s="302"/>
      <c r="ARA7" s="302"/>
      <c r="ARB7" s="302"/>
      <c r="ARC7" s="302"/>
      <c r="ARD7" s="302"/>
      <c r="ARE7" s="302"/>
      <c r="ARF7" s="302"/>
      <c r="ARG7" s="302"/>
      <c r="ARH7" s="302"/>
      <c r="ARI7" s="302"/>
      <c r="ARJ7" s="302"/>
      <c r="ARK7" s="302"/>
      <c r="ARL7" s="302"/>
      <c r="ARM7" s="302"/>
      <c r="ARN7" s="302"/>
      <c r="ARO7" s="302"/>
      <c r="ARP7" s="302"/>
      <c r="ARQ7" s="302"/>
      <c r="ARR7" s="302"/>
      <c r="ARS7" s="302"/>
      <c r="ART7" s="302"/>
      <c r="ARU7" s="302"/>
      <c r="ARV7" s="302"/>
      <c r="ARW7" s="302"/>
      <c r="ARX7" s="302"/>
      <c r="ARY7" s="302"/>
      <c r="ARZ7" s="302"/>
      <c r="ASA7" s="302"/>
      <c r="ASB7" s="302"/>
      <c r="ASC7" s="302"/>
      <c r="ASD7" s="302"/>
      <c r="ASE7" s="302"/>
      <c r="ASF7" s="302"/>
      <c r="ASG7" s="302"/>
      <c r="ASH7" s="302"/>
      <c r="ASI7" s="302"/>
      <c r="ASJ7" s="302"/>
      <c r="ASK7" s="302"/>
      <c r="ASL7" s="302"/>
      <c r="ASM7" s="302"/>
      <c r="ASN7" s="302"/>
      <c r="ASO7" s="302"/>
      <c r="ASP7" s="302"/>
      <c r="ASQ7" s="302"/>
      <c r="ASR7" s="302"/>
      <c r="ASS7" s="302"/>
      <c r="AST7" s="302"/>
      <c r="ASU7" s="302"/>
      <c r="ASV7" s="302"/>
      <c r="ASW7" s="302"/>
      <c r="ASX7" s="302"/>
      <c r="ASY7" s="302"/>
      <c r="ASZ7" s="302"/>
      <c r="ATA7" s="302"/>
      <c r="ATB7" s="302"/>
      <c r="ATC7" s="302"/>
      <c r="ATD7" s="302"/>
      <c r="ATE7" s="302"/>
      <c r="ATF7" s="302"/>
      <c r="ATG7" s="302"/>
      <c r="ATH7" s="302"/>
      <c r="ATI7" s="302"/>
      <c r="ATJ7" s="302"/>
      <c r="ATK7" s="302"/>
      <c r="ATL7" s="302"/>
      <c r="ATM7" s="302"/>
      <c r="ATN7" s="302"/>
      <c r="ATO7" s="302"/>
      <c r="ATP7" s="302"/>
      <c r="ATQ7" s="302"/>
      <c r="ATR7" s="302"/>
      <c r="ATS7" s="302"/>
      <c r="ATT7" s="302"/>
      <c r="ATU7" s="302"/>
      <c r="ATV7" s="302"/>
      <c r="ATW7" s="302"/>
      <c r="ATX7" s="302"/>
      <c r="ATY7" s="302"/>
      <c r="ATZ7" s="302"/>
      <c r="AUA7" s="302"/>
      <c r="AUB7" s="302"/>
      <c r="AUC7" s="302"/>
      <c r="AUD7" s="302"/>
      <c r="AUE7" s="302"/>
      <c r="AUF7" s="302"/>
      <c r="AUG7" s="302"/>
      <c r="AUH7" s="302"/>
      <c r="AUI7" s="302"/>
      <c r="AUJ7" s="302"/>
      <c r="AUK7" s="302"/>
      <c r="AUL7" s="302"/>
      <c r="AUM7" s="302"/>
      <c r="AUN7" s="302"/>
      <c r="AUO7" s="302"/>
      <c r="AUP7" s="302"/>
      <c r="AUQ7" s="302"/>
      <c r="AUR7" s="302"/>
      <c r="AUS7" s="302"/>
      <c r="AUT7" s="302"/>
      <c r="AUU7" s="302"/>
      <c r="AUV7" s="302"/>
      <c r="AUW7" s="302"/>
      <c r="AUX7" s="302"/>
      <c r="AUY7" s="302"/>
      <c r="AUZ7" s="302"/>
      <c r="AVA7" s="302"/>
      <c r="AVB7" s="302"/>
      <c r="AVC7" s="302"/>
      <c r="AVD7" s="302"/>
      <c r="AVE7" s="302"/>
      <c r="AVF7" s="302"/>
      <c r="AVG7" s="302"/>
      <c r="AVH7" s="302"/>
      <c r="AVI7" s="302"/>
      <c r="AVJ7" s="302"/>
      <c r="AVK7" s="302"/>
      <c r="AVL7" s="302"/>
      <c r="AVM7" s="302"/>
      <c r="AVN7" s="302"/>
      <c r="AVO7" s="302"/>
      <c r="AVP7" s="302"/>
      <c r="AVQ7" s="302"/>
      <c r="AVR7" s="302"/>
      <c r="AVS7" s="302"/>
      <c r="AVT7" s="302"/>
      <c r="AVU7" s="302"/>
      <c r="AVV7" s="302"/>
      <c r="AVW7" s="302"/>
      <c r="AVX7" s="302"/>
      <c r="AVY7" s="302"/>
      <c r="AVZ7" s="302"/>
      <c r="AWA7" s="302"/>
      <c r="AWB7" s="302"/>
      <c r="AWC7" s="302"/>
      <c r="AWD7" s="302"/>
      <c r="AWE7" s="302"/>
      <c r="AWF7" s="302"/>
      <c r="AWG7" s="302"/>
      <c r="AWH7" s="302"/>
      <c r="AWI7" s="302"/>
      <c r="AWJ7" s="302"/>
      <c r="AWK7" s="302"/>
      <c r="AWL7" s="302"/>
      <c r="AWM7" s="302"/>
      <c r="AWN7" s="302"/>
      <c r="AWO7" s="302"/>
      <c r="AWP7" s="302"/>
      <c r="AWQ7" s="302"/>
      <c r="AWR7" s="302"/>
      <c r="AWS7" s="302"/>
      <c r="AWT7" s="302"/>
      <c r="AWU7" s="302"/>
      <c r="AWV7" s="302"/>
      <c r="AWW7" s="302"/>
      <c r="AWX7" s="302"/>
      <c r="AWY7" s="302"/>
      <c r="AWZ7" s="302"/>
      <c r="AXA7" s="302"/>
      <c r="AXB7" s="302"/>
      <c r="AXC7" s="302"/>
      <c r="AXD7" s="302"/>
      <c r="AXE7" s="302"/>
      <c r="AXF7" s="302"/>
      <c r="AXG7" s="302"/>
      <c r="AXH7" s="302"/>
      <c r="AXI7" s="302"/>
      <c r="AXJ7" s="302"/>
      <c r="AXK7" s="302"/>
      <c r="AXL7" s="302"/>
      <c r="AXM7" s="302"/>
      <c r="AXN7" s="302"/>
      <c r="AXO7" s="302"/>
      <c r="AXP7" s="302"/>
      <c r="AXQ7" s="302"/>
      <c r="AXR7" s="302"/>
      <c r="AXS7" s="302"/>
      <c r="AXT7" s="302"/>
      <c r="AXU7" s="302"/>
      <c r="AXV7" s="302"/>
      <c r="AXW7" s="302"/>
      <c r="AXX7" s="302"/>
      <c r="AXY7" s="302"/>
      <c r="AXZ7" s="302"/>
      <c r="AYA7" s="302"/>
      <c r="AYB7" s="302"/>
      <c r="AYC7" s="302"/>
      <c r="AYD7" s="302"/>
      <c r="AYE7" s="302"/>
      <c r="AYF7" s="302"/>
      <c r="AYG7" s="302"/>
      <c r="AYH7" s="302"/>
      <c r="AYI7" s="302"/>
      <c r="AYJ7" s="302"/>
      <c r="AYK7" s="302"/>
      <c r="AYL7" s="302"/>
      <c r="AYM7" s="302"/>
      <c r="AYN7" s="302"/>
      <c r="AYO7" s="302"/>
      <c r="AYP7" s="302"/>
      <c r="AYQ7" s="302"/>
      <c r="AYR7" s="302"/>
      <c r="AYS7" s="302"/>
      <c r="AYT7" s="302"/>
      <c r="AYU7" s="302"/>
      <c r="AYV7" s="302"/>
      <c r="AYW7" s="302"/>
      <c r="AYX7" s="302"/>
      <c r="AYY7" s="302"/>
      <c r="AYZ7" s="302"/>
      <c r="AZA7" s="302"/>
      <c r="AZB7" s="302"/>
      <c r="AZC7" s="302"/>
      <c r="AZD7" s="302"/>
      <c r="AZE7" s="302"/>
      <c r="AZF7" s="302"/>
      <c r="AZG7" s="302"/>
      <c r="AZH7" s="302"/>
      <c r="AZI7" s="302"/>
      <c r="AZJ7" s="302"/>
      <c r="AZK7" s="302"/>
      <c r="AZL7" s="302"/>
      <c r="AZM7" s="302"/>
      <c r="AZN7" s="302"/>
      <c r="AZO7" s="302"/>
      <c r="AZP7" s="302"/>
      <c r="AZQ7" s="302"/>
      <c r="AZR7" s="302"/>
      <c r="AZS7" s="302"/>
      <c r="AZT7" s="302"/>
      <c r="AZU7" s="302"/>
      <c r="AZV7" s="302"/>
      <c r="AZW7" s="302"/>
      <c r="AZX7" s="302"/>
      <c r="AZY7" s="302"/>
      <c r="AZZ7" s="302"/>
      <c r="BAA7" s="302"/>
      <c r="BAB7" s="302"/>
      <c r="BAC7" s="302"/>
      <c r="BAD7" s="302"/>
      <c r="BAE7" s="302"/>
      <c r="BAF7" s="302"/>
      <c r="BAG7" s="302"/>
      <c r="BAH7" s="302"/>
      <c r="BAI7" s="302"/>
      <c r="BAJ7" s="302"/>
      <c r="BAK7" s="302"/>
      <c r="BAL7" s="302"/>
      <c r="BAM7" s="302"/>
      <c r="BAN7" s="302"/>
      <c r="BAO7" s="302"/>
      <c r="BAP7" s="302"/>
      <c r="BAQ7" s="302"/>
      <c r="BAR7" s="302"/>
      <c r="BAS7" s="302"/>
      <c r="BAT7" s="302"/>
      <c r="BAU7" s="302"/>
      <c r="BAV7" s="302"/>
      <c r="BAW7" s="302"/>
      <c r="BAX7" s="302"/>
      <c r="BAY7" s="302"/>
      <c r="BAZ7" s="302"/>
      <c r="BBA7" s="302"/>
      <c r="BBB7" s="302"/>
      <c r="BBC7" s="302"/>
      <c r="BBD7" s="302"/>
      <c r="BBE7" s="302"/>
      <c r="BBF7" s="302"/>
      <c r="BBG7" s="302"/>
      <c r="BBH7" s="302"/>
      <c r="BBI7" s="302"/>
      <c r="BBJ7" s="302"/>
      <c r="BBK7" s="302"/>
      <c r="BBL7" s="302"/>
      <c r="BBM7" s="302"/>
      <c r="BBN7" s="302"/>
      <c r="BBO7" s="302"/>
      <c r="BBP7" s="302"/>
      <c r="BBQ7" s="302"/>
      <c r="BBR7" s="302"/>
      <c r="BBS7" s="302"/>
      <c r="BBT7" s="302"/>
      <c r="BBU7" s="302"/>
      <c r="BBV7" s="302"/>
      <c r="BBW7" s="302"/>
      <c r="BBX7" s="302"/>
      <c r="BBY7" s="302"/>
      <c r="BBZ7" s="302"/>
      <c r="BCA7" s="302"/>
      <c r="BCB7" s="302"/>
      <c r="BCC7" s="302"/>
      <c r="BCD7" s="302"/>
      <c r="BCE7" s="302"/>
      <c r="BCF7" s="302"/>
      <c r="BCG7" s="302"/>
      <c r="BCH7" s="302"/>
      <c r="BCI7" s="302"/>
      <c r="BCJ7" s="302"/>
      <c r="BCK7" s="302"/>
      <c r="BCL7" s="302"/>
      <c r="BCM7" s="302"/>
      <c r="BCN7" s="302"/>
      <c r="BCO7" s="302"/>
      <c r="BCP7" s="302"/>
      <c r="BCQ7" s="302"/>
      <c r="BCR7" s="302"/>
      <c r="BCS7" s="302"/>
      <c r="BCT7" s="302"/>
      <c r="BCU7" s="302"/>
      <c r="BCV7" s="302"/>
      <c r="BCW7" s="302"/>
      <c r="BCX7" s="302"/>
      <c r="BCY7" s="302"/>
      <c r="BCZ7" s="302"/>
      <c r="BDA7" s="302"/>
      <c r="BDB7" s="302"/>
      <c r="BDC7" s="302"/>
      <c r="BDD7" s="302"/>
      <c r="BDE7" s="302"/>
      <c r="BDF7" s="302"/>
      <c r="BDG7" s="302"/>
      <c r="BDH7" s="302"/>
      <c r="BDI7" s="302"/>
      <c r="BDJ7" s="302"/>
      <c r="BDK7" s="302"/>
      <c r="BDL7" s="302"/>
      <c r="BDM7" s="302"/>
      <c r="BDN7" s="302"/>
      <c r="BDO7" s="302"/>
      <c r="BDP7" s="302"/>
      <c r="BDQ7" s="302"/>
      <c r="BDR7" s="302"/>
      <c r="BDS7" s="302"/>
      <c r="BDT7" s="302"/>
      <c r="BDU7" s="302"/>
      <c r="BDV7" s="302"/>
      <c r="BDW7" s="302"/>
      <c r="BDX7" s="302"/>
      <c r="BDY7" s="302"/>
      <c r="BDZ7" s="302"/>
      <c r="BEA7" s="302"/>
      <c r="BEB7" s="302"/>
      <c r="BEC7" s="302"/>
      <c r="BED7" s="302"/>
      <c r="BEE7" s="302"/>
      <c r="BEF7" s="302"/>
      <c r="BEG7" s="302"/>
      <c r="BEH7" s="302"/>
      <c r="BEI7" s="302"/>
      <c r="BEJ7" s="302"/>
      <c r="BEK7" s="302"/>
      <c r="BEL7" s="302"/>
      <c r="BEM7" s="302"/>
      <c r="BEN7" s="302"/>
      <c r="BEO7" s="302"/>
      <c r="BEP7" s="302"/>
      <c r="BEQ7" s="302"/>
      <c r="BER7" s="302"/>
      <c r="BES7" s="302"/>
      <c r="BET7" s="302"/>
      <c r="BEU7" s="302"/>
      <c r="BEV7" s="302"/>
      <c r="BEW7" s="302"/>
      <c r="BEX7" s="302"/>
      <c r="BEY7" s="302"/>
      <c r="BEZ7" s="302"/>
      <c r="BFA7" s="302"/>
      <c r="BFB7" s="302"/>
      <c r="BFC7" s="302"/>
      <c r="BFD7" s="302"/>
      <c r="BFE7" s="302"/>
      <c r="BFF7" s="302"/>
      <c r="BFG7" s="302"/>
      <c r="BFH7" s="302"/>
      <c r="BFI7" s="302"/>
      <c r="BFJ7" s="302"/>
      <c r="BFK7" s="302"/>
      <c r="BFL7" s="302"/>
      <c r="BFM7" s="302"/>
      <c r="BFN7" s="302"/>
      <c r="BFO7" s="302"/>
      <c r="BFP7" s="302"/>
      <c r="BFQ7" s="302"/>
      <c r="BFR7" s="302"/>
      <c r="BFS7" s="302"/>
      <c r="BFT7" s="302"/>
      <c r="BFU7" s="302"/>
      <c r="BFV7" s="302"/>
      <c r="BFW7" s="302"/>
      <c r="BFX7" s="302"/>
      <c r="BFY7" s="302"/>
      <c r="BFZ7" s="302"/>
      <c r="BGA7" s="302"/>
      <c r="BGB7" s="302"/>
      <c r="BGC7" s="302"/>
      <c r="BGD7" s="302"/>
      <c r="BGE7" s="302"/>
      <c r="BGF7" s="302"/>
      <c r="BGG7" s="302"/>
      <c r="BGH7" s="302"/>
      <c r="BGI7" s="302"/>
      <c r="BGJ7" s="302"/>
      <c r="BGK7" s="302"/>
      <c r="BGL7" s="302"/>
      <c r="BGM7" s="302"/>
      <c r="BGN7" s="302"/>
      <c r="BGO7" s="302"/>
      <c r="BGP7" s="302"/>
      <c r="BGQ7" s="302"/>
      <c r="BGR7" s="302"/>
      <c r="BGS7" s="302"/>
      <c r="BGT7" s="302"/>
      <c r="BGU7" s="302"/>
      <c r="BGV7" s="302"/>
      <c r="BGW7" s="302"/>
      <c r="BGX7" s="302"/>
      <c r="BGY7" s="302"/>
      <c r="BGZ7" s="302"/>
      <c r="BHA7" s="302"/>
      <c r="BHB7" s="302"/>
      <c r="BHC7" s="302"/>
      <c r="BHD7" s="302"/>
      <c r="BHE7" s="302"/>
      <c r="BHF7" s="302"/>
      <c r="BHG7" s="302"/>
      <c r="BHH7" s="302"/>
      <c r="BHI7" s="302"/>
      <c r="BHJ7" s="302"/>
      <c r="BHK7" s="302"/>
      <c r="BHL7" s="302"/>
      <c r="BHM7" s="302"/>
      <c r="BHN7" s="302"/>
      <c r="BHO7" s="302"/>
      <c r="BHP7" s="302"/>
      <c r="BHQ7" s="302"/>
      <c r="BHR7" s="302"/>
      <c r="BHS7" s="302"/>
      <c r="BHT7" s="302"/>
      <c r="BHU7" s="302"/>
      <c r="BHV7" s="302"/>
      <c r="BHW7" s="302"/>
      <c r="BHX7" s="302"/>
      <c r="BHY7" s="302"/>
      <c r="BHZ7" s="302"/>
      <c r="BIA7" s="302"/>
      <c r="BIB7" s="302"/>
      <c r="BIC7" s="302"/>
      <c r="BID7" s="302"/>
      <c r="BIE7" s="302"/>
      <c r="BIF7" s="302"/>
      <c r="BIG7" s="302"/>
      <c r="BIH7" s="302"/>
      <c r="BII7" s="302"/>
      <c r="BIJ7" s="302"/>
      <c r="BIK7" s="302"/>
      <c r="BIL7" s="302"/>
      <c r="BIM7" s="302"/>
      <c r="BIN7" s="302"/>
      <c r="BIO7" s="302"/>
      <c r="BIP7" s="302"/>
      <c r="BIQ7" s="302"/>
      <c r="BIR7" s="302"/>
      <c r="BIS7" s="302"/>
      <c r="BIT7" s="302"/>
      <c r="BIU7" s="302"/>
      <c r="BIV7" s="302"/>
      <c r="BIW7" s="302"/>
      <c r="BIX7" s="302"/>
      <c r="BIY7" s="302"/>
      <c r="BIZ7" s="302"/>
      <c r="BJA7" s="302"/>
      <c r="BJB7" s="302"/>
      <c r="BJC7" s="302"/>
      <c r="BJD7" s="302"/>
      <c r="BJE7" s="302"/>
      <c r="BJF7" s="302"/>
      <c r="BJG7" s="302"/>
      <c r="BJH7" s="302"/>
      <c r="BJI7" s="302"/>
      <c r="BJJ7" s="302"/>
      <c r="BJK7" s="302"/>
      <c r="BJL7" s="302"/>
      <c r="BJM7" s="302"/>
      <c r="BJN7" s="302"/>
      <c r="BJO7" s="302"/>
      <c r="BJP7" s="302"/>
      <c r="BJQ7" s="302"/>
      <c r="BJR7" s="302"/>
      <c r="BJS7" s="302"/>
      <c r="BJT7" s="302"/>
      <c r="BJU7" s="302"/>
      <c r="BJV7" s="302"/>
      <c r="BJW7" s="302"/>
      <c r="BJX7" s="302"/>
      <c r="BJY7" s="302"/>
      <c r="BJZ7" s="302"/>
      <c r="BKA7" s="302"/>
      <c r="BKB7" s="302"/>
      <c r="BKC7" s="302"/>
      <c r="BKD7" s="302"/>
      <c r="BKE7" s="302"/>
      <c r="BKF7" s="302"/>
      <c r="BKG7" s="302"/>
      <c r="BKH7" s="302"/>
      <c r="BKI7" s="302"/>
      <c r="BKJ7" s="302"/>
      <c r="BKK7" s="302"/>
      <c r="BKL7" s="302"/>
      <c r="BKM7" s="302"/>
      <c r="BKN7" s="302"/>
      <c r="BKO7" s="302"/>
      <c r="BKP7" s="302"/>
      <c r="BKQ7" s="302"/>
      <c r="BKR7" s="302"/>
      <c r="BKS7" s="302"/>
      <c r="BKT7" s="302"/>
      <c r="BKU7" s="302"/>
      <c r="BKV7" s="302"/>
      <c r="BKW7" s="302"/>
      <c r="BKX7" s="302"/>
      <c r="BKY7" s="302"/>
      <c r="BKZ7" s="302"/>
      <c r="BLA7" s="302"/>
      <c r="BLB7" s="302"/>
      <c r="BLC7" s="302"/>
      <c r="BLD7" s="302"/>
      <c r="BLE7" s="302"/>
      <c r="BLF7" s="302"/>
      <c r="BLG7" s="302"/>
      <c r="BLH7" s="302"/>
      <c r="BLI7" s="302"/>
      <c r="BLJ7" s="302"/>
      <c r="BLK7" s="302"/>
      <c r="BLL7" s="302"/>
      <c r="BLM7" s="302"/>
      <c r="BLN7" s="302"/>
      <c r="BLO7" s="302"/>
      <c r="BLP7" s="302"/>
      <c r="BLQ7" s="302"/>
      <c r="BLR7" s="302"/>
      <c r="BLS7" s="302"/>
      <c r="BLT7" s="302"/>
      <c r="BLU7" s="302"/>
      <c r="BLV7" s="302"/>
      <c r="BLW7" s="302"/>
      <c r="BLX7" s="302"/>
      <c r="BLY7" s="302"/>
      <c r="BLZ7" s="302"/>
      <c r="BMA7" s="302"/>
      <c r="BMB7" s="302"/>
      <c r="BMC7" s="302"/>
      <c r="BMD7" s="302"/>
      <c r="BME7" s="302"/>
      <c r="BMF7" s="302"/>
      <c r="BMG7" s="302"/>
      <c r="BMH7" s="302"/>
      <c r="BMI7" s="302"/>
      <c r="BMJ7" s="302"/>
      <c r="BMK7" s="302"/>
      <c r="BML7" s="302"/>
      <c r="BMM7" s="302"/>
      <c r="BMN7" s="302"/>
      <c r="BMO7" s="302"/>
      <c r="BMP7" s="302"/>
      <c r="BMQ7" s="302"/>
      <c r="BMR7" s="302"/>
      <c r="BMS7" s="302"/>
      <c r="BMT7" s="302"/>
      <c r="BMU7" s="302"/>
      <c r="BMV7" s="302"/>
      <c r="BMW7" s="302"/>
      <c r="BMX7" s="302"/>
      <c r="BMY7" s="302"/>
      <c r="BMZ7" s="302"/>
      <c r="BNA7" s="302"/>
      <c r="BNB7" s="302"/>
      <c r="BNC7" s="302"/>
      <c r="BND7" s="302"/>
      <c r="BNE7" s="302"/>
      <c r="BNF7" s="302"/>
      <c r="BNG7" s="302"/>
      <c r="BNH7" s="302"/>
      <c r="BNI7" s="302"/>
      <c r="BNJ7" s="302"/>
      <c r="BNK7" s="302"/>
      <c r="BNL7" s="302"/>
      <c r="BNM7" s="302"/>
      <c r="BNN7" s="302"/>
      <c r="BNO7" s="302"/>
      <c r="BNP7" s="302"/>
      <c r="BNQ7" s="302"/>
      <c r="BNR7" s="302"/>
      <c r="BNS7" s="302"/>
      <c r="BNT7" s="302"/>
      <c r="BNU7" s="302"/>
      <c r="BNV7" s="302"/>
      <c r="BNW7" s="302"/>
      <c r="BNX7" s="302"/>
      <c r="BNY7" s="302"/>
      <c r="BNZ7" s="302"/>
      <c r="BOA7" s="302"/>
      <c r="BOB7" s="302"/>
      <c r="BOC7" s="302"/>
      <c r="BOD7" s="302"/>
      <c r="BOE7" s="302"/>
      <c r="BOF7" s="302"/>
      <c r="BOG7" s="302"/>
      <c r="BOH7" s="302"/>
      <c r="BOI7" s="302"/>
      <c r="BOJ7" s="302"/>
      <c r="BOK7" s="302"/>
      <c r="BOL7" s="302"/>
      <c r="BOM7" s="302"/>
      <c r="BON7" s="302"/>
      <c r="BOO7" s="302"/>
      <c r="BOP7" s="302"/>
      <c r="BOQ7" s="302"/>
      <c r="BOR7" s="302"/>
      <c r="BOS7" s="302"/>
      <c r="BOT7" s="302"/>
      <c r="BOU7" s="302"/>
      <c r="BOV7" s="302"/>
      <c r="BOW7" s="302"/>
      <c r="BOX7" s="302"/>
      <c r="BOY7" s="302"/>
      <c r="BOZ7" s="302"/>
      <c r="BPA7" s="302"/>
      <c r="BPB7" s="302"/>
      <c r="BPC7" s="302"/>
      <c r="BPD7" s="302"/>
      <c r="BPE7" s="302"/>
      <c r="BPF7" s="302"/>
      <c r="BPG7" s="302"/>
      <c r="BPH7" s="302"/>
      <c r="BPI7" s="302"/>
      <c r="BPJ7" s="302"/>
      <c r="BPK7" s="302"/>
      <c r="BPL7" s="302"/>
      <c r="BPM7" s="302"/>
      <c r="BPN7" s="302"/>
      <c r="BPO7" s="302"/>
      <c r="BPP7" s="302"/>
      <c r="BPQ7" s="302"/>
      <c r="BPR7" s="302"/>
      <c r="BPS7" s="302"/>
      <c r="BPT7" s="302"/>
      <c r="BPU7" s="302"/>
      <c r="BPV7" s="302"/>
      <c r="BPW7" s="302"/>
      <c r="BPX7" s="302"/>
      <c r="BPY7" s="302"/>
      <c r="BPZ7" s="302"/>
      <c r="BQA7" s="302"/>
      <c r="BQB7" s="302"/>
      <c r="BQC7" s="302"/>
      <c r="BQD7" s="302"/>
      <c r="BQE7" s="302"/>
      <c r="BQF7" s="302"/>
      <c r="BQG7" s="302"/>
      <c r="BQH7" s="302"/>
      <c r="BQI7" s="302"/>
      <c r="BQJ7" s="302"/>
      <c r="BQK7" s="302"/>
      <c r="BQL7" s="302"/>
      <c r="BQM7" s="302"/>
      <c r="BQN7" s="302"/>
      <c r="BQO7" s="302"/>
      <c r="BQP7" s="302"/>
      <c r="BQQ7" s="302"/>
      <c r="BQR7" s="302"/>
      <c r="BQS7" s="302"/>
      <c r="BQT7" s="302"/>
      <c r="BQU7" s="302"/>
      <c r="BQV7" s="302"/>
      <c r="BQW7" s="302"/>
      <c r="BQX7" s="302"/>
      <c r="BQY7" s="302"/>
      <c r="BQZ7" s="302"/>
      <c r="BRA7" s="302"/>
      <c r="BRB7" s="302"/>
      <c r="BRC7" s="302"/>
      <c r="BRD7" s="302"/>
      <c r="BRE7" s="302"/>
      <c r="BRF7" s="302"/>
      <c r="BRG7" s="302"/>
      <c r="BRH7" s="302"/>
      <c r="BRI7" s="302"/>
      <c r="BRJ7" s="302"/>
      <c r="BRK7" s="302"/>
      <c r="BRL7" s="302"/>
      <c r="BRM7" s="302"/>
      <c r="BRN7" s="302"/>
      <c r="BRO7" s="302"/>
      <c r="BRP7" s="302"/>
      <c r="BRQ7" s="302"/>
      <c r="BRR7" s="302"/>
      <c r="BRS7" s="302"/>
      <c r="BRT7" s="302"/>
      <c r="BRU7" s="302"/>
      <c r="BRV7" s="302"/>
      <c r="BRW7" s="302"/>
      <c r="BRX7" s="302"/>
      <c r="BRY7" s="302"/>
      <c r="BRZ7" s="302"/>
      <c r="BSA7" s="302"/>
      <c r="BSB7" s="302"/>
      <c r="BSC7" s="302"/>
      <c r="BSD7" s="302"/>
      <c r="BSE7" s="302"/>
      <c r="BSF7" s="302"/>
      <c r="BSG7" s="302"/>
      <c r="BSH7" s="302"/>
      <c r="BSI7" s="302"/>
      <c r="BSJ7" s="302"/>
      <c r="BSK7" s="302"/>
      <c r="BSL7" s="302"/>
      <c r="BSM7" s="302"/>
      <c r="BSN7" s="302"/>
      <c r="BSO7" s="302"/>
      <c r="BSP7" s="302"/>
      <c r="BSQ7" s="302"/>
      <c r="BSR7" s="302"/>
      <c r="BSS7" s="302"/>
      <c r="BST7" s="302"/>
      <c r="BSU7" s="302"/>
      <c r="BSV7" s="302"/>
      <c r="BSW7" s="302"/>
      <c r="BSX7" s="302"/>
      <c r="BSY7" s="302"/>
      <c r="BSZ7" s="302"/>
      <c r="BTA7" s="302"/>
      <c r="BTB7" s="302"/>
      <c r="BTC7" s="302"/>
      <c r="BTD7" s="302"/>
      <c r="BTE7" s="302"/>
      <c r="BTF7" s="302"/>
      <c r="BTG7" s="302"/>
      <c r="BTH7" s="302"/>
      <c r="BTI7" s="302"/>
      <c r="BTJ7" s="302"/>
      <c r="BTK7" s="302"/>
      <c r="BTL7" s="302"/>
      <c r="BTM7" s="302"/>
      <c r="BTN7" s="302"/>
      <c r="BTO7" s="302"/>
      <c r="BTP7" s="302"/>
      <c r="BTQ7" s="302"/>
      <c r="BTR7" s="302"/>
      <c r="BTS7" s="302"/>
      <c r="BTT7" s="302"/>
      <c r="BTU7" s="302"/>
      <c r="BTV7" s="302"/>
      <c r="BTW7" s="302"/>
      <c r="BTX7" s="302"/>
      <c r="BTY7" s="302"/>
      <c r="BTZ7" s="302"/>
      <c r="BUA7" s="302"/>
      <c r="BUB7" s="302"/>
      <c r="BUC7" s="302"/>
      <c r="BUD7" s="302"/>
      <c r="BUE7" s="302"/>
      <c r="BUF7" s="302"/>
      <c r="BUG7" s="302"/>
      <c r="BUH7" s="302"/>
      <c r="BUI7" s="302"/>
      <c r="BUJ7" s="302"/>
      <c r="BUK7" s="302"/>
      <c r="BUL7" s="302"/>
      <c r="BUM7" s="302"/>
      <c r="BUN7" s="302"/>
      <c r="BUO7" s="302"/>
      <c r="BUP7" s="302"/>
      <c r="BUQ7" s="302"/>
      <c r="BUR7" s="302"/>
      <c r="BUS7" s="302"/>
      <c r="BUT7" s="302"/>
      <c r="BUU7" s="302"/>
      <c r="BUV7" s="302"/>
      <c r="BUW7" s="302"/>
      <c r="BUX7" s="302"/>
      <c r="BUY7" s="302"/>
      <c r="BUZ7" s="302"/>
      <c r="BVA7" s="302"/>
      <c r="BVB7" s="302"/>
      <c r="BVC7" s="302"/>
      <c r="BVD7" s="302"/>
      <c r="BVE7" s="302"/>
      <c r="BVF7" s="302"/>
      <c r="BVG7" s="302"/>
      <c r="BVH7" s="302"/>
      <c r="BVI7" s="302"/>
      <c r="BVJ7" s="302"/>
      <c r="BVK7" s="302"/>
      <c r="BVL7" s="302"/>
      <c r="BVM7" s="302"/>
      <c r="BVN7" s="302"/>
      <c r="BVO7" s="302"/>
      <c r="BVP7" s="302"/>
      <c r="BVQ7" s="302"/>
      <c r="BVR7" s="302"/>
      <c r="BVS7" s="302"/>
      <c r="BVT7" s="302"/>
      <c r="BVU7" s="302"/>
      <c r="BVV7" s="302"/>
      <c r="BVW7" s="302"/>
      <c r="BVX7" s="302"/>
      <c r="BVY7" s="302"/>
      <c r="BVZ7" s="302"/>
      <c r="BWA7" s="302"/>
      <c r="BWB7" s="302"/>
      <c r="BWC7" s="302"/>
      <c r="BWD7" s="302"/>
      <c r="BWE7" s="302"/>
      <c r="BWF7" s="302"/>
      <c r="BWG7" s="302"/>
      <c r="BWH7" s="302"/>
      <c r="BWI7" s="302"/>
      <c r="BWJ7" s="302"/>
      <c r="BWK7" s="302"/>
      <c r="BWL7" s="302"/>
      <c r="BWM7" s="302"/>
      <c r="BWN7" s="302"/>
      <c r="BWO7" s="302"/>
      <c r="BWP7" s="302"/>
      <c r="BWQ7" s="302"/>
      <c r="BWR7" s="302"/>
      <c r="BWS7" s="302"/>
      <c r="BWT7" s="302"/>
      <c r="BWU7" s="302"/>
      <c r="BWV7" s="302"/>
      <c r="BWW7" s="302"/>
      <c r="BWX7" s="302"/>
      <c r="BWY7" s="302"/>
      <c r="BWZ7" s="302"/>
      <c r="BXA7" s="302"/>
      <c r="BXB7" s="302"/>
      <c r="BXC7" s="302"/>
      <c r="BXD7" s="302"/>
      <c r="BXE7" s="302"/>
      <c r="BXF7" s="302"/>
      <c r="BXG7" s="302"/>
      <c r="BXH7" s="302"/>
      <c r="BXI7" s="302"/>
      <c r="BXJ7" s="302"/>
      <c r="BXK7" s="302"/>
      <c r="BXL7" s="302"/>
      <c r="BXM7" s="302"/>
      <c r="BXN7" s="302"/>
      <c r="BXO7" s="302"/>
      <c r="BXP7" s="302"/>
      <c r="BXQ7" s="302"/>
      <c r="BXR7" s="302"/>
      <c r="BXS7" s="302"/>
      <c r="BXT7" s="302"/>
      <c r="BXU7" s="302"/>
      <c r="BXV7" s="302"/>
      <c r="BXW7" s="302"/>
      <c r="BXX7" s="302"/>
      <c r="BXY7" s="302"/>
      <c r="BXZ7" s="302"/>
      <c r="BYA7" s="302"/>
      <c r="BYB7" s="302"/>
      <c r="BYC7" s="302"/>
      <c r="BYD7" s="302"/>
      <c r="BYE7" s="302"/>
      <c r="BYF7" s="302"/>
      <c r="BYG7" s="302"/>
      <c r="BYH7" s="302"/>
      <c r="BYI7" s="302"/>
      <c r="BYJ7" s="302"/>
      <c r="BYK7" s="302"/>
      <c r="BYL7" s="302"/>
      <c r="BYM7" s="302"/>
      <c r="BYN7" s="302"/>
      <c r="BYO7" s="302"/>
      <c r="BYP7" s="302"/>
      <c r="BYQ7" s="302"/>
      <c r="BYR7" s="302"/>
      <c r="BYS7" s="302"/>
      <c r="BYT7" s="302"/>
      <c r="BYU7" s="302"/>
      <c r="BYV7" s="302"/>
      <c r="BYW7" s="302"/>
      <c r="BYX7" s="302"/>
      <c r="BYY7" s="302"/>
      <c r="BYZ7" s="302"/>
      <c r="BZA7" s="302"/>
      <c r="BZB7" s="302"/>
      <c r="BZC7" s="302"/>
      <c r="BZD7" s="302"/>
      <c r="BZE7" s="302"/>
      <c r="BZF7" s="302"/>
      <c r="BZG7" s="302"/>
      <c r="BZH7" s="302"/>
      <c r="BZI7" s="302"/>
      <c r="BZJ7" s="302"/>
      <c r="BZK7" s="302"/>
      <c r="BZL7" s="302"/>
      <c r="BZM7" s="302"/>
      <c r="BZN7" s="302"/>
      <c r="BZO7" s="302"/>
      <c r="BZP7" s="302"/>
      <c r="BZQ7" s="302"/>
      <c r="BZR7" s="302"/>
      <c r="BZS7" s="302"/>
      <c r="BZT7" s="302"/>
      <c r="BZU7" s="302"/>
      <c r="BZV7" s="302"/>
      <c r="BZW7" s="302"/>
      <c r="BZX7" s="302"/>
      <c r="BZY7" s="302"/>
      <c r="BZZ7" s="302"/>
      <c r="CAA7" s="302"/>
      <c r="CAB7" s="302"/>
      <c r="CAC7" s="302"/>
      <c r="CAD7" s="302"/>
      <c r="CAE7" s="302"/>
      <c r="CAF7" s="302"/>
      <c r="CAG7" s="302"/>
      <c r="CAH7" s="302"/>
      <c r="CAI7" s="302"/>
      <c r="CAJ7" s="302"/>
      <c r="CAK7" s="302"/>
      <c r="CAL7" s="302"/>
      <c r="CAM7" s="302"/>
      <c r="CAN7" s="302"/>
      <c r="CAO7" s="302"/>
      <c r="CAP7" s="302"/>
      <c r="CAQ7" s="302"/>
      <c r="CAR7" s="302"/>
      <c r="CAS7" s="302"/>
      <c r="CAT7" s="302"/>
      <c r="CAU7" s="302"/>
      <c r="CAV7" s="302"/>
      <c r="CAW7" s="302"/>
      <c r="CAX7" s="302"/>
      <c r="CAY7" s="302"/>
      <c r="CAZ7" s="302"/>
      <c r="CBA7" s="302"/>
      <c r="CBB7" s="302"/>
      <c r="CBC7" s="302"/>
      <c r="CBD7" s="302"/>
      <c r="CBE7" s="302"/>
      <c r="CBF7" s="302"/>
      <c r="CBG7" s="302"/>
      <c r="CBH7" s="302"/>
      <c r="CBI7" s="302"/>
      <c r="CBJ7" s="302"/>
      <c r="CBK7" s="302"/>
      <c r="CBL7" s="302"/>
      <c r="CBM7" s="302"/>
      <c r="CBN7" s="302"/>
      <c r="CBO7" s="302"/>
      <c r="CBP7" s="302"/>
      <c r="CBQ7" s="302"/>
      <c r="CBR7" s="302"/>
      <c r="CBS7" s="302"/>
      <c r="CBT7" s="302"/>
      <c r="CBU7" s="302"/>
      <c r="CBV7" s="302"/>
      <c r="CBW7" s="302"/>
      <c r="CBX7" s="302"/>
      <c r="CBY7" s="302"/>
      <c r="CBZ7" s="302"/>
      <c r="CCA7" s="302"/>
      <c r="CCB7" s="302"/>
      <c r="CCC7" s="302"/>
      <c r="CCD7" s="302"/>
      <c r="CCE7" s="302"/>
      <c r="CCF7" s="302"/>
      <c r="CCG7" s="302"/>
      <c r="CCH7" s="302"/>
      <c r="CCI7" s="302"/>
      <c r="CCJ7" s="302"/>
      <c r="CCK7" s="302"/>
      <c r="CCL7" s="302"/>
      <c r="CCM7" s="302"/>
      <c r="CCN7" s="302"/>
      <c r="CCO7" s="302"/>
      <c r="CCP7" s="302"/>
      <c r="CCQ7" s="302"/>
      <c r="CCR7" s="302"/>
      <c r="CCS7" s="302"/>
      <c r="CCT7" s="302"/>
      <c r="CCU7" s="302"/>
      <c r="CCV7" s="302"/>
      <c r="CCW7" s="302"/>
      <c r="CCX7" s="302"/>
      <c r="CCY7" s="302"/>
      <c r="CCZ7" s="302"/>
      <c r="CDA7" s="302"/>
      <c r="CDB7" s="302"/>
      <c r="CDC7" s="302"/>
      <c r="CDD7" s="302"/>
      <c r="CDE7" s="302"/>
      <c r="CDF7" s="302"/>
      <c r="CDG7" s="302"/>
      <c r="CDH7" s="302"/>
      <c r="CDI7" s="302"/>
      <c r="CDJ7" s="302"/>
      <c r="CDK7" s="302"/>
      <c r="CDL7" s="302"/>
      <c r="CDM7" s="302"/>
      <c r="CDN7" s="302"/>
      <c r="CDO7" s="302"/>
      <c r="CDP7" s="302"/>
      <c r="CDQ7" s="302"/>
      <c r="CDR7" s="302"/>
      <c r="CDS7" s="302"/>
      <c r="CDT7" s="302"/>
      <c r="CDU7" s="302"/>
      <c r="CDV7" s="302"/>
      <c r="CDW7" s="302"/>
      <c r="CDX7" s="302"/>
      <c r="CDY7" s="302"/>
      <c r="CDZ7" s="302"/>
      <c r="CEA7" s="302"/>
      <c r="CEB7" s="302"/>
      <c r="CEC7" s="302"/>
      <c r="CED7" s="302"/>
      <c r="CEE7" s="302"/>
      <c r="CEF7" s="302"/>
      <c r="CEG7" s="302"/>
      <c r="CEH7" s="302"/>
      <c r="CEI7" s="302"/>
      <c r="CEJ7" s="302"/>
      <c r="CEK7" s="302"/>
      <c r="CEL7" s="302"/>
      <c r="CEM7" s="302"/>
      <c r="CEN7" s="302"/>
      <c r="CEO7" s="302"/>
      <c r="CEP7" s="302"/>
      <c r="CEQ7" s="302"/>
      <c r="CER7" s="302"/>
      <c r="CES7" s="302"/>
      <c r="CET7" s="302"/>
      <c r="CEU7" s="302"/>
      <c r="CEV7" s="302"/>
      <c r="CEW7" s="302"/>
      <c r="CEX7" s="302"/>
      <c r="CEY7" s="302"/>
      <c r="CEZ7" s="302"/>
      <c r="CFA7" s="302"/>
      <c r="CFB7" s="302"/>
      <c r="CFC7" s="302"/>
      <c r="CFD7" s="302"/>
      <c r="CFE7" s="302"/>
      <c r="CFF7" s="302"/>
      <c r="CFG7" s="302"/>
      <c r="CFH7" s="302"/>
      <c r="CFI7" s="302"/>
      <c r="CFJ7" s="302"/>
      <c r="CFK7" s="302"/>
      <c r="CFL7" s="302"/>
      <c r="CFM7" s="302"/>
      <c r="CFN7" s="302"/>
      <c r="CFO7" s="302"/>
      <c r="CFP7" s="302"/>
      <c r="CFQ7" s="302"/>
      <c r="CFR7" s="302"/>
      <c r="CFS7" s="302"/>
      <c r="CFT7" s="302"/>
      <c r="CFU7" s="302"/>
      <c r="CFV7" s="302"/>
      <c r="CFW7" s="302"/>
      <c r="CFX7" s="302"/>
      <c r="CFY7" s="302"/>
      <c r="CFZ7" s="302"/>
      <c r="CGA7" s="302"/>
      <c r="CGB7" s="302"/>
      <c r="CGC7" s="302"/>
      <c r="CGD7" s="302"/>
      <c r="CGE7" s="302"/>
      <c r="CGF7" s="302"/>
      <c r="CGG7" s="302"/>
      <c r="CGH7" s="302"/>
      <c r="CGI7" s="302"/>
      <c r="CGJ7" s="302"/>
      <c r="CGK7" s="302"/>
      <c r="CGL7" s="302"/>
      <c r="CGM7" s="302"/>
      <c r="CGN7" s="302"/>
      <c r="CGO7" s="302"/>
      <c r="CGP7" s="302"/>
      <c r="CGQ7" s="302"/>
      <c r="CGR7" s="302"/>
      <c r="CGS7" s="302"/>
      <c r="CGT7" s="302"/>
      <c r="CGU7" s="302"/>
      <c r="CGV7" s="302"/>
      <c r="CGW7" s="302"/>
      <c r="CGX7" s="302"/>
      <c r="CGY7" s="302"/>
      <c r="CGZ7" s="302"/>
      <c r="CHA7" s="302"/>
      <c r="CHB7" s="302"/>
      <c r="CHC7" s="302"/>
      <c r="CHD7" s="302"/>
      <c r="CHE7" s="302"/>
      <c r="CHF7" s="302"/>
      <c r="CHG7" s="302"/>
      <c r="CHH7" s="302"/>
      <c r="CHI7" s="302"/>
      <c r="CHJ7" s="302"/>
      <c r="CHK7" s="302"/>
      <c r="CHL7" s="302"/>
      <c r="CHM7" s="302"/>
      <c r="CHN7" s="302"/>
      <c r="CHO7" s="302"/>
      <c r="CHP7" s="302"/>
      <c r="CHQ7" s="302"/>
      <c r="CHR7" s="302"/>
      <c r="CHS7" s="302"/>
      <c r="CHT7" s="302"/>
      <c r="CHU7" s="302"/>
      <c r="CHV7" s="302"/>
      <c r="CHW7" s="302"/>
      <c r="CHX7" s="302"/>
      <c r="CHY7" s="302"/>
      <c r="CHZ7" s="302"/>
      <c r="CIA7" s="302"/>
      <c r="CIB7" s="302"/>
      <c r="CIC7" s="302"/>
      <c r="CID7" s="302"/>
      <c r="CIE7" s="302"/>
      <c r="CIF7" s="302"/>
      <c r="CIG7" s="302"/>
      <c r="CIH7" s="302"/>
      <c r="CII7" s="302"/>
      <c r="CIJ7" s="302"/>
      <c r="CIK7" s="302"/>
      <c r="CIL7" s="302"/>
      <c r="CIM7" s="302"/>
      <c r="CIN7" s="302"/>
      <c r="CIO7" s="302"/>
      <c r="CIP7" s="302"/>
      <c r="CIQ7" s="302"/>
      <c r="CIR7" s="302"/>
      <c r="CIS7" s="302"/>
      <c r="CIT7" s="302"/>
      <c r="CIU7" s="302"/>
      <c r="CIV7" s="302"/>
      <c r="CIW7" s="302"/>
      <c r="CIX7" s="302"/>
      <c r="CIY7" s="302"/>
      <c r="CIZ7" s="302"/>
      <c r="CJA7" s="302"/>
      <c r="CJB7" s="302"/>
      <c r="CJC7" s="302"/>
      <c r="CJD7" s="302"/>
      <c r="CJE7" s="302"/>
      <c r="CJF7" s="302"/>
      <c r="CJG7" s="302"/>
      <c r="CJH7" s="302"/>
      <c r="CJI7" s="302"/>
      <c r="CJJ7" s="302"/>
      <c r="CJK7" s="302"/>
      <c r="CJL7" s="302"/>
      <c r="CJM7" s="302"/>
      <c r="CJN7" s="302"/>
      <c r="CJO7" s="302"/>
      <c r="CJP7" s="302"/>
      <c r="CJQ7" s="302"/>
      <c r="CJR7" s="302"/>
      <c r="CJS7" s="302"/>
      <c r="CJT7" s="302"/>
      <c r="CJU7" s="302"/>
      <c r="CJV7" s="302"/>
      <c r="CJW7" s="302"/>
      <c r="CJX7" s="302"/>
      <c r="CJY7" s="302"/>
      <c r="CJZ7" s="302"/>
      <c r="CKA7" s="302"/>
      <c r="CKB7" s="302"/>
      <c r="CKC7" s="302"/>
      <c r="CKD7" s="302"/>
      <c r="CKE7" s="302"/>
      <c r="CKF7" s="302"/>
      <c r="CKG7" s="302"/>
      <c r="CKH7" s="302"/>
      <c r="CKI7" s="302"/>
      <c r="CKJ7" s="302"/>
      <c r="CKK7" s="302"/>
      <c r="CKL7" s="302"/>
      <c r="CKM7" s="302"/>
      <c r="CKN7" s="302"/>
      <c r="CKO7" s="302"/>
      <c r="CKP7" s="302"/>
      <c r="CKQ7" s="302"/>
      <c r="CKR7" s="302"/>
      <c r="CKS7" s="302"/>
      <c r="CKT7" s="302"/>
      <c r="CKU7" s="302"/>
      <c r="CKV7" s="302"/>
      <c r="CKW7" s="302"/>
      <c r="CKX7" s="302"/>
      <c r="CKY7" s="302"/>
      <c r="CKZ7" s="302"/>
      <c r="CLA7" s="302"/>
      <c r="CLB7" s="302"/>
      <c r="CLC7" s="302"/>
      <c r="CLD7" s="302"/>
      <c r="CLE7" s="302"/>
      <c r="CLF7" s="302"/>
      <c r="CLG7" s="302"/>
      <c r="CLH7" s="302"/>
      <c r="CLI7" s="302"/>
      <c r="CLJ7" s="302"/>
      <c r="CLK7" s="302"/>
      <c r="CLL7" s="302"/>
      <c r="CLM7" s="302"/>
      <c r="CLN7" s="302"/>
      <c r="CLO7" s="302"/>
      <c r="CLP7" s="302"/>
      <c r="CLQ7" s="302"/>
      <c r="CLR7" s="302"/>
      <c r="CLS7" s="302"/>
      <c r="CLT7" s="302"/>
      <c r="CLU7" s="302"/>
      <c r="CLV7" s="302"/>
      <c r="CLW7" s="302"/>
      <c r="CLX7" s="302"/>
      <c r="CLY7" s="302"/>
      <c r="CLZ7" s="302"/>
      <c r="CMA7" s="302"/>
      <c r="CMB7" s="302"/>
      <c r="CMC7" s="302"/>
      <c r="CMD7" s="302"/>
      <c r="CME7" s="302"/>
      <c r="CMF7" s="302"/>
      <c r="CMG7" s="302"/>
      <c r="CMH7" s="302"/>
      <c r="CMI7" s="302"/>
      <c r="CMJ7" s="302"/>
      <c r="CMK7" s="302"/>
      <c r="CML7" s="302"/>
      <c r="CMM7" s="302"/>
      <c r="CMN7" s="302"/>
      <c r="CMO7" s="302"/>
      <c r="CMP7" s="302"/>
      <c r="CMQ7" s="302"/>
      <c r="CMR7" s="302"/>
      <c r="CMS7" s="302"/>
      <c r="CMT7" s="302"/>
      <c r="CMU7" s="302"/>
      <c r="CMV7" s="302"/>
      <c r="CMW7" s="302"/>
      <c r="CMX7" s="302"/>
      <c r="CMY7" s="302"/>
      <c r="CMZ7" s="302"/>
      <c r="CNA7" s="302"/>
      <c r="CNB7" s="302"/>
      <c r="CNC7" s="302"/>
      <c r="CND7" s="302"/>
      <c r="CNE7" s="302"/>
      <c r="CNF7" s="302"/>
      <c r="CNG7" s="302"/>
      <c r="CNH7" s="302"/>
      <c r="CNI7" s="302"/>
      <c r="CNJ7" s="302"/>
      <c r="CNK7" s="302"/>
      <c r="CNL7" s="302"/>
      <c r="CNM7" s="302"/>
      <c r="CNN7" s="302"/>
      <c r="CNO7" s="302"/>
      <c r="CNP7" s="302"/>
      <c r="CNQ7" s="302"/>
      <c r="CNR7" s="302"/>
      <c r="CNS7" s="302"/>
      <c r="CNT7" s="302"/>
      <c r="CNU7" s="302"/>
      <c r="CNV7" s="302"/>
      <c r="CNW7" s="302"/>
      <c r="CNX7" s="302"/>
      <c r="CNY7" s="302"/>
      <c r="CNZ7" s="302"/>
      <c r="COA7" s="302"/>
      <c r="COB7" s="302"/>
      <c r="COC7" s="302"/>
      <c r="COD7" s="302"/>
      <c r="COE7" s="302"/>
      <c r="COF7" s="302"/>
      <c r="COG7" s="302"/>
      <c r="COH7" s="302"/>
      <c r="COI7" s="302"/>
      <c r="COJ7" s="302"/>
      <c r="COK7" s="302"/>
      <c r="COL7" s="302"/>
      <c r="COM7" s="302"/>
      <c r="CON7" s="302"/>
      <c r="COO7" s="302"/>
      <c r="COP7" s="302"/>
      <c r="COQ7" s="302"/>
      <c r="COR7" s="302"/>
      <c r="COS7" s="302"/>
      <c r="COT7" s="302"/>
      <c r="COU7" s="302"/>
      <c r="COV7" s="302"/>
      <c r="COW7" s="302"/>
      <c r="COX7" s="302"/>
      <c r="COY7" s="302"/>
      <c r="COZ7" s="302"/>
      <c r="CPA7" s="302"/>
      <c r="CPB7" s="302"/>
      <c r="CPC7" s="302"/>
      <c r="CPD7" s="302"/>
      <c r="CPE7" s="302"/>
      <c r="CPF7" s="302"/>
      <c r="CPG7" s="302"/>
      <c r="CPH7" s="302"/>
      <c r="CPI7" s="302"/>
      <c r="CPJ7" s="302"/>
      <c r="CPK7" s="302"/>
      <c r="CPL7" s="302"/>
      <c r="CPM7" s="302"/>
      <c r="CPN7" s="302"/>
      <c r="CPO7" s="302"/>
      <c r="CPP7" s="302"/>
      <c r="CPQ7" s="302"/>
      <c r="CPR7" s="302"/>
      <c r="CPS7" s="302"/>
      <c r="CPT7" s="302"/>
      <c r="CPU7" s="302"/>
      <c r="CPV7" s="302"/>
      <c r="CPW7" s="302"/>
      <c r="CPX7" s="302"/>
      <c r="CPY7" s="302"/>
      <c r="CPZ7" s="302"/>
      <c r="CQA7" s="302"/>
      <c r="CQB7" s="302"/>
      <c r="CQC7" s="302"/>
      <c r="CQD7" s="302"/>
      <c r="CQE7" s="302"/>
      <c r="CQF7" s="302"/>
      <c r="CQG7" s="302"/>
      <c r="CQH7" s="302"/>
      <c r="CQI7" s="302"/>
      <c r="CQJ7" s="302"/>
      <c r="CQK7" s="302"/>
      <c r="CQL7" s="302"/>
      <c r="CQM7" s="302"/>
      <c r="CQN7" s="302"/>
      <c r="CQO7" s="302"/>
      <c r="CQP7" s="302"/>
      <c r="CQQ7" s="302"/>
      <c r="CQR7" s="302"/>
      <c r="CQS7" s="302"/>
      <c r="CQT7" s="302"/>
      <c r="CQU7" s="302"/>
      <c r="CQV7" s="302"/>
      <c r="CQW7" s="302"/>
      <c r="CQX7" s="302"/>
      <c r="CQY7" s="302"/>
      <c r="CQZ7" s="302"/>
      <c r="CRA7" s="302"/>
      <c r="CRB7" s="302"/>
      <c r="CRC7" s="302"/>
      <c r="CRD7" s="302"/>
      <c r="CRE7" s="302"/>
      <c r="CRF7" s="302"/>
      <c r="CRG7" s="302"/>
      <c r="CRH7" s="302"/>
      <c r="CRI7" s="302"/>
      <c r="CRJ7" s="302"/>
      <c r="CRK7" s="302"/>
      <c r="CRL7" s="302"/>
      <c r="CRM7" s="302"/>
      <c r="CRN7" s="302"/>
      <c r="CRO7" s="302"/>
      <c r="CRP7" s="302"/>
      <c r="CRQ7" s="302"/>
      <c r="CRR7" s="302"/>
      <c r="CRS7" s="302"/>
      <c r="CRT7" s="302"/>
      <c r="CRU7" s="302"/>
      <c r="CRV7" s="302"/>
      <c r="CRW7" s="302"/>
      <c r="CRX7" s="302"/>
      <c r="CRY7" s="302"/>
      <c r="CRZ7" s="302"/>
      <c r="CSA7" s="302"/>
      <c r="CSB7" s="302"/>
      <c r="CSC7" s="302"/>
      <c r="CSD7" s="302"/>
      <c r="CSE7" s="302"/>
      <c r="CSF7" s="302"/>
      <c r="CSG7" s="302"/>
      <c r="CSH7" s="302"/>
      <c r="CSI7" s="302"/>
      <c r="CSJ7" s="302"/>
      <c r="CSK7" s="302"/>
      <c r="CSL7" s="302"/>
      <c r="CSM7" s="302"/>
      <c r="CSN7" s="302"/>
      <c r="CSO7" s="302"/>
      <c r="CSP7" s="302"/>
      <c r="CSQ7" s="302"/>
      <c r="CSR7" s="302"/>
      <c r="CSS7" s="302"/>
      <c r="CST7" s="302"/>
      <c r="CSU7" s="302"/>
      <c r="CSV7" s="302"/>
      <c r="CSW7" s="302"/>
      <c r="CSX7" s="302"/>
      <c r="CSY7" s="302"/>
      <c r="CSZ7" s="302"/>
      <c r="CTA7" s="302"/>
      <c r="CTB7" s="302"/>
      <c r="CTC7" s="302"/>
      <c r="CTD7" s="302"/>
      <c r="CTE7" s="302"/>
      <c r="CTF7" s="302"/>
      <c r="CTG7" s="302"/>
      <c r="CTH7" s="302"/>
      <c r="CTI7" s="302"/>
      <c r="CTJ7" s="302"/>
      <c r="CTK7" s="302"/>
      <c r="CTL7" s="302"/>
      <c r="CTM7" s="302"/>
      <c r="CTN7" s="302"/>
      <c r="CTO7" s="302"/>
      <c r="CTP7" s="302"/>
      <c r="CTQ7" s="302"/>
      <c r="CTR7" s="302"/>
      <c r="CTS7" s="302"/>
      <c r="CTT7" s="302"/>
      <c r="CTU7" s="302"/>
      <c r="CTV7" s="302"/>
      <c r="CTW7" s="302"/>
      <c r="CTX7" s="302"/>
      <c r="CTY7" s="302"/>
      <c r="CTZ7" s="302"/>
      <c r="CUA7" s="302"/>
      <c r="CUB7" s="302"/>
      <c r="CUC7" s="302"/>
      <c r="CUD7" s="302"/>
      <c r="CUE7" s="302"/>
      <c r="CUF7" s="302"/>
      <c r="CUG7" s="302"/>
      <c r="CUH7" s="302"/>
      <c r="CUI7" s="302"/>
      <c r="CUJ7" s="302"/>
      <c r="CUK7" s="302"/>
      <c r="CUL7" s="302"/>
      <c r="CUM7" s="302"/>
      <c r="CUN7" s="302"/>
      <c r="CUO7" s="302"/>
      <c r="CUP7" s="302"/>
      <c r="CUQ7" s="302"/>
      <c r="CUR7" s="302"/>
      <c r="CUS7" s="302"/>
      <c r="CUT7" s="302"/>
      <c r="CUU7" s="302"/>
      <c r="CUV7" s="302"/>
      <c r="CUW7" s="302"/>
      <c r="CUX7" s="302"/>
      <c r="CUY7" s="302"/>
      <c r="CUZ7" s="302"/>
      <c r="CVA7" s="302"/>
      <c r="CVB7" s="302"/>
      <c r="CVC7" s="302"/>
      <c r="CVD7" s="302"/>
      <c r="CVE7" s="302"/>
      <c r="CVF7" s="302"/>
      <c r="CVG7" s="302"/>
      <c r="CVH7" s="302"/>
      <c r="CVI7" s="302"/>
      <c r="CVJ7" s="302"/>
      <c r="CVK7" s="302"/>
      <c r="CVL7" s="302"/>
      <c r="CVM7" s="302"/>
      <c r="CVN7" s="302"/>
      <c r="CVO7" s="302"/>
      <c r="CVP7" s="302"/>
      <c r="CVQ7" s="302"/>
      <c r="CVR7" s="302"/>
      <c r="CVS7" s="302"/>
      <c r="CVT7" s="302"/>
      <c r="CVU7" s="302"/>
      <c r="CVV7" s="302"/>
      <c r="CVW7" s="302"/>
      <c r="CVX7" s="302"/>
      <c r="CVY7" s="302"/>
      <c r="CVZ7" s="302"/>
      <c r="CWA7" s="302"/>
      <c r="CWB7" s="302"/>
      <c r="CWC7" s="302"/>
      <c r="CWD7" s="302"/>
      <c r="CWE7" s="302"/>
      <c r="CWF7" s="302"/>
      <c r="CWG7" s="302"/>
      <c r="CWH7" s="302"/>
      <c r="CWI7" s="302"/>
      <c r="CWJ7" s="302"/>
      <c r="CWK7" s="302"/>
      <c r="CWL7" s="302"/>
      <c r="CWM7" s="302"/>
      <c r="CWN7" s="302"/>
      <c r="CWO7" s="302"/>
      <c r="CWP7" s="302"/>
      <c r="CWQ7" s="302"/>
      <c r="CWR7" s="302"/>
      <c r="CWS7" s="302"/>
      <c r="CWT7" s="302"/>
      <c r="CWU7" s="302"/>
      <c r="CWV7" s="302"/>
      <c r="CWW7" s="302"/>
      <c r="CWX7" s="302"/>
      <c r="CWY7" s="302"/>
      <c r="CWZ7" s="302"/>
      <c r="CXA7" s="302"/>
      <c r="CXB7" s="302"/>
      <c r="CXC7" s="302"/>
      <c r="CXD7" s="302"/>
      <c r="CXE7" s="302"/>
      <c r="CXF7" s="302"/>
      <c r="CXG7" s="302"/>
      <c r="CXH7" s="302"/>
      <c r="CXI7" s="302"/>
      <c r="CXJ7" s="302"/>
      <c r="CXK7" s="302"/>
      <c r="CXL7" s="302"/>
      <c r="CXM7" s="302"/>
      <c r="CXN7" s="302"/>
      <c r="CXO7" s="302"/>
      <c r="CXP7" s="302"/>
      <c r="CXQ7" s="302"/>
      <c r="CXR7" s="302"/>
      <c r="CXS7" s="302"/>
      <c r="CXT7" s="302"/>
      <c r="CXU7" s="302"/>
      <c r="CXV7" s="302"/>
      <c r="CXW7" s="302"/>
      <c r="CXX7" s="302"/>
      <c r="CXY7" s="302"/>
      <c r="CXZ7" s="302"/>
      <c r="CYA7" s="302"/>
      <c r="CYB7" s="302"/>
      <c r="CYC7" s="302"/>
      <c r="CYD7" s="302"/>
      <c r="CYE7" s="302"/>
      <c r="CYF7" s="302"/>
      <c r="CYG7" s="302"/>
      <c r="CYH7" s="302"/>
      <c r="CYI7" s="302"/>
      <c r="CYJ7" s="302"/>
      <c r="CYK7" s="302"/>
      <c r="CYL7" s="302"/>
      <c r="CYM7" s="302"/>
      <c r="CYN7" s="302"/>
      <c r="CYO7" s="302"/>
      <c r="CYP7" s="302"/>
      <c r="CYQ7" s="302"/>
      <c r="CYR7" s="302"/>
      <c r="CYS7" s="302"/>
      <c r="CYT7" s="302"/>
      <c r="CYU7" s="302"/>
      <c r="CYV7" s="302"/>
      <c r="CYW7" s="302"/>
      <c r="CYX7" s="302"/>
      <c r="CYY7" s="302"/>
      <c r="CYZ7" s="302"/>
      <c r="CZA7" s="302"/>
      <c r="CZB7" s="302"/>
      <c r="CZC7" s="302"/>
      <c r="CZD7" s="302"/>
      <c r="CZE7" s="302"/>
      <c r="CZF7" s="302"/>
      <c r="CZG7" s="302"/>
      <c r="CZH7" s="302"/>
      <c r="CZI7" s="302"/>
      <c r="CZJ7" s="302"/>
      <c r="CZK7" s="302"/>
      <c r="CZL7" s="302"/>
      <c r="CZM7" s="302"/>
      <c r="CZN7" s="302"/>
      <c r="CZO7" s="302"/>
      <c r="CZP7" s="302"/>
      <c r="CZQ7" s="302"/>
      <c r="CZR7" s="302"/>
      <c r="CZS7" s="302"/>
      <c r="CZT7" s="302"/>
      <c r="CZU7" s="302"/>
      <c r="CZV7" s="302"/>
      <c r="CZW7" s="302"/>
      <c r="CZX7" s="302"/>
      <c r="CZY7" s="302"/>
      <c r="CZZ7" s="302"/>
      <c r="DAA7" s="302"/>
      <c r="DAB7" s="302"/>
      <c r="DAC7" s="302"/>
      <c r="DAD7" s="302"/>
      <c r="DAE7" s="302"/>
      <c r="DAF7" s="302"/>
      <c r="DAG7" s="302"/>
      <c r="DAH7" s="302"/>
      <c r="DAI7" s="302"/>
      <c r="DAJ7" s="302"/>
      <c r="DAK7" s="302"/>
      <c r="DAL7" s="302"/>
      <c r="DAM7" s="302"/>
      <c r="DAN7" s="302"/>
      <c r="DAO7" s="302"/>
      <c r="DAP7" s="302"/>
      <c r="DAQ7" s="302"/>
      <c r="DAR7" s="302"/>
      <c r="DAS7" s="302"/>
      <c r="DAT7" s="302"/>
      <c r="DAU7" s="302"/>
      <c r="DAV7" s="302"/>
      <c r="DAW7" s="302"/>
      <c r="DAX7" s="302"/>
      <c r="DAY7" s="302"/>
      <c r="DAZ7" s="302"/>
      <c r="DBA7" s="302"/>
      <c r="DBB7" s="302"/>
      <c r="DBC7" s="302"/>
      <c r="DBD7" s="302"/>
      <c r="DBE7" s="302"/>
      <c r="DBF7" s="302"/>
      <c r="DBG7" s="302"/>
      <c r="DBH7" s="302"/>
      <c r="DBI7" s="302"/>
      <c r="DBJ7" s="302"/>
      <c r="DBK7" s="302"/>
      <c r="DBL7" s="302"/>
      <c r="DBM7" s="302"/>
      <c r="DBN7" s="302"/>
      <c r="DBO7" s="302"/>
      <c r="DBP7" s="302"/>
      <c r="DBQ7" s="302"/>
      <c r="DBR7" s="302"/>
      <c r="DBS7" s="302"/>
      <c r="DBT7" s="302"/>
      <c r="DBU7" s="302"/>
      <c r="DBV7" s="302"/>
      <c r="DBW7" s="302"/>
      <c r="DBX7" s="302"/>
      <c r="DBY7" s="302"/>
      <c r="DBZ7" s="302"/>
      <c r="DCA7" s="302"/>
      <c r="DCB7" s="302"/>
      <c r="DCC7" s="302"/>
      <c r="DCD7" s="302"/>
      <c r="DCE7" s="302"/>
      <c r="DCF7" s="302"/>
      <c r="DCG7" s="302"/>
      <c r="DCH7" s="302"/>
      <c r="DCI7" s="302"/>
      <c r="DCJ7" s="302"/>
      <c r="DCK7" s="302"/>
      <c r="DCL7" s="302"/>
      <c r="DCM7" s="302"/>
      <c r="DCN7" s="302"/>
      <c r="DCO7" s="302"/>
      <c r="DCP7" s="302"/>
      <c r="DCQ7" s="302"/>
      <c r="DCR7" s="302"/>
      <c r="DCS7" s="302"/>
      <c r="DCT7" s="302"/>
      <c r="DCU7" s="302"/>
      <c r="DCV7" s="302"/>
      <c r="DCW7" s="302"/>
      <c r="DCX7" s="302"/>
      <c r="DCY7" s="302"/>
      <c r="DCZ7" s="302"/>
      <c r="DDA7" s="302"/>
      <c r="DDB7" s="302"/>
      <c r="DDC7" s="302"/>
      <c r="DDD7" s="302"/>
      <c r="DDE7" s="302"/>
      <c r="DDF7" s="302"/>
      <c r="DDG7" s="302"/>
      <c r="DDH7" s="302"/>
      <c r="DDI7" s="302"/>
      <c r="DDJ7" s="302"/>
      <c r="DDK7" s="302"/>
      <c r="DDL7" s="302"/>
      <c r="DDM7" s="302"/>
      <c r="DDN7" s="302"/>
      <c r="DDO7" s="302"/>
      <c r="DDP7" s="302"/>
      <c r="DDQ7" s="302"/>
      <c r="DDR7" s="302"/>
      <c r="DDS7" s="302"/>
      <c r="DDT7" s="302"/>
      <c r="DDU7" s="302"/>
      <c r="DDV7" s="302"/>
      <c r="DDW7" s="302"/>
      <c r="DDX7" s="302"/>
      <c r="DDY7" s="302"/>
      <c r="DDZ7" s="302"/>
      <c r="DEA7" s="302"/>
      <c r="DEB7" s="302"/>
      <c r="DEC7" s="302"/>
      <c r="DED7" s="302"/>
      <c r="DEE7" s="302"/>
      <c r="DEF7" s="302"/>
      <c r="DEG7" s="302"/>
      <c r="DEH7" s="302"/>
      <c r="DEI7" s="302"/>
      <c r="DEJ7" s="302"/>
      <c r="DEK7" s="302"/>
      <c r="DEL7" s="302"/>
      <c r="DEM7" s="302"/>
      <c r="DEN7" s="302"/>
      <c r="DEO7" s="302"/>
      <c r="DEP7" s="302"/>
      <c r="DEQ7" s="302"/>
      <c r="DER7" s="302"/>
      <c r="DES7" s="302"/>
      <c r="DET7" s="302"/>
      <c r="DEU7" s="302"/>
      <c r="DEV7" s="302"/>
      <c r="DEW7" s="302"/>
      <c r="DEX7" s="302"/>
      <c r="DEY7" s="302"/>
      <c r="DEZ7" s="302"/>
      <c r="DFA7" s="302"/>
      <c r="DFB7" s="302"/>
      <c r="DFC7" s="302"/>
      <c r="DFD7" s="302"/>
      <c r="DFE7" s="302"/>
      <c r="DFF7" s="302"/>
      <c r="DFG7" s="302"/>
      <c r="DFH7" s="302"/>
      <c r="DFI7" s="302"/>
      <c r="DFJ7" s="302"/>
      <c r="DFK7" s="302"/>
      <c r="DFL7" s="302"/>
      <c r="DFM7" s="302"/>
      <c r="DFN7" s="302"/>
      <c r="DFO7" s="302"/>
      <c r="DFP7" s="302"/>
      <c r="DFQ7" s="302"/>
      <c r="DFR7" s="302"/>
      <c r="DFS7" s="302"/>
      <c r="DFT7" s="302"/>
      <c r="DFU7" s="302"/>
      <c r="DFV7" s="302"/>
      <c r="DFW7" s="302"/>
      <c r="DFX7" s="302"/>
      <c r="DFY7" s="302"/>
      <c r="DFZ7" s="302"/>
      <c r="DGA7" s="302"/>
      <c r="DGB7" s="302"/>
      <c r="DGC7" s="302"/>
      <c r="DGD7" s="302"/>
      <c r="DGE7" s="302"/>
      <c r="DGF7" s="302"/>
      <c r="DGG7" s="302"/>
      <c r="DGH7" s="302"/>
      <c r="DGI7" s="302"/>
      <c r="DGJ7" s="302"/>
      <c r="DGK7" s="302"/>
      <c r="DGL7" s="302"/>
      <c r="DGM7" s="302"/>
      <c r="DGN7" s="302"/>
      <c r="DGO7" s="302"/>
      <c r="DGP7" s="302"/>
      <c r="DGQ7" s="302"/>
      <c r="DGR7" s="302"/>
      <c r="DGS7" s="302"/>
      <c r="DGT7" s="302"/>
      <c r="DGU7" s="302"/>
      <c r="DGV7" s="302"/>
      <c r="DGW7" s="302"/>
      <c r="DGX7" s="302"/>
      <c r="DGY7" s="302"/>
      <c r="DGZ7" s="302"/>
      <c r="DHA7" s="302"/>
      <c r="DHB7" s="302"/>
      <c r="DHC7" s="302"/>
      <c r="DHD7" s="302"/>
      <c r="DHE7" s="302"/>
      <c r="DHF7" s="302"/>
      <c r="DHG7" s="302"/>
      <c r="DHH7" s="302"/>
      <c r="DHI7" s="302"/>
      <c r="DHJ7" s="302"/>
      <c r="DHK7" s="302"/>
      <c r="DHL7" s="302"/>
      <c r="DHM7" s="302"/>
      <c r="DHN7" s="302"/>
      <c r="DHO7" s="302"/>
      <c r="DHP7" s="302"/>
      <c r="DHQ7" s="302"/>
      <c r="DHR7" s="302"/>
      <c r="DHS7" s="302"/>
      <c r="DHT7" s="302"/>
      <c r="DHU7" s="302"/>
      <c r="DHV7" s="302"/>
      <c r="DHW7" s="302"/>
      <c r="DHX7" s="302"/>
      <c r="DHY7" s="302"/>
      <c r="DHZ7" s="302"/>
      <c r="DIA7" s="302"/>
      <c r="DIB7" s="302"/>
      <c r="DIC7" s="302"/>
      <c r="DID7" s="302"/>
      <c r="DIE7" s="302"/>
      <c r="DIF7" s="302"/>
      <c r="DIG7" s="302"/>
      <c r="DIH7" s="302"/>
      <c r="DII7" s="302"/>
      <c r="DIJ7" s="302"/>
      <c r="DIK7" s="302"/>
      <c r="DIL7" s="302"/>
      <c r="DIM7" s="302"/>
      <c r="DIN7" s="302"/>
      <c r="DIO7" s="302"/>
      <c r="DIP7" s="302"/>
      <c r="DIQ7" s="302"/>
      <c r="DIR7" s="302"/>
      <c r="DIS7" s="302"/>
      <c r="DIT7" s="302"/>
      <c r="DIU7" s="302"/>
      <c r="DIV7" s="302"/>
      <c r="DIW7" s="302"/>
      <c r="DIX7" s="302"/>
      <c r="DIY7" s="302"/>
      <c r="DIZ7" s="302"/>
      <c r="DJA7" s="302"/>
      <c r="DJB7" s="302"/>
      <c r="DJC7" s="302"/>
      <c r="DJD7" s="302"/>
      <c r="DJE7" s="302"/>
      <c r="DJF7" s="302"/>
      <c r="DJG7" s="302"/>
      <c r="DJH7" s="302"/>
      <c r="DJI7" s="302"/>
      <c r="DJJ7" s="302"/>
      <c r="DJK7" s="302"/>
      <c r="DJL7" s="302"/>
      <c r="DJM7" s="302"/>
      <c r="DJN7" s="302"/>
      <c r="DJO7" s="302"/>
      <c r="DJP7" s="302"/>
      <c r="DJQ7" s="302"/>
      <c r="DJR7" s="302"/>
      <c r="DJS7" s="302"/>
      <c r="DJT7" s="302"/>
      <c r="DJU7" s="302"/>
      <c r="DJV7" s="302"/>
      <c r="DJW7" s="302"/>
      <c r="DJX7" s="302"/>
      <c r="DJY7" s="302"/>
      <c r="DJZ7" s="302"/>
      <c r="DKA7" s="302"/>
      <c r="DKB7" s="302"/>
      <c r="DKC7" s="302"/>
      <c r="DKD7" s="302"/>
      <c r="DKE7" s="302"/>
      <c r="DKF7" s="302"/>
      <c r="DKG7" s="302"/>
      <c r="DKH7" s="302"/>
      <c r="DKI7" s="302"/>
      <c r="DKJ7" s="302"/>
      <c r="DKK7" s="302"/>
      <c r="DKL7" s="302"/>
      <c r="DKM7" s="302"/>
      <c r="DKN7" s="302"/>
      <c r="DKO7" s="302"/>
      <c r="DKP7" s="302"/>
      <c r="DKQ7" s="302"/>
      <c r="DKR7" s="302"/>
      <c r="DKS7" s="302"/>
      <c r="DKT7" s="302"/>
      <c r="DKU7" s="302"/>
      <c r="DKV7" s="302"/>
      <c r="DKW7" s="302"/>
      <c r="DKX7" s="302"/>
      <c r="DKY7" s="302"/>
      <c r="DKZ7" s="302"/>
      <c r="DLA7" s="302"/>
      <c r="DLB7" s="302"/>
      <c r="DLC7" s="302"/>
      <c r="DLD7" s="302"/>
      <c r="DLE7" s="302"/>
      <c r="DLF7" s="302"/>
      <c r="DLG7" s="302"/>
      <c r="DLH7" s="302"/>
      <c r="DLI7" s="302"/>
      <c r="DLJ7" s="302"/>
      <c r="DLK7" s="302"/>
      <c r="DLL7" s="302"/>
      <c r="DLM7" s="302"/>
      <c r="DLN7" s="302"/>
      <c r="DLO7" s="302"/>
      <c r="DLP7" s="302"/>
      <c r="DLQ7" s="302"/>
      <c r="DLR7" s="302"/>
      <c r="DLS7" s="302"/>
      <c r="DLT7" s="302"/>
      <c r="DLU7" s="302"/>
      <c r="DLV7" s="302"/>
      <c r="DLW7" s="302"/>
      <c r="DLX7" s="302"/>
      <c r="DLY7" s="302"/>
      <c r="DLZ7" s="302"/>
      <c r="DMA7" s="302"/>
      <c r="DMB7" s="302"/>
      <c r="DMC7" s="302"/>
      <c r="DMD7" s="302"/>
      <c r="DME7" s="302"/>
      <c r="DMF7" s="302"/>
      <c r="DMG7" s="302"/>
      <c r="DMH7" s="302"/>
      <c r="DMI7" s="302"/>
      <c r="DMJ7" s="302"/>
      <c r="DMK7" s="302"/>
      <c r="DML7" s="302"/>
      <c r="DMM7" s="302"/>
      <c r="DMN7" s="302"/>
      <c r="DMO7" s="302"/>
      <c r="DMP7" s="302"/>
      <c r="DMQ7" s="302"/>
      <c r="DMR7" s="302"/>
      <c r="DMS7" s="302"/>
      <c r="DMT7" s="302"/>
      <c r="DMU7" s="302"/>
      <c r="DMV7" s="302"/>
      <c r="DMW7" s="302"/>
      <c r="DMX7" s="302"/>
      <c r="DMY7" s="302"/>
      <c r="DMZ7" s="302"/>
      <c r="DNA7" s="302"/>
      <c r="DNB7" s="302"/>
      <c r="DNC7" s="302"/>
      <c r="DND7" s="302"/>
      <c r="DNE7" s="302"/>
      <c r="DNF7" s="302"/>
      <c r="DNG7" s="302"/>
      <c r="DNH7" s="302"/>
      <c r="DNI7" s="302"/>
      <c r="DNJ7" s="302"/>
      <c r="DNK7" s="302"/>
      <c r="DNL7" s="302"/>
      <c r="DNM7" s="302"/>
      <c r="DNN7" s="302"/>
      <c r="DNO7" s="302"/>
      <c r="DNP7" s="302"/>
      <c r="DNQ7" s="302"/>
      <c r="DNR7" s="302"/>
      <c r="DNS7" s="302"/>
      <c r="DNT7" s="302"/>
      <c r="DNU7" s="302"/>
      <c r="DNV7" s="302"/>
      <c r="DNW7" s="302"/>
      <c r="DNX7" s="302"/>
      <c r="DNY7" s="302"/>
      <c r="DNZ7" s="302"/>
      <c r="DOA7" s="302"/>
      <c r="DOB7" s="302"/>
      <c r="DOC7" s="302"/>
      <c r="DOD7" s="302"/>
      <c r="DOE7" s="302"/>
      <c r="DOF7" s="302"/>
      <c r="DOG7" s="302"/>
      <c r="DOH7" s="302"/>
      <c r="DOI7" s="302"/>
      <c r="DOJ7" s="302"/>
      <c r="DOK7" s="302"/>
      <c r="DOL7" s="302"/>
      <c r="DOM7" s="302"/>
      <c r="DON7" s="302"/>
      <c r="DOO7" s="302"/>
      <c r="DOP7" s="302"/>
      <c r="DOQ7" s="302"/>
      <c r="DOR7" s="302"/>
      <c r="DOS7" s="302"/>
      <c r="DOT7" s="302"/>
      <c r="DOU7" s="302"/>
      <c r="DOV7" s="302"/>
      <c r="DOW7" s="302"/>
      <c r="DOX7" s="302"/>
      <c r="DOY7" s="302"/>
      <c r="DOZ7" s="302"/>
      <c r="DPA7" s="302"/>
      <c r="DPB7" s="302"/>
      <c r="DPC7" s="302"/>
      <c r="DPD7" s="302"/>
      <c r="DPE7" s="302"/>
      <c r="DPF7" s="302"/>
      <c r="DPG7" s="302"/>
      <c r="DPH7" s="302"/>
      <c r="DPI7" s="302"/>
      <c r="DPJ7" s="302"/>
      <c r="DPK7" s="302"/>
      <c r="DPL7" s="302"/>
      <c r="DPM7" s="302"/>
      <c r="DPN7" s="302"/>
      <c r="DPO7" s="302"/>
      <c r="DPP7" s="302"/>
      <c r="DPQ7" s="302"/>
      <c r="DPR7" s="302"/>
      <c r="DPS7" s="302"/>
      <c r="DPT7" s="302"/>
      <c r="DPU7" s="302"/>
      <c r="DPV7" s="302"/>
      <c r="DPW7" s="302"/>
      <c r="DPX7" s="302"/>
      <c r="DPY7" s="302"/>
      <c r="DPZ7" s="302"/>
      <c r="DQA7" s="302"/>
      <c r="DQB7" s="302"/>
      <c r="DQC7" s="302"/>
      <c r="DQD7" s="302"/>
      <c r="DQE7" s="302"/>
      <c r="DQF7" s="302"/>
      <c r="DQG7" s="302"/>
      <c r="DQH7" s="302"/>
      <c r="DQI7" s="302"/>
      <c r="DQJ7" s="302"/>
      <c r="DQK7" s="302"/>
      <c r="DQL7" s="302"/>
      <c r="DQM7" s="302"/>
      <c r="DQN7" s="302"/>
      <c r="DQO7" s="302"/>
      <c r="DQP7" s="302"/>
      <c r="DQQ7" s="302"/>
      <c r="DQR7" s="302"/>
      <c r="DQS7" s="302"/>
      <c r="DQT7" s="302"/>
      <c r="DQU7" s="302"/>
      <c r="DQV7" s="302"/>
      <c r="DQW7" s="302"/>
      <c r="DQX7" s="302"/>
      <c r="DQY7" s="302"/>
      <c r="DQZ7" s="302"/>
      <c r="DRA7" s="302"/>
      <c r="DRB7" s="302"/>
      <c r="DRC7" s="302"/>
      <c r="DRD7" s="302"/>
      <c r="DRE7" s="302"/>
      <c r="DRF7" s="302"/>
      <c r="DRG7" s="302"/>
      <c r="DRH7" s="302"/>
      <c r="DRI7" s="302"/>
      <c r="DRJ7" s="302"/>
      <c r="DRK7" s="302"/>
      <c r="DRL7" s="302"/>
      <c r="DRM7" s="302"/>
      <c r="DRN7" s="302"/>
      <c r="DRO7" s="302"/>
      <c r="DRP7" s="302"/>
      <c r="DRQ7" s="302"/>
      <c r="DRR7" s="302"/>
      <c r="DRS7" s="302"/>
      <c r="DRT7" s="302"/>
      <c r="DRU7" s="302"/>
      <c r="DRV7" s="302"/>
      <c r="DRW7" s="302"/>
      <c r="DRX7" s="302"/>
      <c r="DRY7" s="302"/>
      <c r="DRZ7" s="302"/>
      <c r="DSA7" s="302"/>
      <c r="DSB7" s="302"/>
      <c r="DSC7" s="302"/>
      <c r="DSD7" s="302"/>
      <c r="DSE7" s="302"/>
      <c r="DSF7" s="302"/>
      <c r="DSG7" s="302"/>
      <c r="DSH7" s="302"/>
      <c r="DSI7" s="302"/>
      <c r="DSJ7" s="302"/>
      <c r="DSK7" s="302"/>
      <c r="DSL7" s="302"/>
      <c r="DSM7" s="302"/>
      <c r="DSN7" s="302"/>
      <c r="DSO7" s="302"/>
      <c r="DSP7" s="302"/>
      <c r="DSQ7" s="302"/>
      <c r="DSR7" s="302"/>
      <c r="DSS7" s="302"/>
      <c r="DST7" s="302"/>
      <c r="DSU7" s="302"/>
      <c r="DSV7" s="302"/>
      <c r="DSW7" s="302"/>
      <c r="DSX7" s="302"/>
      <c r="DSY7" s="302"/>
      <c r="DSZ7" s="302"/>
      <c r="DTA7" s="302"/>
      <c r="DTB7" s="302"/>
      <c r="DTC7" s="302"/>
      <c r="DTD7" s="302"/>
      <c r="DTE7" s="302"/>
      <c r="DTF7" s="302"/>
      <c r="DTG7" s="302"/>
      <c r="DTH7" s="302"/>
      <c r="DTI7" s="302"/>
      <c r="DTJ7" s="302"/>
      <c r="DTK7" s="302"/>
      <c r="DTL7" s="302"/>
      <c r="DTM7" s="302"/>
      <c r="DTN7" s="302"/>
      <c r="DTO7" s="302"/>
      <c r="DTP7" s="302"/>
      <c r="DTQ7" s="302"/>
      <c r="DTR7" s="302"/>
      <c r="DTS7" s="302"/>
      <c r="DTT7" s="302"/>
      <c r="DTU7" s="302"/>
      <c r="DTV7" s="302"/>
      <c r="DTW7" s="302"/>
      <c r="DTX7" s="302"/>
      <c r="DTY7" s="302"/>
      <c r="DTZ7" s="302"/>
      <c r="DUA7" s="302"/>
      <c r="DUB7" s="302"/>
      <c r="DUC7" s="302"/>
      <c r="DUD7" s="302"/>
      <c r="DUE7" s="302"/>
      <c r="DUF7" s="302"/>
      <c r="DUG7" s="302"/>
      <c r="DUH7" s="302"/>
      <c r="DUI7" s="302"/>
      <c r="DUJ7" s="302"/>
      <c r="DUK7" s="302"/>
      <c r="DUL7" s="302"/>
      <c r="DUM7" s="302"/>
      <c r="DUN7" s="302"/>
      <c r="DUO7" s="302"/>
      <c r="DUP7" s="302"/>
      <c r="DUQ7" s="302"/>
      <c r="DUR7" s="302"/>
      <c r="DUS7" s="302"/>
      <c r="DUT7" s="302"/>
      <c r="DUU7" s="302"/>
      <c r="DUV7" s="302"/>
      <c r="DUW7" s="302"/>
      <c r="DUX7" s="302"/>
      <c r="DUY7" s="302"/>
      <c r="DUZ7" s="302"/>
      <c r="DVA7" s="302"/>
      <c r="DVB7" s="302"/>
      <c r="DVC7" s="302"/>
      <c r="DVD7" s="302"/>
      <c r="DVE7" s="302"/>
      <c r="DVF7" s="302"/>
      <c r="DVG7" s="302"/>
      <c r="DVH7" s="302"/>
      <c r="DVI7" s="302"/>
      <c r="DVJ7" s="302"/>
      <c r="DVK7" s="302"/>
      <c r="DVL7" s="302"/>
      <c r="DVM7" s="302"/>
      <c r="DVN7" s="302"/>
      <c r="DVO7" s="302"/>
      <c r="DVP7" s="302"/>
      <c r="DVQ7" s="302"/>
      <c r="DVR7" s="302"/>
      <c r="DVS7" s="302"/>
      <c r="DVT7" s="302"/>
      <c r="DVU7" s="302"/>
      <c r="DVV7" s="302"/>
      <c r="DVW7" s="302"/>
      <c r="DVX7" s="302"/>
      <c r="DVY7" s="302"/>
      <c r="DVZ7" s="302"/>
      <c r="DWA7" s="302"/>
      <c r="DWB7" s="302"/>
      <c r="DWC7" s="302"/>
      <c r="DWD7" s="302"/>
      <c r="DWE7" s="302"/>
      <c r="DWF7" s="302"/>
      <c r="DWG7" s="302"/>
      <c r="DWH7" s="302"/>
      <c r="DWI7" s="302"/>
      <c r="DWJ7" s="302"/>
      <c r="DWK7" s="302"/>
      <c r="DWL7" s="302"/>
      <c r="DWM7" s="302"/>
      <c r="DWN7" s="302"/>
      <c r="DWO7" s="302"/>
      <c r="DWP7" s="302"/>
      <c r="DWQ7" s="302"/>
      <c r="DWR7" s="302"/>
      <c r="DWS7" s="302"/>
      <c r="DWT7" s="302"/>
      <c r="DWU7" s="302"/>
      <c r="DWV7" s="302"/>
      <c r="DWW7" s="302"/>
      <c r="DWX7" s="302"/>
      <c r="DWY7" s="302"/>
      <c r="DWZ7" s="302"/>
      <c r="DXA7" s="302"/>
      <c r="DXB7" s="302"/>
      <c r="DXC7" s="302"/>
      <c r="DXD7" s="302"/>
      <c r="DXE7" s="302"/>
      <c r="DXF7" s="302"/>
      <c r="DXG7" s="302"/>
      <c r="DXH7" s="302"/>
      <c r="DXI7" s="302"/>
      <c r="DXJ7" s="302"/>
      <c r="DXK7" s="302"/>
      <c r="DXL7" s="302"/>
      <c r="DXM7" s="302"/>
      <c r="DXN7" s="302"/>
      <c r="DXO7" s="302"/>
      <c r="DXP7" s="302"/>
      <c r="DXQ7" s="302"/>
      <c r="DXR7" s="302"/>
      <c r="DXS7" s="302"/>
      <c r="DXT7" s="302"/>
      <c r="DXU7" s="302"/>
      <c r="DXV7" s="302"/>
      <c r="DXW7" s="302"/>
      <c r="DXX7" s="302"/>
      <c r="DXY7" s="302"/>
      <c r="DXZ7" s="302"/>
      <c r="DYA7" s="302"/>
      <c r="DYB7" s="302"/>
      <c r="DYC7" s="302"/>
      <c r="DYD7" s="302"/>
      <c r="DYE7" s="302"/>
      <c r="DYF7" s="302"/>
      <c r="DYG7" s="302"/>
      <c r="DYH7" s="302"/>
      <c r="DYI7" s="302"/>
      <c r="DYJ7" s="302"/>
      <c r="DYK7" s="302"/>
      <c r="DYL7" s="302"/>
      <c r="DYM7" s="302"/>
      <c r="DYN7" s="302"/>
      <c r="DYO7" s="302"/>
      <c r="DYP7" s="302"/>
      <c r="DYQ7" s="302"/>
      <c r="DYR7" s="302"/>
      <c r="DYS7" s="302"/>
      <c r="DYT7" s="302"/>
      <c r="DYU7" s="302"/>
      <c r="DYV7" s="302"/>
      <c r="DYW7" s="302"/>
      <c r="DYX7" s="302"/>
      <c r="DYY7" s="302"/>
      <c r="DYZ7" s="302"/>
      <c r="DZA7" s="302"/>
      <c r="DZB7" s="302"/>
      <c r="DZC7" s="302"/>
      <c r="DZD7" s="302"/>
      <c r="DZE7" s="302"/>
      <c r="DZF7" s="302"/>
      <c r="DZG7" s="302"/>
      <c r="DZH7" s="302"/>
      <c r="DZI7" s="302"/>
      <c r="DZJ7" s="302"/>
      <c r="DZK7" s="302"/>
      <c r="DZL7" s="302"/>
      <c r="DZM7" s="302"/>
      <c r="DZN7" s="302"/>
      <c r="DZO7" s="302"/>
      <c r="DZP7" s="302"/>
      <c r="DZQ7" s="302"/>
      <c r="DZR7" s="302"/>
      <c r="DZS7" s="302"/>
      <c r="DZT7" s="302"/>
      <c r="DZU7" s="302"/>
      <c r="DZV7" s="302"/>
      <c r="DZW7" s="302"/>
      <c r="DZX7" s="302"/>
      <c r="DZY7" s="302"/>
      <c r="DZZ7" s="302"/>
      <c r="EAA7" s="302"/>
      <c r="EAB7" s="302"/>
      <c r="EAC7" s="302"/>
      <c r="EAD7" s="302"/>
      <c r="EAE7" s="302"/>
      <c r="EAF7" s="302"/>
      <c r="EAG7" s="302"/>
      <c r="EAH7" s="302"/>
      <c r="EAI7" s="302"/>
      <c r="EAJ7" s="302"/>
      <c r="EAK7" s="302"/>
      <c r="EAL7" s="302"/>
      <c r="EAM7" s="302"/>
      <c r="EAN7" s="302"/>
      <c r="EAO7" s="302"/>
      <c r="EAP7" s="302"/>
      <c r="EAQ7" s="302"/>
      <c r="EAR7" s="302"/>
      <c r="EAS7" s="302"/>
      <c r="EAT7" s="302"/>
      <c r="EAU7" s="302"/>
      <c r="EAV7" s="302"/>
      <c r="EAW7" s="302"/>
      <c r="EAX7" s="302"/>
      <c r="EAY7" s="302"/>
      <c r="EAZ7" s="302"/>
      <c r="EBA7" s="302"/>
      <c r="EBB7" s="302"/>
      <c r="EBC7" s="302"/>
      <c r="EBD7" s="302"/>
      <c r="EBE7" s="302"/>
      <c r="EBF7" s="302"/>
      <c r="EBG7" s="302"/>
      <c r="EBH7" s="302"/>
      <c r="EBI7" s="302"/>
      <c r="EBJ7" s="302"/>
      <c r="EBK7" s="302"/>
      <c r="EBL7" s="302"/>
      <c r="EBM7" s="302"/>
      <c r="EBN7" s="302"/>
      <c r="EBO7" s="302"/>
      <c r="EBP7" s="302"/>
      <c r="EBQ7" s="302"/>
      <c r="EBR7" s="302"/>
      <c r="EBS7" s="302"/>
      <c r="EBT7" s="302"/>
      <c r="EBU7" s="302"/>
      <c r="EBV7" s="302"/>
      <c r="EBW7" s="302"/>
      <c r="EBX7" s="302"/>
      <c r="EBY7" s="302"/>
      <c r="EBZ7" s="302"/>
      <c r="ECA7" s="302"/>
      <c r="ECB7" s="302"/>
      <c r="ECC7" s="302"/>
      <c r="ECD7" s="302"/>
      <c r="ECE7" s="302"/>
      <c r="ECF7" s="302"/>
      <c r="ECG7" s="302"/>
      <c r="ECH7" s="302"/>
      <c r="ECI7" s="302"/>
      <c r="ECJ7" s="302"/>
      <c r="ECK7" s="302"/>
      <c r="ECL7" s="302"/>
      <c r="ECM7" s="302"/>
      <c r="ECN7" s="302"/>
      <c r="ECO7" s="302"/>
      <c r="ECP7" s="302"/>
      <c r="ECQ7" s="302"/>
      <c r="ECR7" s="302"/>
      <c r="ECS7" s="302"/>
      <c r="ECT7" s="302"/>
      <c r="ECU7" s="302"/>
      <c r="ECV7" s="302"/>
      <c r="ECW7" s="302"/>
      <c r="ECX7" s="302"/>
      <c r="ECY7" s="302"/>
      <c r="ECZ7" s="302"/>
      <c r="EDA7" s="302"/>
      <c r="EDB7" s="302"/>
      <c r="EDC7" s="302"/>
      <c r="EDD7" s="302"/>
      <c r="EDE7" s="302"/>
      <c r="EDF7" s="302"/>
      <c r="EDG7" s="302"/>
      <c r="EDH7" s="302"/>
      <c r="EDI7" s="302"/>
      <c r="EDJ7" s="302"/>
      <c r="EDK7" s="302"/>
      <c r="EDL7" s="302"/>
      <c r="EDM7" s="302"/>
      <c r="EDN7" s="302"/>
      <c r="EDO7" s="302"/>
      <c r="EDP7" s="302"/>
      <c r="EDQ7" s="302"/>
      <c r="EDR7" s="302"/>
      <c r="EDS7" s="302"/>
      <c r="EDT7" s="302"/>
      <c r="EDU7" s="302"/>
      <c r="EDV7" s="302"/>
      <c r="EDW7" s="302"/>
      <c r="EDX7" s="302"/>
      <c r="EDY7" s="302"/>
      <c r="EDZ7" s="302"/>
      <c r="EEA7" s="302"/>
      <c r="EEB7" s="302"/>
      <c r="EEC7" s="302"/>
      <c r="EED7" s="302"/>
      <c r="EEE7" s="302"/>
      <c r="EEF7" s="302"/>
      <c r="EEG7" s="302"/>
      <c r="EEH7" s="302"/>
      <c r="EEI7" s="302"/>
      <c r="EEJ7" s="302"/>
      <c r="EEK7" s="302"/>
      <c r="EEL7" s="302"/>
      <c r="EEM7" s="302"/>
      <c r="EEN7" s="302"/>
      <c r="EEO7" s="302"/>
      <c r="EEP7" s="302"/>
      <c r="EEQ7" s="302"/>
      <c r="EER7" s="302"/>
      <c r="EES7" s="302"/>
      <c r="EET7" s="302"/>
      <c r="EEU7" s="302"/>
      <c r="EEV7" s="302"/>
      <c r="EEW7" s="302"/>
      <c r="EEX7" s="302"/>
      <c r="EEY7" s="302"/>
      <c r="EEZ7" s="302"/>
      <c r="EFA7" s="302"/>
      <c r="EFB7" s="302"/>
      <c r="EFC7" s="302"/>
      <c r="EFD7" s="302"/>
      <c r="EFE7" s="302"/>
      <c r="EFF7" s="302"/>
      <c r="EFG7" s="302"/>
      <c r="EFH7" s="302"/>
      <c r="EFI7" s="302"/>
      <c r="EFJ7" s="302"/>
      <c r="EFK7" s="302"/>
      <c r="EFL7" s="302"/>
      <c r="EFM7" s="302"/>
      <c r="EFN7" s="302"/>
      <c r="EFO7" s="302"/>
      <c r="EFP7" s="302"/>
      <c r="EFQ7" s="302"/>
      <c r="EFR7" s="302"/>
      <c r="EFS7" s="302"/>
      <c r="EFT7" s="302"/>
      <c r="EFU7" s="302"/>
      <c r="EFV7" s="302"/>
      <c r="EFW7" s="302"/>
      <c r="EFX7" s="302"/>
      <c r="EFY7" s="302"/>
      <c r="EFZ7" s="302"/>
      <c r="EGA7" s="302"/>
      <c r="EGB7" s="302"/>
      <c r="EGC7" s="302"/>
      <c r="EGD7" s="302"/>
      <c r="EGE7" s="302"/>
      <c r="EGF7" s="302"/>
      <c r="EGG7" s="302"/>
      <c r="EGH7" s="302"/>
      <c r="EGI7" s="302"/>
      <c r="EGJ7" s="302"/>
      <c r="EGK7" s="302"/>
      <c r="EGL7" s="302"/>
      <c r="EGM7" s="302"/>
      <c r="EGN7" s="302"/>
      <c r="EGO7" s="302"/>
      <c r="EGP7" s="302"/>
      <c r="EGQ7" s="302"/>
      <c r="EGR7" s="302"/>
      <c r="EGS7" s="302"/>
      <c r="EGT7" s="302"/>
      <c r="EGU7" s="302"/>
      <c r="EGV7" s="302"/>
      <c r="EGW7" s="302"/>
      <c r="EGX7" s="302"/>
      <c r="EGY7" s="302"/>
      <c r="EGZ7" s="302"/>
      <c r="EHA7" s="302"/>
      <c r="EHB7" s="302"/>
      <c r="EHC7" s="302"/>
      <c r="EHD7" s="302"/>
      <c r="EHE7" s="302"/>
      <c r="EHF7" s="302"/>
      <c r="EHG7" s="302"/>
      <c r="EHH7" s="302"/>
      <c r="EHI7" s="302"/>
      <c r="EHJ7" s="302"/>
      <c r="EHK7" s="302"/>
      <c r="EHL7" s="302"/>
      <c r="EHM7" s="302"/>
      <c r="EHN7" s="302"/>
      <c r="EHO7" s="302"/>
      <c r="EHP7" s="302"/>
      <c r="EHQ7" s="302"/>
      <c r="EHR7" s="302"/>
      <c r="EHS7" s="302"/>
      <c r="EHT7" s="302"/>
      <c r="EHU7" s="302"/>
      <c r="EHV7" s="302"/>
      <c r="EHW7" s="302"/>
      <c r="EHX7" s="302"/>
      <c r="EHY7" s="302"/>
      <c r="EHZ7" s="302"/>
      <c r="EIA7" s="302"/>
      <c r="EIB7" s="302"/>
      <c r="EIC7" s="302"/>
      <c r="EID7" s="302"/>
      <c r="EIE7" s="302"/>
      <c r="EIF7" s="302"/>
      <c r="EIG7" s="302"/>
      <c r="EIH7" s="302"/>
      <c r="EII7" s="302"/>
      <c r="EIJ7" s="302"/>
      <c r="EIK7" s="302"/>
      <c r="EIL7" s="302"/>
      <c r="EIM7" s="302"/>
      <c r="EIN7" s="302"/>
      <c r="EIO7" s="302"/>
      <c r="EIP7" s="302"/>
      <c r="EIQ7" s="302"/>
      <c r="EIR7" s="302"/>
      <c r="EIS7" s="302"/>
      <c r="EIT7" s="302"/>
      <c r="EIU7" s="302"/>
      <c r="EIV7" s="302"/>
      <c r="EIW7" s="302"/>
      <c r="EIX7" s="302"/>
      <c r="EIY7" s="302"/>
      <c r="EIZ7" s="302"/>
      <c r="EJA7" s="302"/>
      <c r="EJB7" s="302"/>
      <c r="EJC7" s="302"/>
      <c r="EJD7" s="302"/>
      <c r="EJE7" s="302"/>
      <c r="EJF7" s="302"/>
      <c r="EJG7" s="302"/>
      <c r="EJH7" s="302"/>
      <c r="EJI7" s="302"/>
      <c r="EJJ7" s="302"/>
      <c r="EJK7" s="302"/>
      <c r="EJL7" s="302"/>
      <c r="EJM7" s="302"/>
      <c r="EJN7" s="302"/>
      <c r="EJO7" s="302"/>
      <c r="EJP7" s="302"/>
      <c r="EJQ7" s="302"/>
      <c r="EJR7" s="302"/>
      <c r="EJS7" s="302"/>
      <c r="EJT7" s="302"/>
      <c r="EJU7" s="302"/>
      <c r="EJV7" s="302"/>
      <c r="EJW7" s="302"/>
      <c r="EJX7" s="302"/>
      <c r="EJY7" s="302"/>
      <c r="EJZ7" s="302"/>
      <c r="EKA7" s="302"/>
      <c r="EKB7" s="302"/>
      <c r="EKC7" s="302"/>
      <c r="EKD7" s="302"/>
      <c r="EKE7" s="302"/>
      <c r="EKF7" s="302"/>
      <c r="EKG7" s="302"/>
      <c r="EKH7" s="302"/>
      <c r="EKI7" s="302"/>
      <c r="EKJ7" s="302"/>
      <c r="EKK7" s="302"/>
      <c r="EKL7" s="302"/>
      <c r="EKM7" s="302"/>
      <c r="EKN7" s="302"/>
      <c r="EKO7" s="302"/>
      <c r="EKP7" s="302"/>
      <c r="EKQ7" s="302"/>
      <c r="EKR7" s="302"/>
      <c r="EKS7" s="302"/>
      <c r="EKT7" s="302"/>
      <c r="EKU7" s="302"/>
      <c r="EKV7" s="302"/>
      <c r="EKW7" s="302"/>
      <c r="EKX7" s="302"/>
      <c r="EKY7" s="302"/>
      <c r="EKZ7" s="302"/>
      <c r="ELA7" s="302"/>
      <c r="ELB7" s="302"/>
      <c r="ELC7" s="302"/>
      <c r="ELD7" s="302"/>
      <c r="ELE7" s="302"/>
      <c r="ELF7" s="302"/>
      <c r="ELG7" s="302"/>
      <c r="ELH7" s="302"/>
      <c r="ELI7" s="302"/>
      <c r="ELJ7" s="302"/>
      <c r="ELK7" s="302"/>
      <c r="ELL7" s="302"/>
      <c r="ELM7" s="302"/>
      <c r="ELN7" s="302"/>
      <c r="ELO7" s="302"/>
      <c r="ELP7" s="302"/>
      <c r="ELQ7" s="302"/>
      <c r="ELR7" s="302"/>
      <c r="ELS7" s="302"/>
      <c r="ELT7" s="302"/>
      <c r="ELU7" s="302"/>
      <c r="ELV7" s="302"/>
      <c r="ELW7" s="302"/>
      <c r="ELX7" s="302"/>
      <c r="ELY7" s="302"/>
      <c r="ELZ7" s="302"/>
      <c r="EMA7" s="302"/>
      <c r="EMB7" s="302"/>
      <c r="EMC7" s="302"/>
      <c r="EMD7" s="302"/>
      <c r="EME7" s="302"/>
      <c r="EMF7" s="302"/>
      <c r="EMG7" s="302"/>
      <c r="EMH7" s="302"/>
      <c r="EMI7" s="302"/>
      <c r="EMJ7" s="302"/>
      <c r="EMK7" s="302"/>
      <c r="EML7" s="302"/>
      <c r="EMM7" s="302"/>
      <c r="EMN7" s="302"/>
      <c r="EMO7" s="302"/>
      <c r="EMP7" s="302"/>
      <c r="EMQ7" s="302"/>
      <c r="EMR7" s="302"/>
      <c r="EMS7" s="302"/>
      <c r="EMT7" s="302"/>
      <c r="EMU7" s="302"/>
      <c r="EMV7" s="302"/>
      <c r="EMW7" s="302"/>
      <c r="EMX7" s="302"/>
      <c r="EMY7" s="302"/>
      <c r="EMZ7" s="302"/>
      <c r="ENA7" s="302"/>
      <c r="ENB7" s="302"/>
      <c r="ENC7" s="302"/>
      <c r="END7" s="302"/>
      <c r="ENE7" s="302"/>
      <c r="ENF7" s="302"/>
      <c r="ENG7" s="302"/>
      <c r="ENH7" s="302"/>
      <c r="ENI7" s="302"/>
      <c r="ENJ7" s="302"/>
      <c r="ENK7" s="302"/>
      <c r="ENL7" s="302"/>
      <c r="ENM7" s="302"/>
      <c r="ENN7" s="302"/>
      <c r="ENO7" s="302"/>
      <c r="ENP7" s="302"/>
      <c r="ENQ7" s="302"/>
      <c r="ENR7" s="302"/>
      <c r="ENS7" s="302"/>
      <c r="ENT7" s="302"/>
      <c r="ENU7" s="302"/>
      <c r="ENV7" s="302"/>
      <c r="ENW7" s="302"/>
      <c r="ENX7" s="302"/>
      <c r="ENY7" s="302"/>
      <c r="ENZ7" s="302"/>
      <c r="EOA7" s="302"/>
      <c r="EOB7" s="302"/>
      <c r="EOC7" s="302"/>
      <c r="EOD7" s="302"/>
      <c r="EOE7" s="302"/>
      <c r="EOF7" s="302"/>
      <c r="EOG7" s="302"/>
      <c r="EOH7" s="302"/>
      <c r="EOI7" s="302"/>
      <c r="EOJ7" s="302"/>
      <c r="EOK7" s="302"/>
      <c r="EOL7" s="302"/>
      <c r="EOM7" s="302"/>
      <c r="EON7" s="302"/>
      <c r="EOO7" s="302"/>
      <c r="EOP7" s="302"/>
      <c r="EOQ7" s="302"/>
      <c r="EOR7" s="302"/>
      <c r="EOS7" s="302"/>
      <c r="EOT7" s="302"/>
      <c r="EOU7" s="302"/>
      <c r="EOV7" s="302"/>
      <c r="EOW7" s="302"/>
      <c r="EOX7" s="302"/>
      <c r="EOY7" s="302"/>
      <c r="EOZ7" s="302"/>
      <c r="EPA7" s="302"/>
      <c r="EPB7" s="302"/>
      <c r="EPC7" s="302"/>
      <c r="EPD7" s="302"/>
      <c r="EPE7" s="302"/>
      <c r="EPF7" s="302"/>
      <c r="EPG7" s="302"/>
      <c r="EPH7" s="302"/>
      <c r="EPI7" s="302"/>
      <c r="EPJ7" s="302"/>
      <c r="EPK7" s="302"/>
      <c r="EPL7" s="302"/>
      <c r="EPM7" s="302"/>
      <c r="EPN7" s="302"/>
      <c r="EPO7" s="302"/>
      <c r="EPP7" s="302"/>
      <c r="EPQ7" s="302"/>
      <c r="EPR7" s="302"/>
      <c r="EPS7" s="302"/>
      <c r="EPT7" s="302"/>
      <c r="EPU7" s="302"/>
      <c r="EPV7" s="302"/>
      <c r="EPW7" s="302"/>
      <c r="EPX7" s="302"/>
      <c r="EPY7" s="302"/>
      <c r="EPZ7" s="302"/>
      <c r="EQA7" s="302"/>
      <c r="EQB7" s="302"/>
      <c r="EQC7" s="302"/>
      <c r="EQD7" s="302"/>
      <c r="EQE7" s="302"/>
      <c r="EQF7" s="302"/>
      <c r="EQG7" s="302"/>
      <c r="EQH7" s="302"/>
      <c r="EQI7" s="302"/>
      <c r="EQJ7" s="302"/>
      <c r="EQK7" s="302"/>
      <c r="EQL7" s="302"/>
      <c r="EQM7" s="302"/>
      <c r="EQN7" s="302"/>
      <c r="EQO7" s="302"/>
      <c r="EQP7" s="302"/>
      <c r="EQQ7" s="302"/>
      <c r="EQR7" s="302"/>
      <c r="EQS7" s="302"/>
      <c r="EQT7" s="302"/>
      <c r="EQU7" s="302"/>
      <c r="EQV7" s="302"/>
      <c r="EQW7" s="302"/>
      <c r="EQX7" s="302"/>
      <c r="EQY7" s="302"/>
      <c r="EQZ7" s="302"/>
      <c r="ERA7" s="302"/>
      <c r="ERB7" s="302"/>
      <c r="ERC7" s="302"/>
      <c r="ERD7" s="302"/>
      <c r="ERE7" s="302"/>
      <c r="ERF7" s="302"/>
      <c r="ERG7" s="302"/>
      <c r="ERH7" s="302"/>
      <c r="ERI7" s="302"/>
      <c r="ERJ7" s="302"/>
      <c r="ERK7" s="302"/>
      <c r="ERL7" s="302"/>
      <c r="ERM7" s="302"/>
      <c r="ERN7" s="302"/>
      <c r="ERO7" s="302"/>
      <c r="ERP7" s="302"/>
      <c r="ERQ7" s="302"/>
      <c r="ERR7" s="302"/>
      <c r="ERS7" s="302"/>
      <c r="ERT7" s="302"/>
      <c r="ERU7" s="302"/>
      <c r="ERV7" s="302"/>
      <c r="ERW7" s="302"/>
      <c r="ERX7" s="302"/>
      <c r="ERY7" s="302"/>
      <c r="ERZ7" s="302"/>
      <c r="ESA7" s="302"/>
      <c r="ESB7" s="302"/>
      <c r="ESC7" s="302"/>
      <c r="ESD7" s="302"/>
      <c r="ESE7" s="302"/>
      <c r="ESF7" s="302"/>
      <c r="ESG7" s="302"/>
      <c r="ESH7" s="302"/>
      <c r="ESI7" s="302"/>
      <c r="ESJ7" s="302"/>
      <c r="ESK7" s="302"/>
      <c r="ESL7" s="302"/>
      <c r="ESM7" s="302"/>
      <c r="ESN7" s="302"/>
      <c r="ESO7" s="302"/>
      <c r="ESP7" s="302"/>
      <c r="ESQ7" s="302"/>
      <c r="ESR7" s="302"/>
      <c r="ESS7" s="302"/>
      <c r="EST7" s="302"/>
      <c r="ESU7" s="302"/>
      <c r="ESV7" s="302"/>
      <c r="ESW7" s="302"/>
      <c r="ESX7" s="302"/>
      <c r="ESY7" s="302"/>
      <c r="ESZ7" s="302"/>
      <c r="ETA7" s="302"/>
      <c r="ETB7" s="302"/>
      <c r="ETC7" s="302"/>
      <c r="ETD7" s="302"/>
      <c r="ETE7" s="302"/>
      <c r="ETF7" s="302"/>
      <c r="ETG7" s="302"/>
      <c r="ETH7" s="302"/>
      <c r="ETI7" s="302"/>
      <c r="ETJ7" s="302"/>
      <c r="ETK7" s="302"/>
      <c r="ETL7" s="302"/>
      <c r="ETM7" s="302"/>
      <c r="ETN7" s="302"/>
      <c r="ETO7" s="302"/>
      <c r="ETP7" s="302"/>
      <c r="ETQ7" s="302"/>
      <c r="ETR7" s="302"/>
      <c r="ETS7" s="302"/>
      <c r="ETT7" s="302"/>
      <c r="ETU7" s="302"/>
      <c r="ETV7" s="302"/>
      <c r="ETW7" s="302"/>
      <c r="ETX7" s="302"/>
      <c r="ETY7" s="302"/>
      <c r="ETZ7" s="302"/>
      <c r="EUA7" s="302"/>
      <c r="EUB7" s="302"/>
      <c r="EUC7" s="302"/>
      <c r="EUD7" s="302"/>
      <c r="EUE7" s="302"/>
      <c r="EUF7" s="302"/>
      <c r="EUG7" s="302"/>
      <c r="EUH7" s="302"/>
      <c r="EUI7" s="302"/>
      <c r="EUJ7" s="302"/>
      <c r="EUK7" s="302"/>
      <c r="EUL7" s="302"/>
      <c r="EUM7" s="302"/>
      <c r="EUN7" s="302"/>
      <c r="EUO7" s="302"/>
      <c r="EUP7" s="302"/>
      <c r="EUQ7" s="302"/>
      <c r="EUR7" s="302"/>
      <c r="EUS7" s="302"/>
      <c r="EUT7" s="302"/>
      <c r="EUU7" s="302"/>
      <c r="EUV7" s="302"/>
      <c r="EUW7" s="302"/>
      <c r="EUX7" s="302"/>
      <c r="EUY7" s="302"/>
      <c r="EUZ7" s="302"/>
      <c r="EVA7" s="302"/>
      <c r="EVB7" s="302"/>
      <c r="EVC7" s="302"/>
      <c r="EVD7" s="302"/>
      <c r="EVE7" s="302"/>
      <c r="EVF7" s="302"/>
      <c r="EVG7" s="302"/>
      <c r="EVH7" s="302"/>
      <c r="EVI7" s="302"/>
      <c r="EVJ7" s="302"/>
      <c r="EVK7" s="302"/>
      <c r="EVL7" s="302"/>
      <c r="EVM7" s="302"/>
      <c r="EVN7" s="302"/>
      <c r="EVO7" s="302"/>
      <c r="EVP7" s="302"/>
      <c r="EVQ7" s="302"/>
      <c r="EVR7" s="302"/>
      <c r="EVS7" s="302"/>
      <c r="EVT7" s="302"/>
      <c r="EVU7" s="302"/>
      <c r="EVV7" s="302"/>
      <c r="EVW7" s="302"/>
      <c r="EVX7" s="302"/>
      <c r="EVY7" s="302"/>
      <c r="EVZ7" s="302"/>
      <c r="EWA7" s="302"/>
      <c r="EWB7" s="302"/>
      <c r="EWC7" s="302"/>
      <c r="EWD7" s="302"/>
      <c r="EWE7" s="302"/>
      <c r="EWF7" s="302"/>
      <c r="EWG7" s="302"/>
      <c r="EWH7" s="302"/>
      <c r="EWI7" s="302"/>
      <c r="EWJ7" s="302"/>
      <c r="EWK7" s="302"/>
      <c r="EWL7" s="302"/>
      <c r="EWM7" s="302"/>
      <c r="EWN7" s="302"/>
      <c r="EWO7" s="302"/>
      <c r="EWP7" s="302"/>
      <c r="EWQ7" s="302"/>
      <c r="EWR7" s="302"/>
      <c r="EWS7" s="302"/>
      <c r="EWT7" s="302"/>
      <c r="EWU7" s="302"/>
      <c r="EWV7" s="302"/>
      <c r="EWW7" s="302"/>
      <c r="EWX7" s="302"/>
      <c r="EWY7" s="302"/>
      <c r="EWZ7" s="302"/>
      <c r="EXA7" s="302"/>
      <c r="EXB7" s="302"/>
      <c r="EXC7" s="302"/>
      <c r="EXD7" s="302"/>
      <c r="EXE7" s="302"/>
      <c r="EXF7" s="302"/>
      <c r="EXG7" s="302"/>
      <c r="EXH7" s="302"/>
      <c r="EXI7" s="302"/>
      <c r="EXJ7" s="302"/>
      <c r="EXK7" s="302"/>
      <c r="EXL7" s="302"/>
      <c r="EXM7" s="302"/>
      <c r="EXN7" s="302"/>
      <c r="EXO7" s="302"/>
      <c r="EXP7" s="302"/>
      <c r="EXQ7" s="302"/>
      <c r="EXR7" s="302"/>
      <c r="EXS7" s="302"/>
      <c r="EXT7" s="302"/>
      <c r="EXU7" s="302"/>
      <c r="EXV7" s="302"/>
      <c r="EXW7" s="302"/>
      <c r="EXX7" s="302"/>
      <c r="EXY7" s="302"/>
      <c r="EXZ7" s="302"/>
      <c r="EYA7" s="302"/>
      <c r="EYB7" s="302"/>
      <c r="EYC7" s="302"/>
      <c r="EYD7" s="302"/>
      <c r="EYE7" s="302"/>
      <c r="EYF7" s="302"/>
      <c r="EYG7" s="302"/>
      <c r="EYH7" s="302"/>
      <c r="EYI7" s="302"/>
      <c r="EYJ7" s="302"/>
      <c r="EYK7" s="302"/>
      <c r="EYL7" s="302"/>
      <c r="EYM7" s="302"/>
      <c r="EYN7" s="302"/>
      <c r="EYO7" s="302"/>
      <c r="EYP7" s="302"/>
      <c r="EYQ7" s="302"/>
      <c r="EYR7" s="302"/>
      <c r="EYS7" s="302"/>
      <c r="EYT7" s="302"/>
      <c r="EYU7" s="302"/>
      <c r="EYV7" s="302"/>
      <c r="EYW7" s="302"/>
      <c r="EYX7" s="302"/>
      <c r="EYY7" s="302"/>
      <c r="EYZ7" s="302"/>
      <c r="EZA7" s="302"/>
      <c r="EZB7" s="302"/>
      <c r="EZC7" s="302"/>
      <c r="EZD7" s="302"/>
      <c r="EZE7" s="302"/>
      <c r="EZF7" s="302"/>
      <c r="EZG7" s="302"/>
      <c r="EZH7" s="302"/>
      <c r="EZI7" s="302"/>
      <c r="EZJ7" s="302"/>
      <c r="EZK7" s="302"/>
      <c r="EZL7" s="302"/>
      <c r="EZM7" s="302"/>
      <c r="EZN7" s="302"/>
      <c r="EZO7" s="302"/>
      <c r="EZP7" s="302"/>
      <c r="EZQ7" s="302"/>
      <c r="EZR7" s="302"/>
      <c r="EZS7" s="302"/>
      <c r="EZT7" s="302"/>
      <c r="EZU7" s="302"/>
      <c r="EZV7" s="302"/>
      <c r="EZW7" s="302"/>
      <c r="EZX7" s="302"/>
      <c r="EZY7" s="302"/>
      <c r="EZZ7" s="302"/>
      <c r="FAA7" s="302"/>
      <c r="FAB7" s="302"/>
      <c r="FAC7" s="302"/>
      <c r="FAD7" s="302"/>
      <c r="FAE7" s="302"/>
      <c r="FAF7" s="302"/>
      <c r="FAG7" s="302"/>
      <c r="FAH7" s="302"/>
      <c r="FAI7" s="302"/>
      <c r="FAJ7" s="302"/>
      <c r="FAK7" s="302"/>
      <c r="FAL7" s="302"/>
      <c r="FAM7" s="302"/>
      <c r="FAN7" s="302"/>
      <c r="FAO7" s="302"/>
      <c r="FAP7" s="302"/>
      <c r="FAQ7" s="302"/>
      <c r="FAR7" s="302"/>
      <c r="FAS7" s="302"/>
      <c r="FAT7" s="302"/>
      <c r="FAU7" s="302"/>
      <c r="FAV7" s="302"/>
      <c r="FAW7" s="302"/>
      <c r="FAX7" s="302"/>
      <c r="FAY7" s="302"/>
      <c r="FAZ7" s="302"/>
      <c r="FBA7" s="302"/>
      <c r="FBB7" s="302"/>
      <c r="FBC7" s="302"/>
      <c r="FBD7" s="302"/>
      <c r="FBE7" s="302"/>
      <c r="FBF7" s="302"/>
      <c r="FBG7" s="302"/>
      <c r="FBH7" s="302"/>
      <c r="FBI7" s="302"/>
      <c r="FBJ7" s="302"/>
      <c r="FBK7" s="302"/>
      <c r="FBL7" s="302"/>
      <c r="FBM7" s="302"/>
      <c r="FBN7" s="302"/>
      <c r="FBO7" s="302"/>
      <c r="FBP7" s="302"/>
      <c r="FBQ7" s="302"/>
      <c r="FBR7" s="302"/>
      <c r="FBS7" s="302"/>
      <c r="FBT7" s="302"/>
      <c r="FBU7" s="302"/>
      <c r="FBV7" s="302"/>
      <c r="FBW7" s="302"/>
      <c r="FBX7" s="302"/>
      <c r="FBY7" s="302"/>
      <c r="FBZ7" s="302"/>
      <c r="FCA7" s="302"/>
      <c r="FCB7" s="302"/>
      <c r="FCC7" s="302"/>
      <c r="FCD7" s="302"/>
      <c r="FCE7" s="302"/>
      <c r="FCF7" s="302"/>
      <c r="FCG7" s="302"/>
      <c r="FCH7" s="302"/>
      <c r="FCI7" s="302"/>
      <c r="FCJ7" s="302"/>
      <c r="FCK7" s="302"/>
      <c r="FCL7" s="302"/>
      <c r="FCM7" s="302"/>
      <c r="FCN7" s="302"/>
      <c r="FCO7" s="302"/>
      <c r="FCP7" s="302"/>
      <c r="FCQ7" s="302"/>
      <c r="FCR7" s="302"/>
      <c r="FCS7" s="302"/>
      <c r="FCT7" s="302"/>
      <c r="FCU7" s="302"/>
      <c r="FCV7" s="302"/>
      <c r="FCW7" s="302"/>
      <c r="FCX7" s="302"/>
      <c r="FCY7" s="302"/>
      <c r="FCZ7" s="302"/>
      <c r="FDA7" s="302"/>
      <c r="FDB7" s="302"/>
      <c r="FDC7" s="302"/>
      <c r="FDD7" s="302"/>
      <c r="FDE7" s="302"/>
      <c r="FDF7" s="302"/>
      <c r="FDG7" s="302"/>
      <c r="FDH7" s="302"/>
      <c r="FDI7" s="302"/>
      <c r="FDJ7" s="302"/>
      <c r="FDK7" s="302"/>
      <c r="FDL7" s="302"/>
      <c r="FDM7" s="302"/>
      <c r="FDN7" s="302"/>
      <c r="FDO7" s="302"/>
      <c r="FDP7" s="302"/>
      <c r="FDQ7" s="302"/>
      <c r="FDR7" s="302"/>
      <c r="FDS7" s="302"/>
      <c r="FDT7" s="302"/>
      <c r="FDU7" s="302"/>
      <c r="FDV7" s="302"/>
      <c r="FDW7" s="302"/>
      <c r="FDX7" s="302"/>
      <c r="FDY7" s="302"/>
      <c r="FDZ7" s="302"/>
      <c r="FEA7" s="302"/>
      <c r="FEB7" s="302"/>
      <c r="FEC7" s="302"/>
      <c r="FED7" s="302"/>
      <c r="FEE7" s="302"/>
      <c r="FEF7" s="302"/>
      <c r="FEG7" s="302"/>
      <c r="FEH7" s="302"/>
      <c r="FEI7" s="302"/>
      <c r="FEJ7" s="302"/>
      <c r="FEK7" s="302"/>
      <c r="FEL7" s="302"/>
      <c r="FEM7" s="302"/>
      <c r="FEN7" s="302"/>
      <c r="FEO7" s="302"/>
      <c r="FEP7" s="302"/>
      <c r="FEQ7" s="302"/>
      <c r="FER7" s="302"/>
      <c r="FES7" s="302"/>
      <c r="FET7" s="302"/>
      <c r="FEU7" s="302"/>
      <c r="FEV7" s="302"/>
      <c r="FEW7" s="302"/>
      <c r="FEX7" s="302"/>
      <c r="FEY7" s="302"/>
      <c r="FEZ7" s="302"/>
      <c r="FFA7" s="302"/>
      <c r="FFB7" s="302"/>
      <c r="FFC7" s="302"/>
      <c r="FFD7" s="302"/>
      <c r="FFE7" s="302"/>
      <c r="FFF7" s="302"/>
      <c r="FFG7" s="302"/>
      <c r="FFH7" s="302"/>
      <c r="FFI7" s="302"/>
      <c r="FFJ7" s="302"/>
      <c r="FFK7" s="302"/>
      <c r="FFL7" s="302"/>
      <c r="FFM7" s="302"/>
      <c r="FFN7" s="302"/>
      <c r="FFO7" s="302"/>
      <c r="FFP7" s="302"/>
      <c r="FFQ7" s="302"/>
      <c r="FFR7" s="302"/>
      <c r="FFS7" s="302"/>
      <c r="FFT7" s="302"/>
      <c r="FFU7" s="302"/>
      <c r="FFV7" s="302"/>
      <c r="FFW7" s="302"/>
      <c r="FFX7" s="302"/>
      <c r="FFY7" s="302"/>
      <c r="FFZ7" s="302"/>
      <c r="FGA7" s="302"/>
      <c r="FGB7" s="302"/>
      <c r="FGC7" s="302"/>
      <c r="FGD7" s="302"/>
      <c r="FGE7" s="302"/>
      <c r="FGF7" s="302"/>
      <c r="FGG7" s="302"/>
      <c r="FGH7" s="302"/>
      <c r="FGI7" s="302"/>
      <c r="FGJ7" s="302"/>
      <c r="FGK7" s="302"/>
      <c r="FGL7" s="302"/>
      <c r="FGM7" s="302"/>
      <c r="FGN7" s="302"/>
      <c r="FGO7" s="302"/>
      <c r="FGP7" s="302"/>
      <c r="FGQ7" s="302"/>
      <c r="FGR7" s="302"/>
      <c r="FGS7" s="302"/>
      <c r="FGT7" s="302"/>
      <c r="FGU7" s="302"/>
      <c r="FGV7" s="302"/>
      <c r="FGW7" s="302"/>
      <c r="FGX7" s="302"/>
      <c r="FGY7" s="302"/>
      <c r="FGZ7" s="302"/>
      <c r="FHA7" s="302"/>
      <c r="FHB7" s="302"/>
      <c r="FHC7" s="302"/>
      <c r="FHD7" s="302"/>
      <c r="FHE7" s="302"/>
      <c r="FHF7" s="302"/>
      <c r="FHG7" s="302"/>
      <c r="FHH7" s="302"/>
      <c r="FHI7" s="302"/>
      <c r="FHJ7" s="302"/>
      <c r="FHK7" s="302"/>
      <c r="FHL7" s="302"/>
      <c r="FHM7" s="302"/>
      <c r="FHN7" s="302"/>
      <c r="FHO7" s="302"/>
      <c r="FHP7" s="302"/>
      <c r="FHQ7" s="302"/>
      <c r="FHR7" s="302"/>
      <c r="FHS7" s="302"/>
      <c r="FHT7" s="302"/>
      <c r="FHU7" s="302"/>
      <c r="FHV7" s="302"/>
      <c r="FHW7" s="302"/>
      <c r="FHX7" s="302"/>
      <c r="FHY7" s="302"/>
      <c r="FHZ7" s="302"/>
      <c r="FIA7" s="302"/>
      <c r="FIB7" s="302"/>
      <c r="FIC7" s="302"/>
      <c r="FID7" s="302"/>
      <c r="FIE7" s="302"/>
      <c r="FIF7" s="302"/>
      <c r="FIG7" s="302"/>
      <c r="FIH7" s="302"/>
      <c r="FII7" s="302"/>
      <c r="FIJ7" s="302"/>
      <c r="FIK7" s="302"/>
      <c r="FIL7" s="302"/>
      <c r="FIM7" s="302"/>
      <c r="FIN7" s="302"/>
      <c r="FIO7" s="302"/>
      <c r="FIP7" s="302"/>
      <c r="FIQ7" s="302"/>
      <c r="FIR7" s="302"/>
      <c r="FIS7" s="302"/>
      <c r="FIT7" s="302"/>
      <c r="FIU7" s="302"/>
      <c r="FIV7" s="302"/>
      <c r="FIW7" s="302"/>
      <c r="FIX7" s="302"/>
      <c r="FIY7" s="302"/>
      <c r="FIZ7" s="302"/>
      <c r="FJA7" s="302"/>
      <c r="FJB7" s="302"/>
      <c r="FJC7" s="302"/>
      <c r="FJD7" s="302"/>
      <c r="FJE7" s="302"/>
      <c r="FJF7" s="302"/>
      <c r="FJG7" s="302"/>
      <c r="FJH7" s="302"/>
      <c r="FJI7" s="302"/>
      <c r="FJJ7" s="302"/>
      <c r="FJK7" s="302"/>
      <c r="FJL7" s="302"/>
      <c r="FJM7" s="302"/>
      <c r="FJN7" s="302"/>
      <c r="FJO7" s="302"/>
      <c r="FJP7" s="302"/>
      <c r="FJQ7" s="302"/>
      <c r="FJR7" s="302"/>
      <c r="FJS7" s="302"/>
      <c r="FJT7" s="302"/>
      <c r="FJU7" s="302"/>
      <c r="FJV7" s="302"/>
      <c r="FJW7" s="302"/>
      <c r="FJX7" s="302"/>
      <c r="FJY7" s="302"/>
      <c r="FJZ7" s="302"/>
      <c r="FKA7" s="302"/>
      <c r="FKB7" s="302"/>
      <c r="FKC7" s="302"/>
      <c r="FKD7" s="302"/>
      <c r="FKE7" s="302"/>
      <c r="FKF7" s="302"/>
      <c r="FKG7" s="302"/>
      <c r="FKH7" s="302"/>
      <c r="FKI7" s="302"/>
      <c r="FKJ7" s="302"/>
      <c r="FKK7" s="302"/>
      <c r="FKL7" s="302"/>
      <c r="FKM7" s="302"/>
      <c r="FKN7" s="302"/>
      <c r="FKO7" s="302"/>
      <c r="FKP7" s="302"/>
      <c r="FKQ7" s="302"/>
      <c r="FKR7" s="302"/>
      <c r="FKS7" s="302"/>
      <c r="FKT7" s="302"/>
      <c r="FKU7" s="302"/>
      <c r="FKV7" s="302"/>
      <c r="FKW7" s="302"/>
      <c r="FKX7" s="302"/>
      <c r="FKY7" s="302"/>
      <c r="FKZ7" s="302"/>
      <c r="FLA7" s="302"/>
      <c r="FLB7" s="302"/>
      <c r="FLC7" s="302"/>
      <c r="FLD7" s="302"/>
      <c r="FLE7" s="302"/>
      <c r="FLF7" s="302"/>
      <c r="FLG7" s="302"/>
      <c r="FLH7" s="302"/>
      <c r="FLI7" s="302"/>
      <c r="FLJ7" s="302"/>
      <c r="FLK7" s="302"/>
      <c r="FLL7" s="302"/>
      <c r="FLM7" s="302"/>
      <c r="FLN7" s="302"/>
      <c r="FLO7" s="302"/>
      <c r="FLP7" s="302"/>
      <c r="FLQ7" s="302"/>
      <c r="FLR7" s="302"/>
      <c r="FLS7" s="302"/>
      <c r="FLT7" s="302"/>
      <c r="FLU7" s="302"/>
      <c r="FLV7" s="302"/>
      <c r="FLW7" s="302"/>
      <c r="FLX7" s="302"/>
      <c r="FLY7" s="302"/>
      <c r="FLZ7" s="302"/>
      <c r="FMA7" s="302"/>
      <c r="FMB7" s="302"/>
      <c r="FMC7" s="302"/>
      <c r="FMD7" s="302"/>
      <c r="FME7" s="302"/>
      <c r="FMF7" s="302"/>
      <c r="FMG7" s="302"/>
      <c r="FMH7" s="302"/>
      <c r="FMI7" s="302"/>
      <c r="FMJ7" s="302"/>
      <c r="FMK7" s="302"/>
      <c r="FML7" s="302"/>
      <c r="FMM7" s="302"/>
      <c r="FMN7" s="302"/>
      <c r="FMO7" s="302"/>
      <c r="FMP7" s="302"/>
      <c r="FMQ7" s="302"/>
      <c r="FMR7" s="302"/>
      <c r="FMS7" s="302"/>
      <c r="FMT7" s="302"/>
      <c r="FMU7" s="302"/>
      <c r="FMV7" s="302"/>
      <c r="FMW7" s="302"/>
      <c r="FMX7" s="302"/>
      <c r="FMY7" s="302"/>
      <c r="FMZ7" s="302"/>
      <c r="FNA7" s="302"/>
      <c r="FNB7" s="302"/>
      <c r="FNC7" s="302"/>
      <c r="FND7" s="302"/>
      <c r="FNE7" s="302"/>
      <c r="FNF7" s="302"/>
      <c r="FNG7" s="302"/>
      <c r="FNH7" s="302"/>
      <c r="FNI7" s="302"/>
      <c r="FNJ7" s="302"/>
      <c r="FNK7" s="302"/>
      <c r="FNL7" s="302"/>
      <c r="FNM7" s="302"/>
      <c r="FNN7" s="302"/>
      <c r="FNO7" s="302"/>
      <c r="FNP7" s="302"/>
      <c r="FNQ7" s="302"/>
      <c r="FNR7" s="302"/>
      <c r="FNS7" s="302"/>
      <c r="FNT7" s="302"/>
      <c r="FNU7" s="302"/>
      <c r="FNV7" s="302"/>
      <c r="FNW7" s="302"/>
      <c r="FNX7" s="302"/>
      <c r="FNY7" s="302"/>
      <c r="FNZ7" s="302"/>
      <c r="FOA7" s="302"/>
      <c r="FOB7" s="302"/>
      <c r="FOC7" s="302"/>
      <c r="FOD7" s="302"/>
      <c r="FOE7" s="302"/>
      <c r="FOF7" s="302"/>
      <c r="FOG7" s="302"/>
      <c r="FOH7" s="302"/>
      <c r="FOI7" s="302"/>
      <c r="FOJ7" s="302"/>
      <c r="FOK7" s="302"/>
      <c r="FOL7" s="302"/>
      <c r="FOM7" s="302"/>
      <c r="FON7" s="302"/>
      <c r="FOO7" s="302"/>
      <c r="FOP7" s="302"/>
      <c r="FOQ7" s="302"/>
      <c r="FOR7" s="302"/>
      <c r="FOS7" s="302"/>
      <c r="FOT7" s="302"/>
      <c r="FOU7" s="302"/>
      <c r="FOV7" s="302"/>
      <c r="FOW7" s="302"/>
      <c r="FOX7" s="302"/>
      <c r="FOY7" s="302"/>
      <c r="FOZ7" s="302"/>
      <c r="FPA7" s="302"/>
      <c r="FPB7" s="302"/>
      <c r="FPC7" s="302"/>
      <c r="FPD7" s="302"/>
      <c r="FPE7" s="302"/>
      <c r="FPF7" s="302"/>
      <c r="FPG7" s="302"/>
      <c r="FPH7" s="302"/>
      <c r="FPI7" s="302"/>
      <c r="FPJ7" s="302"/>
      <c r="FPK7" s="302"/>
      <c r="FPL7" s="302"/>
      <c r="FPM7" s="302"/>
      <c r="FPN7" s="302"/>
      <c r="FPO7" s="302"/>
      <c r="FPP7" s="302"/>
      <c r="FPQ7" s="302"/>
      <c r="FPR7" s="302"/>
      <c r="FPS7" s="302"/>
      <c r="FPT7" s="302"/>
      <c r="FPU7" s="302"/>
      <c r="FPV7" s="302"/>
      <c r="FPW7" s="302"/>
      <c r="FPX7" s="302"/>
      <c r="FPY7" s="302"/>
      <c r="FPZ7" s="302"/>
      <c r="FQA7" s="302"/>
      <c r="FQB7" s="302"/>
      <c r="FQC7" s="302"/>
      <c r="FQD7" s="302"/>
      <c r="FQE7" s="302"/>
      <c r="FQF7" s="302"/>
      <c r="FQG7" s="302"/>
      <c r="FQH7" s="302"/>
      <c r="FQI7" s="302"/>
      <c r="FQJ7" s="302"/>
      <c r="FQK7" s="302"/>
      <c r="FQL7" s="302"/>
      <c r="FQM7" s="302"/>
      <c r="FQN7" s="302"/>
      <c r="FQO7" s="302"/>
      <c r="FQP7" s="302"/>
      <c r="FQQ7" s="302"/>
      <c r="FQR7" s="302"/>
      <c r="FQS7" s="302"/>
      <c r="FQT7" s="302"/>
      <c r="FQU7" s="302"/>
      <c r="FQV7" s="302"/>
      <c r="FQW7" s="302"/>
      <c r="FQX7" s="302"/>
      <c r="FQY7" s="302"/>
      <c r="FQZ7" s="302"/>
      <c r="FRA7" s="302"/>
      <c r="FRB7" s="302"/>
      <c r="FRC7" s="302"/>
      <c r="FRD7" s="302"/>
      <c r="FRE7" s="302"/>
      <c r="FRF7" s="302"/>
      <c r="FRG7" s="302"/>
      <c r="FRH7" s="302"/>
      <c r="FRI7" s="302"/>
      <c r="FRJ7" s="302"/>
      <c r="FRK7" s="302"/>
      <c r="FRL7" s="302"/>
      <c r="FRM7" s="302"/>
      <c r="FRN7" s="302"/>
      <c r="FRO7" s="302"/>
      <c r="FRP7" s="302"/>
      <c r="FRQ7" s="302"/>
      <c r="FRR7" s="302"/>
      <c r="FRS7" s="302"/>
      <c r="FRT7" s="302"/>
      <c r="FRU7" s="302"/>
      <c r="FRV7" s="302"/>
      <c r="FRW7" s="302"/>
      <c r="FRX7" s="302"/>
      <c r="FRY7" s="302"/>
      <c r="FRZ7" s="302"/>
      <c r="FSA7" s="302"/>
      <c r="FSB7" s="302"/>
      <c r="FSC7" s="302"/>
      <c r="FSD7" s="302"/>
      <c r="FSE7" s="302"/>
      <c r="FSF7" s="302"/>
      <c r="FSG7" s="302"/>
      <c r="FSH7" s="302"/>
      <c r="FSI7" s="302"/>
      <c r="FSJ7" s="302"/>
      <c r="FSK7" s="302"/>
      <c r="FSL7" s="302"/>
      <c r="FSM7" s="302"/>
      <c r="FSN7" s="302"/>
      <c r="FSO7" s="302"/>
      <c r="FSP7" s="302"/>
      <c r="FSQ7" s="302"/>
      <c r="FSR7" s="302"/>
      <c r="FSS7" s="302"/>
      <c r="FST7" s="302"/>
      <c r="FSU7" s="302"/>
      <c r="FSV7" s="302"/>
      <c r="FSW7" s="302"/>
      <c r="FSX7" s="302"/>
      <c r="FSY7" s="302"/>
      <c r="FSZ7" s="302"/>
      <c r="FTA7" s="302"/>
      <c r="FTB7" s="302"/>
      <c r="FTC7" s="302"/>
      <c r="FTD7" s="302"/>
      <c r="FTE7" s="302"/>
      <c r="FTF7" s="302"/>
      <c r="FTG7" s="302"/>
      <c r="FTH7" s="302"/>
      <c r="FTI7" s="302"/>
      <c r="FTJ7" s="302"/>
      <c r="FTK7" s="302"/>
      <c r="FTL7" s="302"/>
      <c r="FTM7" s="302"/>
      <c r="FTN7" s="302"/>
      <c r="FTO7" s="302"/>
      <c r="FTP7" s="302"/>
      <c r="FTQ7" s="302"/>
      <c r="FTR7" s="302"/>
      <c r="FTS7" s="302"/>
      <c r="FTT7" s="302"/>
      <c r="FTU7" s="302"/>
      <c r="FTV7" s="302"/>
      <c r="FTW7" s="302"/>
      <c r="FTX7" s="302"/>
      <c r="FTY7" s="302"/>
      <c r="FTZ7" s="302"/>
      <c r="FUA7" s="302"/>
      <c r="FUB7" s="302"/>
      <c r="FUC7" s="302"/>
      <c r="FUD7" s="302"/>
      <c r="FUE7" s="302"/>
      <c r="FUF7" s="302"/>
      <c r="FUG7" s="302"/>
      <c r="FUH7" s="302"/>
      <c r="FUI7" s="302"/>
      <c r="FUJ7" s="302"/>
      <c r="FUK7" s="302"/>
      <c r="FUL7" s="302"/>
      <c r="FUM7" s="302"/>
      <c r="FUN7" s="302"/>
      <c r="FUO7" s="302"/>
      <c r="FUP7" s="302"/>
      <c r="FUQ7" s="302"/>
      <c r="FUR7" s="302"/>
      <c r="FUS7" s="302"/>
      <c r="FUT7" s="302"/>
      <c r="FUU7" s="302"/>
      <c r="FUV7" s="302"/>
      <c r="FUW7" s="302"/>
      <c r="FUX7" s="302"/>
      <c r="FUY7" s="302"/>
      <c r="FUZ7" s="302"/>
      <c r="FVA7" s="302"/>
      <c r="FVB7" s="302"/>
      <c r="FVC7" s="302"/>
      <c r="FVD7" s="302"/>
      <c r="FVE7" s="302"/>
      <c r="FVF7" s="302"/>
      <c r="FVG7" s="302"/>
      <c r="FVH7" s="302"/>
      <c r="FVI7" s="302"/>
      <c r="FVJ7" s="302"/>
      <c r="FVK7" s="302"/>
      <c r="FVL7" s="302"/>
      <c r="FVM7" s="302"/>
      <c r="FVN7" s="302"/>
      <c r="FVO7" s="302"/>
      <c r="FVP7" s="302"/>
      <c r="FVQ7" s="302"/>
      <c r="FVR7" s="302"/>
      <c r="FVS7" s="302"/>
      <c r="FVT7" s="302"/>
      <c r="FVU7" s="302"/>
      <c r="FVV7" s="302"/>
      <c r="FVW7" s="302"/>
      <c r="FVX7" s="302"/>
      <c r="FVY7" s="302"/>
      <c r="FVZ7" s="302"/>
      <c r="FWA7" s="302"/>
      <c r="FWB7" s="302"/>
      <c r="FWC7" s="302"/>
      <c r="FWD7" s="302"/>
      <c r="FWE7" s="302"/>
      <c r="FWF7" s="302"/>
      <c r="FWG7" s="302"/>
      <c r="FWH7" s="302"/>
      <c r="FWI7" s="302"/>
      <c r="FWJ7" s="302"/>
      <c r="FWK7" s="302"/>
      <c r="FWL7" s="302"/>
      <c r="FWM7" s="302"/>
      <c r="FWN7" s="302"/>
      <c r="FWO7" s="302"/>
      <c r="FWP7" s="302"/>
      <c r="FWQ7" s="302"/>
      <c r="FWR7" s="302"/>
      <c r="FWS7" s="302"/>
      <c r="FWT7" s="302"/>
      <c r="FWU7" s="302"/>
      <c r="FWV7" s="302"/>
      <c r="FWW7" s="302"/>
      <c r="FWX7" s="302"/>
      <c r="FWY7" s="302"/>
      <c r="FWZ7" s="302"/>
      <c r="FXA7" s="302"/>
      <c r="FXB7" s="302"/>
      <c r="FXC7" s="302"/>
      <c r="FXD7" s="302"/>
      <c r="FXE7" s="302"/>
      <c r="FXF7" s="302"/>
      <c r="FXG7" s="302"/>
      <c r="FXH7" s="302"/>
      <c r="FXI7" s="302"/>
      <c r="FXJ7" s="302"/>
      <c r="FXK7" s="302"/>
      <c r="FXL7" s="302"/>
      <c r="FXM7" s="302"/>
      <c r="FXN7" s="302"/>
      <c r="FXO7" s="302"/>
      <c r="FXP7" s="302"/>
      <c r="FXQ7" s="302"/>
      <c r="FXR7" s="302"/>
      <c r="FXS7" s="302"/>
      <c r="FXT7" s="302"/>
      <c r="FXU7" s="302"/>
      <c r="FXV7" s="302"/>
      <c r="FXW7" s="302"/>
      <c r="FXX7" s="302"/>
      <c r="FXY7" s="302"/>
      <c r="FXZ7" s="302"/>
      <c r="FYA7" s="302"/>
      <c r="FYB7" s="302"/>
      <c r="FYC7" s="302"/>
      <c r="FYD7" s="302"/>
      <c r="FYE7" s="302"/>
      <c r="FYF7" s="302"/>
      <c r="FYG7" s="302"/>
      <c r="FYH7" s="302"/>
      <c r="FYI7" s="302"/>
      <c r="FYJ7" s="302"/>
      <c r="FYK7" s="302"/>
      <c r="FYL7" s="302"/>
      <c r="FYM7" s="302"/>
      <c r="FYN7" s="302"/>
      <c r="FYO7" s="302"/>
      <c r="FYP7" s="302"/>
      <c r="FYQ7" s="302"/>
      <c r="FYR7" s="302"/>
      <c r="FYS7" s="302"/>
      <c r="FYT7" s="302"/>
      <c r="FYU7" s="302"/>
      <c r="FYV7" s="302"/>
      <c r="FYW7" s="302"/>
      <c r="FYX7" s="302"/>
      <c r="FYY7" s="302"/>
      <c r="FYZ7" s="302"/>
      <c r="FZA7" s="302"/>
      <c r="FZB7" s="302"/>
      <c r="FZC7" s="302"/>
      <c r="FZD7" s="302"/>
      <c r="FZE7" s="302"/>
      <c r="FZF7" s="302"/>
      <c r="FZG7" s="302"/>
      <c r="FZH7" s="302"/>
      <c r="FZI7" s="302"/>
      <c r="FZJ7" s="302"/>
      <c r="FZK7" s="302"/>
      <c r="FZL7" s="302"/>
      <c r="FZM7" s="302"/>
      <c r="FZN7" s="302"/>
      <c r="FZO7" s="302"/>
      <c r="FZP7" s="302"/>
      <c r="FZQ7" s="302"/>
      <c r="FZR7" s="302"/>
      <c r="FZS7" s="302"/>
      <c r="FZT7" s="302"/>
      <c r="FZU7" s="302"/>
      <c r="FZV7" s="302"/>
      <c r="FZW7" s="302"/>
      <c r="FZX7" s="302"/>
      <c r="FZY7" s="302"/>
      <c r="FZZ7" s="302"/>
      <c r="GAA7" s="302"/>
      <c r="GAB7" s="302"/>
      <c r="GAC7" s="302"/>
      <c r="GAD7" s="302"/>
      <c r="GAE7" s="302"/>
      <c r="GAF7" s="302"/>
      <c r="GAG7" s="302"/>
      <c r="GAH7" s="302"/>
      <c r="GAI7" s="302"/>
      <c r="GAJ7" s="302"/>
      <c r="GAK7" s="302"/>
      <c r="GAL7" s="302"/>
      <c r="GAM7" s="302"/>
      <c r="GAN7" s="302"/>
      <c r="GAO7" s="302"/>
      <c r="GAP7" s="302"/>
      <c r="GAQ7" s="302"/>
      <c r="GAR7" s="302"/>
      <c r="GAS7" s="302"/>
      <c r="GAT7" s="302"/>
      <c r="GAU7" s="302"/>
      <c r="GAV7" s="302"/>
      <c r="GAW7" s="302"/>
      <c r="GAX7" s="302"/>
      <c r="GAY7" s="302"/>
      <c r="GAZ7" s="302"/>
      <c r="GBA7" s="302"/>
      <c r="GBB7" s="302"/>
      <c r="GBC7" s="302"/>
      <c r="GBD7" s="302"/>
      <c r="GBE7" s="302"/>
      <c r="GBF7" s="302"/>
      <c r="GBG7" s="302"/>
      <c r="GBH7" s="302"/>
      <c r="GBI7" s="302"/>
      <c r="GBJ7" s="302"/>
      <c r="GBK7" s="302"/>
      <c r="GBL7" s="302"/>
      <c r="GBM7" s="302"/>
      <c r="GBN7" s="302"/>
      <c r="GBO7" s="302"/>
      <c r="GBP7" s="302"/>
      <c r="GBQ7" s="302"/>
      <c r="GBR7" s="302"/>
      <c r="GBS7" s="302"/>
      <c r="GBT7" s="302"/>
      <c r="GBU7" s="302"/>
      <c r="GBV7" s="302"/>
      <c r="GBW7" s="302"/>
      <c r="GBX7" s="302"/>
      <c r="GBY7" s="302"/>
      <c r="GBZ7" s="302"/>
      <c r="GCA7" s="302"/>
      <c r="GCB7" s="302"/>
      <c r="GCC7" s="302"/>
      <c r="GCD7" s="302"/>
      <c r="GCE7" s="302"/>
      <c r="GCF7" s="302"/>
      <c r="GCG7" s="302"/>
      <c r="GCH7" s="302"/>
      <c r="GCI7" s="302"/>
      <c r="GCJ7" s="302"/>
      <c r="GCK7" s="302"/>
      <c r="GCL7" s="302"/>
      <c r="GCM7" s="302"/>
      <c r="GCN7" s="302"/>
      <c r="GCO7" s="302"/>
      <c r="GCP7" s="302"/>
      <c r="GCQ7" s="302"/>
      <c r="GCR7" s="302"/>
      <c r="GCS7" s="302"/>
      <c r="GCT7" s="302"/>
      <c r="GCU7" s="302"/>
      <c r="GCV7" s="302"/>
      <c r="GCW7" s="302"/>
      <c r="GCX7" s="302"/>
      <c r="GCY7" s="302"/>
      <c r="GCZ7" s="302"/>
      <c r="GDA7" s="302"/>
      <c r="GDB7" s="302"/>
      <c r="GDC7" s="302"/>
      <c r="GDD7" s="302"/>
      <c r="GDE7" s="302"/>
      <c r="GDF7" s="302"/>
      <c r="GDG7" s="302"/>
      <c r="GDH7" s="302"/>
      <c r="GDI7" s="302"/>
      <c r="GDJ7" s="302"/>
      <c r="GDK7" s="302"/>
      <c r="GDL7" s="302"/>
      <c r="GDM7" s="302"/>
      <c r="GDN7" s="302"/>
      <c r="GDO7" s="302"/>
      <c r="GDP7" s="302"/>
      <c r="GDQ7" s="302"/>
      <c r="GDR7" s="302"/>
      <c r="GDS7" s="302"/>
      <c r="GDT7" s="302"/>
      <c r="GDU7" s="302"/>
      <c r="GDV7" s="302"/>
      <c r="GDW7" s="302"/>
      <c r="GDX7" s="302"/>
      <c r="GDY7" s="302"/>
      <c r="GDZ7" s="302"/>
      <c r="GEA7" s="302"/>
      <c r="GEB7" s="302"/>
      <c r="GEC7" s="302"/>
      <c r="GED7" s="302"/>
      <c r="GEE7" s="302"/>
      <c r="GEF7" s="302"/>
      <c r="GEG7" s="302"/>
      <c r="GEH7" s="302"/>
      <c r="GEI7" s="302"/>
      <c r="GEJ7" s="302"/>
      <c r="GEK7" s="302"/>
      <c r="GEL7" s="302"/>
      <c r="GEM7" s="302"/>
      <c r="GEN7" s="302"/>
      <c r="GEO7" s="302"/>
      <c r="GEP7" s="302"/>
      <c r="GEQ7" s="302"/>
      <c r="GER7" s="302"/>
      <c r="GES7" s="302"/>
      <c r="GET7" s="302"/>
      <c r="GEU7" s="302"/>
      <c r="GEV7" s="302"/>
      <c r="GEW7" s="302"/>
      <c r="GEX7" s="302"/>
      <c r="GEY7" s="302"/>
      <c r="GEZ7" s="302"/>
      <c r="GFA7" s="302"/>
      <c r="GFB7" s="302"/>
      <c r="GFC7" s="302"/>
      <c r="GFD7" s="302"/>
      <c r="GFE7" s="302"/>
      <c r="GFF7" s="302"/>
      <c r="GFG7" s="302"/>
      <c r="GFH7" s="302"/>
      <c r="GFI7" s="302"/>
      <c r="GFJ7" s="302"/>
      <c r="GFK7" s="302"/>
      <c r="GFL7" s="302"/>
      <c r="GFM7" s="302"/>
      <c r="GFN7" s="302"/>
      <c r="GFO7" s="302"/>
      <c r="GFP7" s="302"/>
      <c r="GFQ7" s="302"/>
      <c r="GFR7" s="302"/>
      <c r="GFS7" s="302"/>
      <c r="GFT7" s="302"/>
      <c r="GFU7" s="302"/>
      <c r="GFV7" s="302"/>
      <c r="GFW7" s="302"/>
      <c r="GFX7" s="302"/>
      <c r="GFY7" s="302"/>
      <c r="GFZ7" s="302"/>
      <c r="GGA7" s="302"/>
      <c r="GGB7" s="302"/>
      <c r="GGC7" s="302"/>
      <c r="GGD7" s="302"/>
      <c r="GGE7" s="302"/>
      <c r="GGF7" s="302"/>
      <c r="GGG7" s="302"/>
      <c r="GGH7" s="302"/>
      <c r="GGI7" s="302"/>
      <c r="GGJ7" s="302"/>
      <c r="GGK7" s="302"/>
      <c r="GGL7" s="302"/>
      <c r="GGM7" s="302"/>
      <c r="GGN7" s="302"/>
      <c r="GGO7" s="302"/>
      <c r="GGP7" s="302"/>
      <c r="GGQ7" s="302"/>
      <c r="GGR7" s="302"/>
      <c r="GGS7" s="302"/>
      <c r="GGT7" s="302"/>
      <c r="GGU7" s="302"/>
      <c r="GGV7" s="302"/>
      <c r="GGW7" s="302"/>
      <c r="GGX7" s="302"/>
      <c r="GGY7" s="302"/>
      <c r="GGZ7" s="302"/>
      <c r="GHA7" s="302"/>
      <c r="GHB7" s="302"/>
      <c r="GHC7" s="302"/>
      <c r="GHD7" s="302"/>
      <c r="GHE7" s="302"/>
      <c r="GHF7" s="302"/>
      <c r="GHG7" s="302"/>
      <c r="GHH7" s="302"/>
      <c r="GHI7" s="302"/>
      <c r="GHJ7" s="302"/>
      <c r="GHK7" s="302"/>
      <c r="GHL7" s="302"/>
      <c r="GHM7" s="302"/>
      <c r="GHN7" s="302"/>
      <c r="GHO7" s="302"/>
      <c r="GHP7" s="302"/>
      <c r="GHQ7" s="302"/>
      <c r="GHR7" s="302"/>
      <c r="GHS7" s="302"/>
      <c r="GHT7" s="302"/>
      <c r="GHU7" s="302"/>
      <c r="GHV7" s="302"/>
      <c r="GHW7" s="302"/>
      <c r="GHX7" s="302"/>
      <c r="GHY7" s="302"/>
      <c r="GHZ7" s="302"/>
      <c r="GIA7" s="302"/>
      <c r="GIB7" s="302"/>
      <c r="GIC7" s="302"/>
      <c r="GID7" s="302"/>
      <c r="GIE7" s="302"/>
      <c r="GIF7" s="302"/>
      <c r="GIG7" s="302"/>
      <c r="GIH7" s="302"/>
      <c r="GII7" s="302"/>
      <c r="GIJ7" s="302"/>
      <c r="GIK7" s="302"/>
      <c r="GIL7" s="302"/>
      <c r="GIM7" s="302"/>
      <c r="GIN7" s="302"/>
      <c r="GIO7" s="302"/>
      <c r="GIP7" s="302"/>
      <c r="GIQ7" s="302"/>
      <c r="GIR7" s="302"/>
      <c r="GIS7" s="302"/>
      <c r="GIT7" s="302"/>
      <c r="GIU7" s="302"/>
      <c r="GIV7" s="302"/>
      <c r="GIW7" s="302"/>
      <c r="GIX7" s="302"/>
      <c r="GIY7" s="302"/>
      <c r="GIZ7" s="302"/>
      <c r="GJA7" s="302"/>
      <c r="GJB7" s="302"/>
      <c r="GJC7" s="302"/>
      <c r="GJD7" s="302"/>
      <c r="GJE7" s="302"/>
      <c r="GJF7" s="302"/>
      <c r="GJG7" s="302"/>
      <c r="GJH7" s="302"/>
      <c r="GJI7" s="302"/>
      <c r="GJJ7" s="302"/>
      <c r="GJK7" s="302"/>
      <c r="GJL7" s="302"/>
      <c r="GJM7" s="302"/>
      <c r="GJN7" s="302"/>
      <c r="GJO7" s="302"/>
      <c r="GJP7" s="302"/>
      <c r="GJQ7" s="302"/>
      <c r="GJR7" s="302"/>
      <c r="GJS7" s="302"/>
      <c r="GJT7" s="302"/>
      <c r="GJU7" s="302"/>
      <c r="GJV7" s="302"/>
      <c r="GJW7" s="302"/>
      <c r="GJX7" s="302"/>
      <c r="GJY7" s="302"/>
      <c r="GJZ7" s="302"/>
      <c r="GKA7" s="302"/>
      <c r="GKB7" s="302"/>
      <c r="GKC7" s="302"/>
      <c r="GKD7" s="302"/>
      <c r="GKE7" s="302"/>
      <c r="GKF7" s="302"/>
      <c r="GKG7" s="302"/>
      <c r="GKH7" s="302"/>
      <c r="GKI7" s="302"/>
      <c r="GKJ7" s="302"/>
      <c r="GKK7" s="302"/>
      <c r="GKL7" s="302"/>
      <c r="GKM7" s="302"/>
      <c r="GKN7" s="302"/>
      <c r="GKO7" s="302"/>
      <c r="GKP7" s="302"/>
      <c r="GKQ7" s="302"/>
      <c r="GKR7" s="302"/>
      <c r="GKS7" s="302"/>
      <c r="GKT7" s="302"/>
      <c r="GKU7" s="302"/>
      <c r="GKV7" s="302"/>
      <c r="GKW7" s="302"/>
      <c r="GKX7" s="302"/>
      <c r="GKY7" s="302"/>
      <c r="GKZ7" s="302"/>
      <c r="GLA7" s="302"/>
      <c r="GLB7" s="302"/>
      <c r="GLC7" s="302"/>
      <c r="GLD7" s="302"/>
      <c r="GLE7" s="302"/>
      <c r="GLF7" s="302"/>
      <c r="GLG7" s="302"/>
      <c r="GLH7" s="302"/>
      <c r="GLI7" s="302"/>
      <c r="GLJ7" s="302"/>
      <c r="GLK7" s="302"/>
      <c r="GLL7" s="302"/>
      <c r="GLM7" s="302"/>
      <c r="GLN7" s="302"/>
      <c r="GLO7" s="302"/>
      <c r="GLP7" s="302"/>
      <c r="GLQ7" s="302"/>
      <c r="GLR7" s="302"/>
      <c r="GLS7" s="302"/>
      <c r="GLT7" s="302"/>
      <c r="GLU7" s="302"/>
      <c r="GLV7" s="302"/>
      <c r="GLW7" s="302"/>
      <c r="GLX7" s="302"/>
      <c r="GLY7" s="302"/>
      <c r="GLZ7" s="302"/>
      <c r="GMA7" s="302"/>
      <c r="GMB7" s="302"/>
      <c r="GMC7" s="302"/>
      <c r="GMD7" s="302"/>
      <c r="GME7" s="302"/>
      <c r="GMF7" s="302"/>
      <c r="GMG7" s="302"/>
      <c r="GMH7" s="302"/>
      <c r="GMI7" s="302"/>
      <c r="GMJ7" s="302"/>
      <c r="GMK7" s="302"/>
      <c r="GML7" s="302"/>
      <c r="GMM7" s="302"/>
      <c r="GMN7" s="302"/>
      <c r="GMO7" s="302"/>
      <c r="GMP7" s="302"/>
      <c r="GMQ7" s="302"/>
      <c r="GMR7" s="302"/>
      <c r="GMS7" s="302"/>
      <c r="GMT7" s="302"/>
      <c r="GMU7" s="302"/>
      <c r="GMV7" s="302"/>
      <c r="GMW7" s="302"/>
      <c r="GMX7" s="302"/>
      <c r="GMY7" s="302"/>
      <c r="GMZ7" s="302"/>
      <c r="GNA7" s="302"/>
      <c r="GNB7" s="302"/>
      <c r="GNC7" s="302"/>
      <c r="GND7" s="302"/>
      <c r="GNE7" s="302"/>
      <c r="GNF7" s="302"/>
      <c r="GNG7" s="302"/>
      <c r="GNH7" s="302"/>
      <c r="GNI7" s="302"/>
      <c r="GNJ7" s="302"/>
      <c r="GNK7" s="302"/>
      <c r="GNL7" s="302"/>
      <c r="GNM7" s="302"/>
      <c r="GNN7" s="302"/>
      <c r="GNO7" s="302"/>
      <c r="GNP7" s="302"/>
      <c r="GNQ7" s="302"/>
      <c r="GNR7" s="302"/>
      <c r="GNS7" s="302"/>
      <c r="GNT7" s="302"/>
      <c r="GNU7" s="302"/>
      <c r="GNV7" s="302"/>
      <c r="GNW7" s="302"/>
      <c r="GNX7" s="302"/>
      <c r="GNY7" s="302"/>
      <c r="GNZ7" s="302"/>
      <c r="GOA7" s="302"/>
      <c r="GOB7" s="302"/>
      <c r="GOC7" s="302"/>
      <c r="GOD7" s="302"/>
      <c r="GOE7" s="302"/>
      <c r="GOF7" s="302"/>
      <c r="GOG7" s="302"/>
      <c r="GOH7" s="302"/>
      <c r="GOI7" s="302"/>
      <c r="GOJ7" s="302"/>
      <c r="GOK7" s="302"/>
      <c r="GOL7" s="302"/>
      <c r="GOM7" s="302"/>
      <c r="GON7" s="302"/>
      <c r="GOO7" s="302"/>
      <c r="GOP7" s="302"/>
      <c r="GOQ7" s="302"/>
      <c r="GOR7" s="302"/>
      <c r="GOS7" s="302"/>
      <c r="GOT7" s="302"/>
      <c r="GOU7" s="302"/>
      <c r="GOV7" s="302"/>
      <c r="GOW7" s="302"/>
      <c r="GOX7" s="302"/>
      <c r="GOY7" s="302"/>
      <c r="GOZ7" s="302"/>
      <c r="GPA7" s="302"/>
      <c r="GPB7" s="302"/>
      <c r="GPC7" s="302"/>
      <c r="GPD7" s="302"/>
      <c r="GPE7" s="302"/>
      <c r="GPF7" s="302"/>
      <c r="GPG7" s="302"/>
      <c r="GPH7" s="302"/>
      <c r="GPI7" s="302"/>
      <c r="GPJ7" s="302"/>
      <c r="GPK7" s="302"/>
      <c r="GPL7" s="302"/>
      <c r="GPM7" s="302"/>
      <c r="GPN7" s="302"/>
      <c r="GPO7" s="302"/>
      <c r="GPP7" s="302"/>
      <c r="GPQ7" s="302"/>
      <c r="GPR7" s="302"/>
      <c r="GPS7" s="302"/>
      <c r="GPT7" s="302"/>
      <c r="GPU7" s="302"/>
      <c r="GPV7" s="302"/>
      <c r="GPW7" s="302"/>
      <c r="GPX7" s="302"/>
      <c r="GPY7" s="302"/>
      <c r="GPZ7" s="302"/>
      <c r="GQA7" s="302"/>
      <c r="GQB7" s="302"/>
      <c r="GQC7" s="302"/>
      <c r="GQD7" s="302"/>
      <c r="GQE7" s="302"/>
      <c r="GQF7" s="302"/>
      <c r="GQG7" s="302"/>
      <c r="GQH7" s="302"/>
      <c r="GQI7" s="302"/>
      <c r="GQJ7" s="302"/>
      <c r="GQK7" s="302"/>
      <c r="GQL7" s="302"/>
      <c r="GQM7" s="302"/>
      <c r="GQN7" s="302"/>
      <c r="GQO7" s="302"/>
      <c r="GQP7" s="302"/>
      <c r="GQQ7" s="302"/>
      <c r="GQR7" s="302"/>
      <c r="GQS7" s="302"/>
      <c r="GQT7" s="302"/>
      <c r="GQU7" s="302"/>
      <c r="GQV7" s="302"/>
      <c r="GQW7" s="302"/>
      <c r="GQX7" s="302"/>
      <c r="GQY7" s="302"/>
      <c r="GQZ7" s="302"/>
      <c r="GRA7" s="302"/>
      <c r="GRB7" s="302"/>
      <c r="GRC7" s="302"/>
      <c r="GRD7" s="302"/>
      <c r="GRE7" s="302"/>
      <c r="GRF7" s="302"/>
      <c r="GRG7" s="302"/>
      <c r="GRH7" s="302"/>
      <c r="GRI7" s="302"/>
      <c r="GRJ7" s="302"/>
      <c r="GRK7" s="302"/>
      <c r="GRL7" s="302"/>
      <c r="GRM7" s="302"/>
      <c r="GRN7" s="302"/>
      <c r="GRO7" s="302"/>
      <c r="GRP7" s="302"/>
      <c r="GRQ7" s="302"/>
      <c r="GRR7" s="302"/>
      <c r="GRS7" s="302"/>
      <c r="GRT7" s="302"/>
      <c r="GRU7" s="302"/>
      <c r="GRV7" s="302"/>
      <c r="GRW7" s="302"/>
      <c r="GRX7" s="302"/>
      <c r="GRY7" s="302"/>
      <c r="GRZ7" s="302"/>
      <c r="GSA7" s="302"/>
      <c r="GSB7" s="302"/>
      <c r="GSC7" s="302"/>
      <c r="GSD7" s="302"/>
      <c r="GSE7" s="302"/>
      <c r="GSF7" s="302"/>
      <c r="GSG7" s="302"/>
      <c r="GSH7" s="302"/>
      <c r="GSI7" s="302"/>
      <c r="GSJ7" s="302"/>
      <c r="GSK7" s="302"/>
      <c r="GSL7" s="302"/>
      <c r="GSM7" s="302"/>
      <c r="GSN7" s="302"/>
      <c r="GSO7" s="302"/>
      <c r="GSP7" s="302"/>
      <c r="GSQ7" s="302"/>
      <c r="GSR7" s="302"/>
      <c r="GSS7" s="302"/>
      <c r="GST7" s="302"/>
      <c r="GSU7" s="302"/>
      <c r="GSV7" s="302"/>
      <c r="GSW7" s="302"/>
      <c r="GSX7" s="302"/>
      <c r="GSY7" s="302"/>
      <c r="GSZ7" s="302"/>
      <c r="GTA7" s="302"/>
      <c r="GTB7" s="302"/>
      <c r="GTC7" s="302"/>
      <c r="GTD7" s="302"/>
      <c r="GTE7" s="302"/>
      <c r="GTF7" s="302"/>
      <c r="GTG7" s="302"/>
      <c r="GTH7" s="302"/>
      <c r="GTI7" s="302"/>
      <c r="GTJ7" s="302"/>
      <c r="GTK7" s="302"/>
      <c r="GTL7" s="302"/>
      <c r="GTM7" s="302"/>
      <c r="GTN7" s="302"/>
      <c r="GTO7" s="302"/>
      <c r="GTP7" s="302"/>
      <c r="GTQ7" s="302"/>
      <c r="GTR7" s="302"/>
      <c r="GTS7" s="302"/>
      <c r="GTT7" s="302"/>
      <c r="GTU7" s="302"/>
      <c r="GTV7" s="302"/>
      <c r="GTW7" s="302"/>
      <c r="GTX7" s="302"/>
      <c r="GTY7" s="302"/>
      <c r="GTZ7" s="302"/>
      <c r="GUA7" s="302"/>
      <c r="GUB7" s="302"/>
      <c r="GUC7" s="302"/>
      <c r="GUD7" s="302"/>
      <c r="GUE7" s="302"/>
      <c r="GUF7" s="302"/>
      <c r="GUG7" s="302"/>
      <c r="GUH7" s="302"/>
      <c r="GUI7" s="302"/>
      <c r="GUJ7" s="302"/>
      <c r="GUK7" s="302"/>
      <c r="GUL7" s="302"/>
      <c r="GUM7" s="302"/>
      <c r="GUN7" s="302"/>
      <c r="GUO7" s="302"/>
      <c r="GUP7" s="302"/>
      <c r="GUQ7" s="302"/>
      <c r="GUR7" s="302"/>
      <c r="GUS7" s="302"/>
      <c r="GUT7" s="302"/>
      <c r="GUU7" s="302"/>
      <c r="GUV7" s="302"/>
      <c r="GUW7" s="302"/>
      <c r="GUX7" s="302"/>
      <c r="GUY7" s="302"/>
      <c r="GUZ7" s="302"/>
      <c r="GVA7" s="302"/>
      <c r="GVB7" s="302"/>
      <c r="GVC7" s="302"/>
      <c r="GVD7" s="302"/>
      <c r="GVE7" s="302"/>
      <c r="GVF7" s="302"/>
      <c r="GVG7" s="302"/>
      <c r="GVH7" s="302"/>
      <c r="GVI7" s="302"/>
      <c r="GVJ7" s="302"/>
      <c r="GVK7" s="302"/>
      <c r="GVL7" s="302"/>
      <c r="GVM7" s="302"/>
      <c r="GVN7" s="302"/>
      <c r="GVO7" s="302"/>
      <c r="GVP7" s="302"/>
      <c r="GVQ7" s="302"/>
      <c r="GVR7" s="302"/>
      <c r="GVS7" s="302"/>
      <c r="GVT7" s="302"/>
      <c r="GVU7" s="302"/>
      <c r="GVV7" s="302"/>
      <c r="GVW7" s="302"/>
      <c r="GVX7" s="302"/>
      <c r="GVY7" s="302"/>
      <c r="GVZ7" s="302"/>
      <c r="GWA7" s="302"/>
      <c r="GWB7" s="302"/>
      <c r="GWC7" s="302"/>
      <c r="GWD7" s="302"/>
      <c r="GWE7" s="302"/>
      <c r="GWF7" s="302"/>
      <c r="GWG7" s="302"/>
      <c r="GWH7" s="302"/>
      <c r="GWI7" s="302"/>
      <c r="GWJ7" s="302"/>
      <c r="GWK7" s="302"/>
      <c r="GWL7" s="302"/>
      <c r="GWM7" s="302"/>
      <c r="GWN7" s="302"/>
      <c r="GWO7" s="302"/>
      <c r="GWP7" s="302"/>
      <c r="GWQ7" s="302"/>
      <c r="GWR7" s="302"/>
      <c r="GWS7" s="302"/>
      <c r="GWT7" s="302"/>
      <c r="GWU7" s="302"/>
      <c r="GWV7" s="302"/>
      <c r="GWW7" s="302"/>
      <c r="GWX7" s="302"/>
      <c r="GWY7" s="302"/>
      <c r="GWZ7" s="302"/>
      <c r="GXA7" s="302"/>
      <c r="GXB7" s="302"/>
      <c r="GXC7" s="302"/>
      <c r="GXD7" s="302"/>
      <c r="GXE7" s="302"/>
      <c r="GXF7" s="302"/>
      <c r="GXG7" s="302"/>
      <c r="GXH7" s="302"/>
      <c r="GXI7" s="302"/>
      <c r="GXJ7" s="302"/>
      <c r="GXK7" s="302"/>
      <c r="GXL7" s="302"/>
      <c r="GXM7" s="302"/>
      <c r="GXN7" s="302"/>
      <c r="GXO7" s="302"/>
      <c r="GXP7" s="302"/>
      <c r="GXQ7" s="302"/>
      <c r="GXR7" s="302"/>
      <c r="GXS7" s="302"/>
      <c r="GXT7" s="302"/>
      <c r="GXU7" s="302"/>
      <c r="GXV7" s="302"/>
      <c r="GXW7" s="302"/>
      <c r="GXX7" s="302"/>
      <c r="GXY7" s="302"/>
      <c r="GXZ7" s="302"/>
      <c r="GYA7" s="302"/>
      <c r="GYB7" s="302"/>
      <c r="GYC7" s="302"/>
      <c r="GYD7" s="302"/>
      <c r="GYE7" s="302"/>
      <c r="GYF7" s="302"/>
      <c r="GYG7" s="302"/>
      <c r="GYH7" s="302"/>
      <c r="GYI7" s="302"/>
      <c r="GYJ7" s="302"/>
      <c r="GYK7" s="302"/>
      <c r="GYL7" s="302"/>
      <c r="GYM7" s="302"/>
      <c r="GYN7" s="302"/>
      <c r="GYO7" s="302"/>
      <c r="GYP7" s="302"/>
      <c r="GYQ7" s="302"/>
      <c r="GYR7" s="302"/>
      <c r="GYS7" s="302"/>
      <c r="GYT7" s="302"/>
      <c r="GYU7" s="302"/>
      <c r="GYV7" s="302"/>
      <c r="GYW7" s="302"/>
      <c r="GYX7" s="302"/>
      <c r="GYY7" s="302"/>
      <c r="GYZ7" s="302"/>
      <c r="GZA7" s="302"/>
      <c r="GZB7" s="302"/>
      <c r="GZC7" s="302"/>
      <c r="GZD7" s="302"/>
      <c r="GZE7" s="302"/>
      <c r="GZF7" s="302"/>
      <c r="GZG7" s="302"/>
      <c r="GZH7" s="302"/>
      <c r="GZI7" s="302"/>
      <c r="GZJ7" s="302"/>
      <c r="GZK7" s="302"/>
      <c r="GZL7" s="302"/>
      <c r="GZM7" s="302"/>
      <c r="GZN7" s="302"/>
      <c r="GZO7" s="302"/>
      <c r="GZP7" s="302"/>
      <c r="GZQ7" s="302"/>
      <c r="GZR7" s="302"/>
      <c r="GZS7" s="302"/>
      <c r="GZT7" s="302"/>
      <c r="GZU7" s="302"/>
      <c r="GZV7" s="302"/>
      <c r="GZW7" s="302"/>
      <c r="GZX7" s="302"/>
      <c r="GZY7" s="302"/>
      <c r="GZZ7" s="302"/>
      <c r="HAA7" s="302"/>
      <c r="HAB7" s="302"/>
      <c r="HAC7" s="302"/>
      <c r="HAD7" s="302"/>
      <c r="HAE7" s="302"/>
      <c r="HAF7" s="302"/>
      <c r="HAG7" s="302"/>
      <c r="HAH7" s="302"/>
      <c r="HAI7" s="302"/>
      <c r="HAJ7" s="302"/>
      <c r="HAK7" s="302"/>
      <c r="HAL7" s="302"/>
      <c r="HAM7" s="302"/>
      <c r="HAN7" s="302"/>
      <c r="HAO7" s="302"/>
      <c r="HAP7" s="302"/>
      <c r="HAQ7" s="302"/>
      <c r="HAR7" s="302"/>
      <c r="HAS7" s="302"/>
      <c r="HAT7" s="302"/>
      <c r="HAU7" s="302"/>
      <c r="HAV7" s="302"/>
      <c r="HAW7" s="302"/>
      <c r="HAX7" s="302"/>
      <c r="HAY7" s="302"/>
      <c r="HAZ7" s="302"/>
      <c r="HBA7" s="302"/>
      <c r="HBB7" s="302"/>
      <c r="HBC7" s="302"/>
      <c r="HBD7" s="302"/>
      <c r="HBE7" s="302"/>
      <c r="HBF7" s="302"/>
      <c r="HBG7" s="302"/>
      <c r="HBH7" s="302"/>
      <c r="HBI7" s="302"/>
      <c r="HBJ7" s="302"/>
      <c r="HBK7" s="302"/>
      <c r="HBL7" s="302"/>
      <c r="HBM7" s="302"/>
      <c r="HBN7" s="302"/>
      <c r="HBO7" s="302"/>
      <c r="HBP7" s="302"/>
      <c r="HBQ7" s="302"/>
      <c r="HBR7" s="302"/>
      <c r="HBS7" s="302"/>
      <c r="HBT7" s="302"/>
      <c r="HBU7" s="302"/>
      <c r="HBV7" s="302"/>
      <c r="HBW7" s="302"/>
      <c r="HBX7" s="302"/>
      <c r="HBY7" s="302"/>
      <c r="HBZ7" s="302"/>
      <c r="HCA7" s="302"/>
      <c r="HCB7" s="302"/>
      <c r="HCC7" s="302"/>
      <c r="HCD7" s="302"/>
      <c r="HCE7" s="302"/>
      <c r="HCF7" s="302"/>
      <c r="HCG7" s="302"/>
      <c r="HCH7" s="302"/>
      <c r="HCI7" s="302"/>
      <c r="HCJ7" s="302"/>
      <c r="HCK7" s="302"/>
      <c r="HCL7" s="302"/>
      <c r="HCM7" s="302"/>
      <c r="HCN7" s="302"/>
      <c r="HCO7" s="302"/>
      <c r="HCP7" s="302"/>
      <c r="HCQ7" s="302"/>
      <c r="HCR7" s="302"/>
      <c r="HCS7" s="302"/>
      <c r="HCT7" s="302"/>
      <c r="HCU7" s="302"/>
      <c r="HCV7" s="302"/>
      <c r="HCW7" s="302"/>
      <c r="HCX7" s="302"/>
      <c r="HCY7" s="302"/>
      <c r="HCZ7" s="302"/>
      <c r="HDA7" s="302"/>
      <c r="HDB7" s="302"/>
      <c r="HDC7" s="302"/>
      <c r="HDD7" s="302"/>
      <c r="HDE7" s="302"/>
      <c r="HDF7" s="302"/>
      <c r="HDG7" s="302"/>
      <c r="HDH7" s="302"/>
      <c r="HDI7" s="302"/>
      <c r="HDJ7" s="302"/>
      <c r="HDK7" s="302"/>
      <c r="HDL7" s="302"/>
      <c r="HDM7" s="302"/>
      <c r="HDN7" s="302"/>
      <c r="HDO7" s="302"/>
      <c r="HDP7" s="302"/>
      <c r="HDQ7" s="302"/>
      <c r="HDR7" s="302"/>
      <c r="HDS7" s="302"/>
      <c r="HDT7" s="302"/>
      <c r="HDU7" s="302"/>
      <c r="HDV7" s="302"/>
      <c r="HDW7" s="302"/>
      <c r="HDX7" s="302"/>
      <c r="HDY7" s="302"/>
      <c r="HDZ7" s="302"/>
      <c r="HEA7" s="302"/>
      <c r="HEB7" s="302"/>
      <c r="HEC7" s="302"/>
      <c r="HED7" s="302"/>
      <c r="HEE7" s="302"/>
      <c r="HEF7" s="302"/>
      <c r="HEG7" s="302"/>
      <c r="HEH7" s="302"/>
      <c r="HEI7" s="302"/>
      <c r="HEJ7" s="302"/>
      <c r="HEK7" s="302"/>
      <c r="HEL7" s="302"/>
      <c r="HEM7" s="302"/>
      <c r="HEN7" s="302"/>
      <c r="HEO7" s="302"/>
      <c r="HEP7" s="302"/>
      <c r="HEQ7" s="302"/>
      <c r="HER7" s="302"/>
      <c r="HES7" s="302"/>
      <c r="HET7" s="302"/>
      <c r="HEU7" s="302"/>
      <c r="HEV7" s="302"/>
      <c r="HEW7" s="302"/>
      <c r="HEX7" s="302"/>
      <c r="HEY7" s="302"/>
      <c r="HEZ7" s="302"/>
      <c r="HFA7" s="302"/>
      <c r="HFB7" s="302"/>
      <c r="HFC7" s="302"/>
      <c r="HFD7" s="302"/>
      <c r="HFE7" s="302"/>
      <c r="HFF7" s="302"/>
      <c r="HFG7" s="302"/>
      <c r="HFH7" s="302"/>
      <c r="HFI7" s="302"/>
      <c r="HFJ7" s="302"/>
      <c r="HFK7" s="302"/>
      <c r="HFL7" s="302"/>
      <c r="HFM7" s="302"/>
      <c r="HFN7" s="302"/>
      <c r="HFO7" s="302"/>
      <c r="HFP7" s="302"/>
      <c r="HFQ7" s="302"/>
      <c r="HFR7" s="302"/>
      <c r="HFS7" s="302"/>
      <c r="HFT7" s="302"/>
      <c r="HFU7" s="302"/>
      <c r="HFV7" s="302"/>
      <c r="HFW7" s="302"/>
      <c r="HFX7" s="302"/>
      <c r="HFY7" s="302"/>
      <c r="HFZ7" s="302"/>
      <c r="HGA7" s="302"/>
      <c r="HGB7" s="302"/>
      <c r="HGC7" s="302"/>
      <c r="HGD7" s="302"/>
      <c r="HGE7" s="302"/>
      <c r="HGF7" s="302"/>
      <c r="HGG7" s="302"/>
      <c r="HGH7" s="302"/>
      <c r="HGI7" s="302"/>
      <c r="HGJ7" s="302"/>
      <c r="HGK7" s="302"/>
      <c r="HGL7" s="302"/>
      <c r="HGM7" s="302"/>
      <c r="HGN7" s="302"/>
      <c r="HGO7" s="302"/>
      <c r="HGP7" s="302"/>
      <c r="HGQ7" s="302"/>
      <c r="HGR7" s="302"/>
      <c r="HGS7" s="302"/>
      <c r="HGT7" s="302"/>
      <c r="HGU7" s="302"/>
      <c r="HGV7" s="302"/>
      <c r="HGW7" s="302"/>
      <c r="HGX7" s="302"/>
      <c r="HGY7" s="302"/>
      <c r="HGZ7" s="302"/>
      <c r="HHA7" s="302"/>
      <c r="HHB7" s="302"/>
      <c r="HHC7" s="302"/>
      <c r="HHD7" s="302"/>
      <c r="HHE7" s="302"/>
      <c r="HHF7" s="302"/>
      <c r="HHG7" s="302"/>
      <c r="HHH7" s="302"/>
      <c r="HHI7" s="302"/>
      <c r="HHJ7" s="302"/>
      <c r="HHK7" s="302"/>
      <c r="HHL7" s="302"/>
      <c r="HHM7" s="302"/>
      <c r="HHN7" s="302"/>
      <c r="HHO7" s="302"/>
      <c r="HHP7" s="302"/>
      <c r="HHQ7" s="302"/>
      <c r="HHR7" s="302"/>
      <c r="HHS7" s="302"/>
      <c r="HHT7" s="302"/>
      <c r="HHU7" s="302"/>
      <c r="HHV7" s="302"/>
      <c r="HHW7" s="302"/>
      <c r="HHX7" s="302"/>
      <c r="HHY7" s="302"/>
      <c r="HHZ7" s="302"/>
      <c r="HIA7" s="302"/>
      <c r="HIB7" s="302"/>
      <c r="HIC7" s="302"/>
      <c r="HID7" s="302"/>
      <c r="HIE7" s="302"/>
      <c r="HIF7" s="302"/>
      <c r="HIG7" s="302"/>
      <c r="HIH7" s="302"/>
      <c r="HII7" s="302"/>
      <c r="HIJ7" s="302"/>
      <c r="HIK7" s="302"/>
      <c r="HIL7" s="302"/>
      <c r="HIM7" s="302"/>
      <c r="HIN7" s="302"/>
      <c r="HIO7" s="302"/>
      <c r="HIP7" s="302"/>
      <c r="HIQ7" s="302"/>
      <c r="HIR7" s="302"/>
      <c r="HIS7" s="302"/>
      <c r="HIT7" s="302"/>
      <c r="HIU7" s="302"/>
      <c r="HIV7" s="302"/>
      <c r="HIW7" s="302"/>
      <c r="HIX7" s="302"/>
      <c r="HIY7" s="302"/>
      <c r="HIZ7" s="302"/>
      <c r="HJA7" s="302"/>
      <c r="HJB7" s="302"/>
      <c r="HJC7" s="302"/>
      <c r="HJD7" s="302"/>
      <c r="HJE7" s="302"/>
      <c r="HJF7" s="302"/>
      <c r="HJG7" s="302"/>
      <c r="HJH7" s="302"/>
      <c r="HJI7" s="302"/>
      <c r="HJJ7" s="302"/>
      <c r="HJK7" s="302"/>
      <c r="HJL7" s="302"/>
      <c r="HJM7" s="302"/>
      <c r="HJN7" s="302"/>
      <c r="HJO7" s="302"/>
      <c r="HJP7" s="302"/>
      <c r="HJQ7" s="302"/>
      <c r="HJR7" s="302"/>
      <c r="HJS7" s="302"/>
      <c r="HJT7" s="302"/>
      <c r="HJU7" s="302"/>
      <c r="HJV7" s="302"/>
      <c r="HJW7" s="302"/>
      <c r="HJX7" s="302"/>
      <c r="HJY7" s="302"/>
      <c r="HJZ7" s="302"/>
      <c r="HKA7" s="302"/>
      <c r="HKB7" s="302"/>
      <c r="HKC7" s="302"/>
      <c r="HKD7" s="302"/>
      <c r="HKE7" s="302"/>
      <c r="HKF7" s="302"/>
      <c r="HKG7" s="302"/>
      <c r="HKH7" s="302"/>
      <c r="HKI7" s="302"/>
      <c r="HKJ7" s="302"/>
      <c r="HKK7" s="302"/>
      <c r="HKL7" s="302"/>
      <c r="HKM7" s="302"/>
      <c r="HKN7" s="302"/>
      <c r="HKO7" s="302"/>
      <c r="HKP7" s="302"/>
      <c r="HKQ7" s="302"/>
      <c r="HKR7" s="302"/>
      <c r="HKS7" s="302"/>
      <c r="HKT7" s="302"/>
      <c r="HKU7" s="302"/>
      <c r="HKV7" s="302"/>
      <c r="HKW7" s="302"/>
      <c r="HKX7" s="302"/>
      <c r="HKY7" s="302"/>
      <c r="HKZ7" s="302"/>
      <c r="HLA7" s="302"/>
      <c r="HLB7" s="302"/>
      <c r="HLC7" s="302"/>
      <c r="HLD7" s="302"/>
      <c r="HLE7" s="302"/>
      <c r="HLF7" s="302"/>
      <c r="HLG7" s="302"/>
      <c r="HLH7" s="302"/>
      <c r="HLI7" s="302"/>
      <c r="HLJ7" s="302"/>
      <c r="HLK7" s="302"/>
      <c r="HLL7" s="302"/>
      <c r="HLM7" s="302"/>
      <c r="HLN7" s="302"/>
      <c r="HLO7" s="302"/>
      <c r="HLP7" s="302"/>
      <c r="HLQ7" s="302"/>
      <c r="HLR7" s="302"/>
      <c r="HLS7" s="302"/>
      <c r="HLT7" s="302"/>
      <c r="HLU7" s="302"/>
      <c r="HLV7" s="302"/>
      <c r="HLW7" s="302"/>
      <c r="HLX7" s="302"/>
      <c r="HLY7" s="302"/>
      <c r="HLZ7" s="302"/>
      <c r="HMA7" s="302"/>
      <c r="HMB7" s="302"/>
      <c r="HMC7" s="302"/>
      <c r="HMD7" s="302"/>
      <c r="HME7" s="302"/>
      <c r="HMF7" s="302"/>
      <c r="HMG7" s="302"/>
      <c r="HMH7" s="302"/>
      <c r="HMI7" s="302"/>
      <c r="HMJ7" s="302"/>
      <c r="HMK7" s="302"/>
      <c r="HML7" s="302"/>
      <c r="HMM7" s="302"/>
      <c r="HMN7" s="302"/>
      <c r="HMO7" s="302"/>
      <c r="HMP7" s="302"/>
      <c r="HMQ7" s="302"/>
      <c r="HMR7" s="302"/>
      <c r="HMS7" s="302"/>
      <c r="HMT7" s="302"/>
      <c r="HMU7" s="302"/>
      <c r="HMV7" s="302"/>
      <c r="HMW7" s="302"/>
      <c r="HMX7" s="302"/>
      <c r="HMY7" s="302"/>
      <c r="HMZ7" s="302"/>
      <c r="HNA7" s="302"/>
      <c r="HNB7" s="302"/>
      <c r="HNC7" s="302"/>
      <c r="HND7" s="302"/>
      <c r="HNE7" s="302"/>
      <c r="HNF7" s="302"/>
      <c r="HNG7" s="302"/>
      <c r="HNH7" s="302"/>
      <c r="HNI7" s="302"/>
      <c r="HNJ7" s="302"/>
      <c r="HNK7" s="302"/>
      <c r="HNL7" s="302"/>
      <c r="HNM7" s="302"/>
      <c r="HNN7" s="302"/>
      <c r="HNO7" s="302"/>
      <c r="HNP7" s="302"/>
      <c r="HNQ7" s="302"/>
      <c r="HNR7" s="302"/>
      <c r="HNS7" s="302"/>
      <c r="HNT7" s="302"/>
      <c r="HNU7" s="302"/>
      <c r="HNV7" s="302"/>
      <c r="HNW7" s="302"/>
      <c r="HNX7" s="302"/>
      <c r="HNY7" s="302"/>
      <c r="HNZ7" s="302"/>
      <c r="HOA7" s="302"/>
      <c r="HOB7" s="302"/>
      <c r="HOC7" s="302"/>
      <c r="HOD7" s="302"/>
      <c r="HOE7" s="302"/>
      <c r="HOF7" s="302"/>
      <c r="HOG7" s="302"/>
      <c r="HOH7" s="302"/>
      <c r="HOI7" s="302"/>
      <c r="HOJ7" s="302"/>
      <c r="HOK7" s="302"/>
      <c r="HOL7" s="302"/>
      <c r="HOM7" s="302"/>
      <c r="HON7" s="302"/>
      <c r="HOO7" s="302"/>
      <c r="HOP7" s="302"/>
      <c r="HOQ7" s="302"/>
      <c r="HOR7" s="302"/>
      <c r="HOS7" s="302"/>
      <c r="HOT7" s="302"/>
      <c r="HOU7" s="302"/>
      <c r="HOV7" s="302"/>
      <c r="HOW7" s="302"/>
      <c r="HOX7" s="302"/>
      <c r="HOY7" s="302"/>
      <c r="HOZ7" s="302"/>
      <c r="HPA7" s="302"/>
      <c r="HPB7" s="302"/>
      <c r="HPC7" s="302"/>
      <c r="HPD7" s="302"/>
      <c r="HPE7" s="302"/>
      <c r="HPF7" s="302"/>
      <c r="HPG7" s="302"/>
      <c r="HPH7" s="302"/>
      <c r="HPI7" s="302"/>
      <c r="HPJ7" s="302"/>
      <c r="HPK7" s="302"/>
      <c r="HPL7" s="302"/>
      <c r="HPM7" s="302"/>
      <c r="HPN7" s="302"/>
      <c r="HPO7" s="302"/>
      <c r="HPP7" s="302"/>
      <c r="HPQ7" s="302"/>
      <c r="HPR7" s="302"/>
      <c r="HPS7" s="302"/>
      <c r="HPT7" s="302"/>
      <c r="HPU7" s="302"/>
      <c r="HPV7" s="302"/>
      <c r="HPW7" s="302"/>
      <c r="HPX7" s="302"/>
      <c r="HPY7" s="302"/>
      <c r="HPZ7" s="302"/>
      <c r="HQA7" s="302"/>
      <c r="HQB7" s="302"/>
      <c r="HQC7" s="302"/>
      <c r="HQD7" s="302"/>
      <c r="HQE7" s="302"/>
      <c r="HQF7" s="302"/>
      <c r="HQG7" s="302"/>
      <c r="HQH7" s="302"/>
      <c r="HQI7" s="302"/>
      <c r="HQJ7" s="302"/>
      <c r="HQK7" s="302"/>
      <c r="HQL7" s="302"/>
      <c r="HQM7" s="302"/>
      <c r="HQN7" s="302"/>
      <c r="HQO7" s="302"/>
      <c r="HQP7" s="302"/>
      <c r="HQQ7" s="302"/>
      <c r="HQR7" s="302"/>
      <c r="HQS7" s="302"/>
      <c r="HQT7" s="302"/>
      <c r="HQU7" s="302"/>
      <c r="HQV7" s="302"/>
      <c r="HQW7" s="302"/>
      <c r="HQX7" s="302"/>
      <c r="HQY7" s="302"/>
      <c r="HQZ7" s="302"/>
      <c r="HRA7" s="302"/>
      <c r="HRB7" s="302"/>
      <c r="HRC7" s="302"/>
      <c r="HRD7" s="302"/>
      <c r="HRE7" s="302"/>
      <c r="HRF7" s="302"/>
      <c r="HRG7" s="302"/>
      <c r="HRH7" s="302"/>
      <c r="HRI7" s="302"/>
      <c r="HRJ7" s="302"/>
      <c r="HRK7" s="302"/>
      <c r="HRL7" s="302"/>
      <c r="HRM7" s="302"/>
      <c r="HRN7" s="302"/>
      <c r="HRO7" s="302"/>
      <c r="HRP7" s="302"/>
      <c r="HRQ7" s="302"/>
      <c r="HRR7" s="302"/>
      <c r="HRS7" s="302"/>
      <c r="HRT7" s="302"/>
      <c r="HRU7" s="302"/>
      <c r="HRV7" s="302"/>
      <c r="HRW7" s="302"/>
      <c r="HRX7" s="302"/>
      <c r="HRY7" s="302"/>
      <c r="HRZ7" s="302"/>
      <c r="HSA7" s="302"/>
      <c r="HSB7" s="302"/>
      <c r="HSC7" s="302"/>
      <c r="HSD7" s="302"/>
      <c r="HSE7" s="302"/>
      <c r="HSF7" s="302"/>
      <c r="HSG7" s="302"/>
      <c r="HSH7" s="302"/>
      <c r="HSI7" s="302"/>
      <c r="HSJ7" s="302"/>
      <c r="HSK7" s="302"/>
      <c r="HSL7" s="302"/>
      <c r="HSM7" s="302"/>
      <c r="HSN7" s="302"/>
      <c r="HSO7" s="302"/>
      <c r="HSP7" s="302"/>
      <c r="HSQ7" s="302"/>
      <c r="HSR7" s="302"/>
      <c r="HSS7" s="302"/>
      <c r="HST7" s="302"/>
      <c r="HSU7" s="302"/>
      <c r="HSV7" s="302"/>
      <c r="HSW7" s="302"/>
      <c r="HSX7" s="302"/>
      <c r="HSY7" s="302"/>
      <c r="HSZ7" s="302"/>
      <c r="HTA7" s="302"/>
      <c r="HTB7" s="302"/>
      <c r="HTC7" s="302"/>
      <c r="HTD7" s="302"/>
      <c r="HTE7" s="302"/>
      <c r="HTF7" s="302"/>
      <c r="HTG7" s="302"/>
      <c r="HTH7" s="302"/>
      <c r="HTI7" s="302"/>
      <c r="HTJ7" s="302"/>
      <c r="HTK7" s="302"/>
      <c r="HTL7" s="302"/>
      <c r="HTM7" s="302"/>
      <c r="HTN7" s="302"/>
      <c r="HTO7" s="302"/>
      <c r="HTP7" s="302"/>
      <c r="HTQ7" s="302"/>
      <c r="HTR7" s="302"/>
      <c r="HTS7" s="302"/>
      <c r="HTT7" s="302"/>
      <c r="HTU7" s="302"/>
      <c r="HTV7" s="302"/>
      <c r="HTW7" s="302"/>
      <c r="HTX7" s="302"/>
      <c r="HTY7" s="302"/>
      <c r="HTZ7" s="302"/>
      <c r="HUA7" s="302"/>
      <c r="HUB7" s="302"/>
      <c r="HUC7" s="302"/>
      <c r="HUD7" s="302"/>
      <c r="HUE7" s="302"/>
      <c r="HUF7" s="302"/>
      <c r="HUG7" s="302"/>
      <c r="HUH7" s="302"/>
      <c r="HUI7" s="302"/>
      <c r="HUJ7" s="302"/>
      <c r="HUK7" s="302"/>
      <c r="HUL7" s="302"/>
      <c r="HUM7" s="302"/>
      <c r="HUN7" s="302"/>
      <c r="HUO7" s="302"/>
      <c r="HUP7" s="302"/>
      <c r="HUQ7" s="302"/>
      <c r="HUR7" s="302"/>
      <c r="HUS7" s="302"/>
      <c r="HUT7" s="302"/>
      <c r="HUU7" s="302"/>
      <c r="HUV7" s="302"/>
      <c r="HUW7" s="302"/>
      <c r="HUX7" s="302"/>
      <c r="HUY7" s="302"/>
      <c r="HUZ7" s="302"/>
      <c r="HVA7" s="302"/>
      <c r="HVB7" s="302"/>
      <c r="HVC7" s="302"/>
      <c r="HVD7" s="302"/>
      <c r="HVE7" s="302"/>
      <c r="HVF7" s="302"/>
      <c r="HVG7" s="302"/>
      <c r="HVH7" s="302"/>
      <c r="HVI7" s="302"/>
      <c r="HVJ7" s="302"/>
      <c r="HVK7" s="302"/>
      <c r="HVL7" s="302"/>
      <c r="HVM7" s="302"/>
      <c r="HVN7" s="302"/>
      <c r="HVO7" s="302"/>
      <c r="HVP7" s="302"/>
      <c r="HVQ7" s="302"/>
      <c r="HVR7" s="302"/>
      <c r="HVS7" s="302"/>
      <c r="HVT7" s="302"/>
      <c r="HVU7" s="302"/>
      <c r="HVV7" s="302"/>
      <c r="HVW7" s="302"/>
      <c r="HVX7" s="302"/>
      <c r="HVY7" s="302"/>
      <c r="HVZ7" s="302"/>
      <c r="HWA7" s="302"/>
      <c r="HWB7" s="302"/>
      <c r="HWC7" s="302"/>
      <c r="HWD7" s="302"/>
      <c r="HWE7" s="302"/>
      <c r="HWF7" s="302"/>
      <c r="HWG7" s="302"/>
      <c r="HWH7" s="302"/>
      <c r="HWI7" s="302"/>
      <c r="HWJ7" s="302"/>
      <c r="HWK7" s="302"/>
      <c r="HWL7" s="302"/>
      <c r="HWM7" s="302"/>
      <c r="HWN7" s="302"/>
      <c r="HWO7" s="302"/>
      <c r="HWP7" s="302"/>
      <c r="HWQ7" s="302"/>
      <c r="HWR7" s="302"/>
      <c r="HWS7" s="302"/>
      <c r="HWT7" s="302"/>
      <c r="HWU7" s="302"/>
      <c r="HWV7" s="302"/>
      <c r="HWW7" s="302"/>
      <c r="HWX7" s="302"/>
      <c r="HWY7" s="302"/>
      <c r="HWZ7" s="302"/>
      <c r="HXA7" s="302"/>
      <c r="HXB7" s="302"/>
      <c r="HXC7" s="302"/>
      <c r="HXD7" s="302"/>
      <c r="HXE7" s="302"/>
      <c r="HXF7" s="302"/>
      <c r="HXG7" s="302"/>
      <c r="HXH7" s="302"/>
      <c r="HXI7" s="302"/>
      <c r="HXJ7" s="302"/>
      <c r="HXK7" s="302"/>
      <c r="HXL7" s="302"/>
      <c r="HXM7" s="302"/>
      <c r="HXN7" s="302"/>
      <c r="HXO7" s="302"/>
      <c r="HXP7" s="302"/>
      <c r="HXQ7" s="302"/>
      <c r="HXR7" s="302"/>
      <c r="HXS7" s="302"/>
      <c r="HXT7" s="302"/>
      <c r="HXU7" s="302"/>
      <c r="HXV7" s="302"/>
      <c r="HXW7" s="302"/>
      <c r="HXX7" s="302"/>
      <c r="HXY7" s="302"/>
      <c r="HXZ7" s="302"/>
      <c r="HYA7" s="302"/>
      <c r="HYB7" s="302"/>
      <c r="HYC7" s="302"/>
      <c r="HYD7" s="302"/>
      <c r="HYE7" s="302"/>
      <c r="HYF7" s="302"/>
      <c r="HYG7" s="302"/>
      <c r="HYH7" s="302"/>
      <c r="HYI7" s="302"/>
      <c r="HYJ7" s="302"/>
      <c r="HYK7" s="302"/>
      <c r="HYL7" s="302"/>
      <c r="HYM7" s="302"/>
      <c r="HYN7" s="302"/>
      <c r="HYO7" s="302"/>
      <c r="HYP7" s="302"/>
      <c r="HYQ7" s="302"/>
      <c r="HYR7" s="302"/>
      <c r="HYS7" s="302"/>
      <c r="HYT7" s="302"/>
      <c r="HYU7" s="302"/>
      <c r="HYV7" s="302"/>
      <c r="HYW7" s="302"/>
      <c r="HYX7" s="302"/>
      <c r="HYY7" s="302"/>
      <c r="HYZ7" s="302"/>
      <c r="HZA7" s="302"/>
      <c r="HZB7" s="302"/>
      <c r="HZC7" s="302"/>
      <c r="HZD7" s="302"/>
      <c r="HZE7" s="302"/>
      <c r="HZF7" s="302"/>
      <c r="HZG7" s="302"/>
      <c r="HZH7" s="302"/>
      <c r="HZI7" s="302"/>
      <c r="HZJ7" s="302"/>
      <c r="HZK7" s="302"/>
      <c r="HZL7" s="302"/>
      <c r="HZM7" s="302"/>
      <c r="HZN7" s="302"/>
      <c r="HZO7" s="302"/>
      <c r="HZP7" s="302"/>
      <c r="HZQ7" s="302"/>
      <c r="HZR7" s="302"/>
      <c r="HZS7" s="302"/>
      <c r="HZT7" s="302"/>
      <c r="HZU7" s="302"/>
      <c r="HZV7" s="302"/>
      <c r="HZW7" s="302"/>
      <c r="HZX7" s="302"/>
      <c r="HZY7" s="302"/>
      <c r="HZZ7" s="302"/>
      <c r="IAA7" s="302"/>
      <c r="IAB7" s="302"/>
      <c r="IAC7" s="302"/>
      <c r="IAD7" s="302"/>
      <c r="IAE7" s="302"/>
      <c r="IAF7" s="302"/>
      <c r="IAG7" s="302"/>
      <c r="IAH7" s="302"/>
      <c r="IAI7" s="302"/>
      <c r="IAJ7" s="302"/>
      <c r="IAK7" s="302"/>
      <c r="IAL7" s="302"/>
      <c r="IAM7" s="302"/>
      <c r="IAN7" s="302"/>
      <c r="IAO7" s="302"/>
      <c r="IAP7" s="302"/>
      <c r="IAQ7" s="302"/>
      <c r="IAR7" s="302"/>
      <c r="IAS7" s="302"/>
      <c r="IAT7" s="302"/>
      <c r="IAU7" s="302"/>
      <c r="IAV7" s="302"/>
      <c r="IAW7" s="302"/>
      <c r="IAX7" s="302"/>
      <c r="IAY7" s="302"/>
      <c r="IAZ7" s="302"/>
      <c r="IBA7" s="302"/>
      <c r="IBB7" s="302"/>
      <c r="IBC7" s="302"/>
      <c r="IBD7" s="302"/>
      <c r="IBE7" s="302"/>
      <c r="IBF7" s="302"/>
      <c r="IBG7" s="302"/>
      <c r="IBH7" s="302"/>
      <c r="IBI7" s="302"/>
      <c r="IBJ7" s="302"/>
      <c r="IBK7" s="302"/>
      <c r="IBL7" s="302"/>
      <c r="IBM7" s="302"/>
      <c r="IBN7" s="302"/>
      <c r="IBO7" s="302"/>
      <c r="IBP7" s="302"/>
      <c r="IBQ7" s="302"/>
      <c r="IBR7" s="302"/>
      <c r="IBS7" s="302"/>
      <c r="IBT7" s="302"/>
      <c r="IBU7" s="302"/>
      <c r="IBV7" s="302"/>
      <c r="IBW7" s="302"/>
      <c r="IBX7" s="302"/>
      <c r="IBY7" s="302"/>
      <c r="IBZ7" s="302"/>
      <c r="ICA7" s="302"/>
      <c r="ICB7" s="302"/>
      <c r="ICC7" s="302"/>
      <c r="ICD7" s="302"/>
      <c r="ICE7" s="302"/>
      <c r="ICF7" s="302"/>
      <c r="ICG7" s="302"/>
      <c r="ICH7" s="302"/>
      <c r="ICI7" s="302"/>
      <c r="ICJ7" s="302"/>
      <c r="ICK7" s="302"/>
      <c r="ICL7" s="302"/>
      <c r="ICM7" s="302"/>
      <c r="ICN7" s="302"/>
      <c r="ICO7" s="302"/>
      <c r="ICP7" s="302"/>
      <c r="ICQ7" s="302"/>
      <c r="ICR7" s="302"/>
      <c r="ICS7" s="302"/>
      <c r="ICT7" s="302"/>
      <c r="ICU7" s="302"/>
      <c r="ICV7" s="302"/>
      <c r="ICW7" s="302"/>
      <c r="ICX7" s="302"/>
      <c r="ICY7" s="302"/>
      <c r="ICZ7" s="302"/>
      <c r="IDA7" s="302"/>
      <c r="IDB7" s="302"/>
      <c r="IDC7" s="302"/>
      <c r="IDD7" s="302"/>
      <c r="IDE7" s="302"/>
      <c r="IDF7" s="302"/>
      <c r="IDG7" s="302"/>
      <c r="IDH7" s="302"/>
      <c r="IDI7" s="302"/>
      <c r="IDJ7" s="302"/>
      <c r="IDK7" s="302"/>
      <c r="IDL7" s="302"/>
      <c r="IDM7" s="302"/>
      <c r="IDN7" s="302"/>
      <c r="IDO7" s="302"/>
      <c r="IDP7" s="302"/>
      <c r="IDQ7" s="302"/>
      <c r="IDR7" s="302"/>
      <c r="IDS7" s="302"/>
      <c r="IDT7" s="302"/>
      <c r="IDU7" s="302"/>
      <c r="IDV7" s="302"/>
      <c r="IDW7" s="302"/>
      <c r="IDX7" s="302"/>
      <c r="IDY7" s="302"/>
      <c r="IDZ7" s="302"/>
      <c r="IEA7" s="302"/>
      <c r="IEB7" s="302"/>
      <c r="IEC7" s="302"/>
      <c r="IED7" s="302"/>
      <c r="IEE7" s="302"/>
      <c r="IEF7" s="302"/>
      <c r="IEG7" s="302"/>
      <c r="IEH7" s="302"/>
      <c r="IEI7" s="302"/>
      <c r="IEJ7" s="302"/>
      <c r="IEK7" s="302"/>
      <c r="IEL7" s="302"/>
      <c r="IEM7" s="302"/>
      <c r="IEN7" s="302"/>
      <c r="IEO7" s="302"/>
      <c r="IEP7" s="302"/>
      <c r="IEQ7" s="302"/>
      <c r="IER7" s="302"/>
      <c r="IES7" s="302"/>
      <c r="IET7" s="302"/>
      <c r="IEU7" s="302"/>
      <c r="IEV7" s="302"/>
      <c r="IEW7" s="302"/>
      <c r="IEX7" s="302"/>
      <c r="IEY7" s="302"/>
      <c r="IEZ7" s="302"/>
      <c r="IFA7" s="302"/>
      <c r="IFB7" s="302"/>
      <c r="IFC7" s="302"/>
      <c r="IFD7" s="302"/>
      <c r="IFE7" s="302"/>
      <c r="IFF7" s="302"/>
      <c r="IFG7" s="302"/>
      <c r="IFH7" s="302"/>
      <c r="IFI7" s="302"/>
      <c r="IFJ7" s="302"/>
      <c r="IFK7" s="302"/>
      <c r="IFL7" s="302"/>
      <c r="IFM7" s="302"/>
      <c r="IFN7" s="302"/>
      <c r="IFO7" s="302"/>
      <c r="IFP7" s="302"/>
      <c r="IFQ7" s="302"/>
      <c r="IFR7" s="302"/>
      <c r="IFS7" s="302"/>
      <c r="IFT7" s="302"/>
      <c r="IFU7" s="302"/>
      <c r="IFV7" s="302"/>
      <c r="IFW7" s="302"/>
      <c r="IFX7" s="302"/>
      <c r="IFY7" s="302"/>
      <c r="IFZ7" s="302"/>
      <c r="IGA7" s="302"/>
      <c r="IGB7" s="302"/>
      <c r="IGC7" s="302"/>
      <c r="IGD7" s="302"/>
      <c r="IGE7" s="302"/>
      <c r="IGF7" s="302"/>
      <c r="IGG7" s="302"/>
      <c r="IGH7" s="302"/>
      <c r="IGI7" s="302"/>
      <c r="IGJ7" s="302"/>
      <c r="IGK7" s="302"/>
      <c r="IGL7" s="302"/>
      <c r="IGM7" s="302"/>
      <c r="IGN7" s="302"/>
      <c r="IGO7" s="302"/>
      <c r="IGP7" s="302"/>
      <c r="IGQ7" s="302"/>
      <c r="IGR7" s="302"/>
      <c r="IGS7" s="302"/>
      <c r="IGT7" s="302"/>
      <c r="IGU7" s="302"/>
      <c r="IGV7" s="302"/>
      <c r="IGW7" s="302"/>
      <c r="IGX7" s="302"/>
      <c r="IGY7" s="302"/>
      <c r="IGZ7" s="302"/>
      <c r="IHA7" s="302"/>
      <c r="IHB7" s="302"/>
      <c r="IHC7" s="302"/>
      <c r="IHD7" s="302"/>
      <c r="IHE7" s="302"/>
      <c r="IHF7" s="302"/>
      <c r="IHG7" s="302"/>
      <c r="IHH7" s="302"/>
      <c r="IHI7" s="302"/>
      <c r="IHJ7" s="302"/>
      <c r="IHK7" s="302"/>
      <c r="IHL7" s="302"/>
      <c r="IHM7" s="302"/>
      <c r="IHN7" s="302"/>
      <c r="IHO7" s="302"/>
      <c r="IHP7" s="302"/>
      <c r="IHQ7" s="302"/>
      <c r="IHR7" s="302"/>
      <c r="IHS7" s="302"/>
      <c r="IHT7" s="302"/>
      <c r="IHU7" s="302"/>
      <c r="IHV7" s="302"/>
      <c r="IHW7" s="302"/>
      <c r="IHX7" s="302"/>
      <c r="IHY7" s="302"/>
      <c r="IHZ7" s="302"/>
      <c r="IIA7" s="302"/>
      <c r="IIB7" s="302"/>
      <c r="IIC7" s="302"/>
      <c r="IID7" s="302"/>
      <c r="IIE7" s="302"/>
      <c r="IIF7" s="302"/>
      <c r="IIG7" s="302"/>
      <c r="IIH7" s="302"/>
      <c r="III7" s="302"/>
      <c r="IIJ7" s="302"/>
      <c r="IIK7" s="302"/>
      <c r="IIL7" s="302"/>
      <c r="IIM7" s="302"/>
      <c r="IIN7" s="302"/>
      <c r="IIO7" s="302"/>
      <c r="IIP7" s="302"/>
      <c r="IIQ7" s="302"/>
      <c r="IIR7" s="302"/>
      <c r="IIS7" s="302"/>
      <c r="IIT7" s="302"/>
      <c r="IIU7" s="302"/>
      <c r="IIV7" s="302"/>
      <c r="IIW7" s="302"/>
      <c r="IIX7" s="302"/>
      <c r="IIY7" s="302"/>
      <c r="IIZ7" s="302"/>
      <c r="IJA7" s="302"/>
      <c r="IJB7" s="302"/>
      <c r="IJC7" s="302"/>
      <c r="IJD7" s="302"/>
      <c r="IJE7" s="302"/>
      <c r="IJF7" s="302"/>
      <c r="IJG7" s="302"/>
      <c r="IJH7" s="302"/>
      <c r="IJI7" s="302"/>
      <c r="IJJ7" s="302"/>
      <c r="IJK7" s="302"/>
      <c r="IJL7" s="302"/>
      <c r="IJM7" s="302"/>
      <c r="IJN7" s="302"/>
      <c r="IJO7" s="302"/>
      <c r="IJP7" s="302"/>
      <c r="IJQ7" s="302"/>
      <c r="IJR7" s="302"/>
      <c r="IJS7" s="302"/>
      <c r="IJT7" s="302"/>
      <c r="IJU7" s="302"/>
      <c r="IJV7" s="302"/>
      <c r="IJW7" s="302"/>
      <c r="IJX7" s="302"/>
      <c r="IJY7" s="302"/>
      <c r="IJZ7" s="302"/>
      <c r="IKA7" s="302"/>
      <c r="IKB7" s="302"/>
      <c r="IKC7" s="302"/>
      <c r="IKD7" s="302"/>
      <c r="IKE7" s="302"/>
      <c r="IKF7" s="302"/>
      <c r="IKG7" s="302"/>
      <c r="IKH7" s="302"/>
      <c r="IKI7" s="302"/>
      <c r="IKJ7" s="302"/>
      <c r="IKK7" s="302"/>
      <c r="IKL7" s="302"/>
      <c r="IKM7" s="302"/>
      <c r="IKN7" s="302"/>
      <c r="IKO7" s="302"/>
      <c r="IKP7" s="302"/>
      <c r="IKQ7" s="302"/>
      <c r="IKR7" s="302"/>
      <c r="IKS7" s="302"/>
      <c r="IKT7" s="302"/>
      <c r="IKU7" s="302"/>
      <c r="IKV7" s="302"/>
      <c r="IKW7" s="302"/>
      <c r="IKX7" s="302"/>
      <c r="IKY7" s="302"/>
      <c r="IKZ7" s="302"/>
      <c r="ILA7" s="302"/>
      <c r="ILB7" s="302"/>
      <c r="ILC7" s="302"/>
      <c r="ILD7" s="302"/>
      <c r="ILE7" s="302"/>
      <c r="ILF7" s="302"/>
      <c r="ILG7" s="302"/>
      <c r="ILH7" s="302"/>
      <c r="ILI7" s="302"/>
      <c r="ILJ7" s="302"/>
      <c r="ILK7" s="302"/>
      <c r="ILL7" s="302"/>
      <c r="ILM7" s="302"/>
      <c r="ILN7" s="302"/>
      <c r="ILO7" s="302"/>
      <c r="ILP7" s="302"/>
      <c r="ILQ7" s="302"/>
      <c r="ILR7" s="302"/>
      <c r="ILS7" s="302"/>
      <c r="ILT7" s="302"/>
      <c r="ILU7" s="302"/>
      <c r="ILV7" s="302"/>
      <c r="ILW7" s="302"/>
      <c r="ILX7" s="302"/>
      <c r="ILY7" s="302"/>
      <c r="ILZ7" s="302"/>
      <c r="IMA7" s="302"/>
      <c r="IMB7" s="302"/>
      <c r="IMC7" s="302"/>
      <c r="IMD7" s="302"/>
      <c r="IME7" s="302"/>
      <c r="IMF7" s="302"/>
      <c r="IMG7" s="302"/>
      <c r="IMH7" s="302"/>
      <c r="IMI7" s="302"/>
      <c r="IMJ7" s="302"/>
      <c r="IMK7" s="302"/>
      <c r="IML7" s="302"/>
      <c r="IMM7" s="302"/>
      <c r="IMN7" s="302"/>
      <c r="IMO7" s="302"/>
      <c r="IMP7" s="302"/>
      <c r="IMQ7" s="302"/>
      <c r="IMR7" s="302"/>
      <c r="IMS7" s="302"/>
      <c r="IMT7" s="302"/>
      <c r="IMU7" s="302"/>
      <c r="IMV7" s="302"/>
      <c r="IMW7" s="302"/>
      <c r="IMX7" s="302"/>
      <c r="IMY7" s="302"/>
      <c r="IMZ7" s="302"/>
      <c r="INA7" s="302"/>
      <c r="INB7" s="302"/>
      <c r="INC7" s="302"/>
      <c r="IND7" s="302"/>
      <c r="INE7" s="302"/>
      <c r="INF7" s="302"/>
      <c r="ING7" s="302"/>
      <c r="INH7" s="302"/>
      <c r="INI7" s="302"/>
      <c r="INJ7" s="302"/>
      <c r="INK7" s="302"/>
      <c r="INL7" s="302"/>
      <c r="INM7" s="302"/>
      <c r="INN7" s="302"/>
      <c r="INO7" s="302"/>
      <c r="INP7" s="302"/>
      <c r="INQ7" s="302"/>
      <c r="INR7" s="302"/>
      <c r="INS7" s="302"/>
      <c r="INT7" s="302"/>
      <c r="INU7" s="302"/>
      <c r="INV7" s="302"/>
      <c r="INW7" s="302"/>
      <c r="INX7" s="302"/>
      <c r="INY7" s="302"/>
      <c r="INZ7" s="302"/>
      <c r="IOA7" s="302"/>
      <c r="IOB7" s="302"/>
      <c r="IOC7" s="302"/>
      <c r="IOD7" s="302"/>
      <c r="IOE7" s="302"/>
      <c r="IOF7" s="302"/>
      <c r="IOG7" s="302"/>
      <c r="IOH7" s="302"/>
      <c r="IOI7" s="302"/>
      <c r="IOJ7" s="302"/>
      <c r="IOK7" s="302"/>
      <c r="IOL7" s="302"/>
      <c r="IOM7" s="302"/>
      <c r="ION7" s="302"/>
      <c r="IOO7" s="302"/>
      <c r="IOP7" s="302"/>
      <c r="IOQ7" s="302"/>
      <c r="IOR7" s="302"/>
      <c r="IOS7" s="302"/>
      <c r="IOT7" s="302"/>
      <c r="IOU7" s="302"/>
      <c r="IOV7" s="302"/>
      <c r="IOW7" s="302"/>
      <c r="IOX7" s="302"/>
      <c r="IOY7" s="302"/>
      <c r="IOZ7" s="302"/>
      <c r="IPA7" s="302"/>
      <c r="IPB7" s="302"/>
      <c r="IPC7" s="302"/>
      <c r="IPD7" s="302"/>
      <c r="IPE7" s="302"/>
      <c r="IPF7" s="302"/>
      <c r="IPG7" s="302"/>
      <c r="IPH7" s="302"/>
      <c r="IPI7" s="302"/>
      <c r="IPJ7" s="302"/>
      <c r="IPK7" s="302"/>
      <c r="IPL7" s="302"/>
      <c r="IPM7" s="302"/>
      <c r="IPN7" s="302"/>
      <c r="IPO7" s="302"/>
      <c r="IPP7" s="302"/>
      <c r="IPQ7" s="302"/>
      <c r="IPR7" s="302"/>
      <c r="IPS7" s="302"/>
      <c r="IPT7" s="302"/>
      <c r="IPU7" s="302"/>
      <c r="IPV7" s="302"/>
      <c r="IPW7" s="302"/>
      <c r="IPX7" s="302"/>
      <c r="IPY7" s="302"/>
      <c r="IPZ7" s="302"/>
      <c r="IQA7" s="302"/>
      <c r="IQB7" s="302"/>
      <c r="IQC7" s="302"/>
      <c r="IQD7" s="302"/>
      <c r="IQE7" s="302"/>
      <c r="IQF7" s="302"/>
      <c r="IQG7" s="302"/>
      <c r="IQH7" s="302"/>
      <c r="IQI7" s="302"/>
      <c r="IQJ7" s="302"/>
      <c r="IQK7" s="302"/>
      <c r="IQL7" s="302"/>
      <c r="IQM7" s="302"/>
      <c r="IQN7" s="302"/>
      <c r="IQO7" s="302"/>
      <c r="IQP7" s="302"/>
      <c r="IQQ7" s="302"/>
      <c r="IQR7" s="302"/>
      <c r="IQS7" s="302"/>
      <c r="IQT7" s="302"/>
      <c r="IQU7" s="302"/>
      <c r="IQV7" s="302"/>
      <c r="IQW7" s="302"/>
      <c r="IQX7" s="302"/>
      <c r="IQY7" s="302"/>
      <c r="IQZ7" s="302"/>
      <c r="IRA7" s="302"/>
      <c r="IRB7" s="302"/>
      <c r="IRC7" s="302"/>
      <c r="IRD7" s="302"/>
      <c r="IRE7" s="302"/>
      <c r="IRF7" s="302"/>
      <c r="IRG7" s="302"/>
      <c r="IRH7" s="302"/>
      <c r="IRI7" s="302"/>
      <c r="IRJ7" s="302"/>
      <c r="IRK7" s="302"/>
      <c r="IRL7" s="302"/>
      <c r="IRM7" s="302"/>
      <c r="IRN7" s="302"/>
      <c r="IRO7" s="302"/>
      <c r="IRP7" s="302"/>
      <c r="IRQ7" s="302"/>
      <c r="IRR7" s="302"/>
      <c r="IRS7" s="302"/>
      <c r="IRT7" s="302"/>
      <c r="IRU7" s="302"/>
      <c r="IRV7" s="302"/>
      <c r="IRW7" s="302"/>
      <c r="IRX7" s="302"/>
      <c r="IRY7" s="302"/>
      <c r="IRZ7" s="302"/>
      <c r="ISA7" s="302"/>
      <c r="ISB7" s="302"/>
      <c r="ISC7" s="302"/>
      <c r="ISD7" s="302"/>
      <c r="ISE7" s="302"/>
      <c r="ISF7" s="302"/>
      <c r="ISG7" s="302"/>
      <c r="ISH7" s="302"/>
      <c r="ISI7" s="302"/>
      <c r="ISJ7" s="302"/>
      <c r="ISK7" s="302"/>
      <c r="ISL7" s="302"/>
      <c r="ISM7" s="302"/>
      <c r="ISN7" s="302"/>
      <c r="ISO7" s="302"/>
      <c r="ISP7" s="302"/>
      <c r="ISQ7" s="302"/>
      <c r="ISR7" s="302"/>
      <c r="ISS7" s="302"/>
      <c r="IST7" s="302"/>
      <c r="ISU7" s="302"/>
      <c r="ISV7" s="302"/>
      <c r="ISW7" s="302"/>
      <c r="ISX7" s="302"/>
      <c r="ISY7" s="302"/>
      <c r="ISZ7" s="302"/>
      <c r="ITA7" s="302"/>
      <c r="ITB7" s="302"/>
      <c r="ITC7" s="302"/>
      <c r="ITD7" s="302"/>
      <c r="ITE7" s="302"/>
      <c r="ITF7" s="302"/>
      <c r="ITG7" s="302"/>
      <c r="ITH7" s="302"/>
      <c r="ITI7" s="302"/>
      <c r="ITJ7" s="302"/>
      <c r="ITK7" s="302"/>
      <c r="ITL7" s="302"/>
      <c r="ITM7" s="302"/>
      <c r="ITN7" s="302"/>
      <c r="ITO7" s="302"/>
      <c r="ITP7" s="302"/>
      <c r="ITQ7" s="302"/>
      <c r="ITR7" s="302"/>
      <c r="ITS7" s="302"/>
      <c r="ITT7" s="302"/>
      <c r="ITU7" s="302"/>
      <c r="ITV7" s="302"/>
      <c r="ITW7" s="302"/>
      <c r="ITX7" s="302"/>
      <c r="ITY7" s="302"/>
      <c r="ITZ7" s="302"/>
      <c r="IUA7" s="302"/>
      <c r="IUB7" s="302"/>
      <c r="IUC7" s="302"/>
      <c r="IUD7" s="302"/>
      <c r="IUE7" s="302"/>
      <c r="IUF7" s="302"/>
      <c r="IUG7" s="302"/>
      <c r="IUH7" s="302"/>
      <c r="IUI7" s="302"/>
      <c r="IUJ7" s="302"/>
      <c r="IUK7" s="302"/>
      <c r="IUL7" s="302"/>
      <c r="IUM7" s="302"/>
      <c r="IUN7" s="302"/>
      <c r="IUO7" s="302"/>
      <c r="IUP7" s="302"/>
      <c r="IUQ7" s="302"/>
      <c r="IUR7" s="302"/>
      <c r="IUS7" s="302"/>
      <c r="IUT7" s="302"/>
      <c r="IUU7" s="302"/>
      <c r="IUV7" s="302"/>
      <c r="IUW7" s="302"/>
      <c r="IUX7" s="302"/>
      <c r="IUY7" s="302"/>
      <c r="IUZ7" s="302"/>
      <c r="IVA7" s="302"/>
      <c r="IVB7" s="302"/>
      <c r="IVC7" s="302"/>
      <c r="IVD7" s="302"/>
      <c r="IVE7" s="302"/>
      <c r="IVF7" s="302"/>
      <c r="IVG7" s="302"/>
      <c r="IVH7" s="302"/>
      <c r="IVI7" s="302"/>
      <c r="IVJ7" s="302"/>
      <c r="IVK7" s="302"/>
      <c r="IVL7" s="302"/>
      <c r="IVM7" s="302"/>
      <c r="IVN7" s="302"/>
      <c r="IVO7" s="302"/>
      <c r="IVP7" s="302"/>
      <c r="IVQ7" s="302"/>
      <c r="IVR7" s="302"/>
      <c r="IVS7" s="302"/>
      <c r="IVT7" s="302"/>
      <c r="IVU7" s="302"/>
      <c r="IVV7" s="302"/>
      <c r="IVW7" s="302"/>
      <c r="IVX7" s="302"/>
      <c r="IVY7" s="302"/>
      <c r="IVZ7" s="302"/>
      <c r="IWA7" s="302"/>
      <c r="IWB7" s="302"/>
      <c r="IWC7" s="302"/>
      <c r="IWD7" s="302"/>
      <c r="IWE7" s="302"/>
      <c r="IWF7" s="302"/>
      <c r="IWG7" s="302"/>
      <c r="IWH7" s="302"/>
      <c r="IWI7" s="302"/>
      <c r="IWJ7" s="302"/>
      <c r="IWK7" s="302"/>
      <c r="IWL7" s="302"/>
      <c r="IWM7" s="302"/>
      <c r="IWN7" s="302"/>
      <c r="IWO7" s="302"/>
      <c r="IWP7" s="302"/>
      <c r="IWQ7" s="302"/>
      <c r="IWR7" s="302"/>
      <c r="IWS7" s="302"/>
      <c r="IWT7" s="302"/>
      <c r="IWU7" s="302"/>
      <c r="IWV7" s="302"/>
      <c r="IWW7" s="302"/>
      <c r="IWX7" s="302"/>
      <c r="IWY7" s="302"/>
      <c r="IWZ7" s="302"/>
      <c r="IXA7" s="302"/>
      <c r="IXB7" s="302"/>
      <c r="IXC7" s="302"/>
      <c r="IXD7" s="302"/>
      <c r="IXE7" s="302"/>
      <c r="IXF7" s="302"/>
      <c r="IXG7" s="302"/>
      <c r="IXH7" s="302"/>
      <c r="IXI7" s="302"/>
      <c r="IXJ7" s="302"/>
      <c r="IXK7" s="302"/>
      <c r="IXL7" s="302"/>
      <c r="IXM7" s="302"/>
      <c r="IXN7" s="302"/>
      <c r="IXO7" s="302"/>
      <c r="IXP7" s="302"/>
      <c r="IXQ7" s="302"/>
      <c r="IXR7" s="302"/>
      <c r="IXS7" s="302"/>
      <c r="IXT7" s="302"/>
      <c r="IXU7" s="302"/>
      <c r="IXV7" s="302"/>
      <c r="IXW7" s="302"/>
      <c r="IXX7" s="302"/>
      <c r="IXY7" s="302"/>
      <c r="IXZ7" s="302"/>
      <c r="IYA7" s="302"/>
      <c r="IYB7" s="302"/>
      <c r="IYC7" s="302"/>
      <c r="IYD7" s="302"/>
      <c r="IYE7" s="302"/>
      <c r="IYF7" s="302"/>
      <c r="IYG7" s="302"/>
      <c r="IYH7" s="302"/>
      <c r="IYI7" s="302"/>
      <c r="IYJ7" s="302"/>
      <c r="IYK7" s="302"/>
      <c r="IYL7" s="302"/>
      <c r="IYM7" s="302"/>
      <c r="IYN7" s="302"/>
      <c r="IYO7" s="302"/>
      <c r="IYP7" s="302"/>
      <c r="IYQ7" s="302"/>
      <c r="IYR7" s="302"/>
      <c r="IYS7" s="302"/>
      <c r="IYT7" s="302"/>
      <c r="IYU7" s="302"/>
      <c r="IYV7" s="302"/>
      <c r="IYW7" s="302"/>
      <c r="IYX7" s="302"/>
      <c r="IYY7" s="302"/>
      <c r="IYZ7" s="302"/>
      <c r="IZA7" s="302"/>
      <c r="IZB7" s="302"/>
      <c r="IZC7" s="302"/>
      <c r="IZD7" s="302"/>
      <c r="IZE7" s="302"/>
      <c r="IZF7" s="302"/>
      <c r="IZG7" s="302"/>
      <c r="IZH7" s="302"/>
      <c r="IZI7" s="302"/>
      <c r="IZJ7" s="302"/>
      <c r="IZK7" s="302"/>
      <c r="IZL7" s="302"/>
      <c r="IZM7" s="302"/>
      <c r="IZN7" s="302"/>
      <c r="IZO7" s="302"/>
      <c r="IZP7" s="302"/>
      <c r="IZQ7" s="302"/>
      <c r="IZR7" s="302"/>
      <c r="IZS7" s="302"/>
      <c r="IZT7" s="302"/>
      <c r="IZU7" s="302"/>
      <c r="IZV7" s="302"/>
      <c r="IZW7" s="302"/>
      <c r="IZX7" s="302"/>
      <c r="IZY7" s="302"/>
      <c r="IZZ7" s="302"/>
      <c r="JAA7" s="302"/>
      <c r="JAB7" s="302"/>
      <c r="JAC7" s="302"/>
      <c r="JAD7" s="302"/>
      <c r="JAE7" s="302"/>
      <c r="JAF7" s="302"/>
      <c r="JAG7" s="302"/>
      <c r="JAH7" s="302"/>
      <c r="JAI7" s="302"/>
      <c r="JAJ7" s="302"/>
      <c r="JAK7" s="302"/>
      <c r="JAL7" s="302"/>
      <c r="JAM7" s="302"/>
      <c r="JAN7" s="302"/>
      <c r="JAO7" s="302"/>
      <c r="JAP7" s="302"/>
      <c r="JAQ7" s="302"/>
      <c r="JAR7" s="302"/>
      <c r="JAS7" s="302"/>
      <c r="JAT7" s="302"/>
      <c r="JAU7" s="302"/>
      <c r="JAV7" s="302"/>
      <c r="JAW7" s="302"/>
      <c r="JAX7" s="302"/>
      <c r="JAY7" s="302"/>
      <c r="JAZ7" s="302"/>
      <c r="JBA7" s="302"/>
      <c r="JBB7" s="302"/>
      <c r="JBC7" s="302"/>
      <c r="JBD7" s="302"/>
      <c r="JBE7" s="302"/>
      <c r="JBF7" s="302"/>
      <c r="JBG7" s="302"/>
      <c r="JBH7" s="302"/>
      <c r="JBI7" s="302"/>
      <c r="JBJ7" s="302"/>
      <c r="JBK7" s="302"/>
      <c r="JBL7" s="302"/>
      <c r="JBM7" s="302"/>
      <c r="JBN7" s="302"/>
      <c r="JBO7" s="302"/>
      <c r="JBP7" s="302"/>
      <c r="JBQ7" s="302"/>
      <c r="JBR7" s="302"/>
      <c r="JBS7" s="302"/>
      <c r="JBT7" s="302"/>
      <c r="JBU7" s="302"/>
      <c r="JBV7" s="302"/>
      <c r="JBW7" s="302"/>
      <c r="JBX7" s="302"/>
      <c r="JBY7" s="302"/>
      <c r="JBZ7" s="302"/>
      <c r="JCA7" s="302"/>
      <c r="JCB7" s="302"/>
      <c r="JCC7" s="302"/>
      <c r="JCD7" s="302"/>
      <c r="JCE7" s="302"/>
      <c r="JCF7" s="302"/>
      <c r="JCG7" s="302"/>
      <c r="JCH7" s="302"/>
      <c r="JCI7" s="302"/>
      <c r="JCJ7" s="302"/>
      <c r="JCK7" s="302"/>
      <c r="JCL7" s="302"/>
      <c r="JCM7" s="302"/>
      <c r="JCN7" s="302"/>
      <c r="JCO7" s="302"/>
      <c r="JCP7" s="302"/>
      <c r="JCQ7" s="302"/>
      <c r="JCR7" s="302"/>
      <c r="JCS7" s="302"/>
      <c r="JCT7" s="302"/>
      <c r="JCU7" s="302"/>
      <c r="JCV7" s="302"/>
      <c r="JCW7" s="302"/>
      <c r="JCX7" s="302"/>
      <c r="JCY7" s="302"/>
      <c r="JCZ7" s="302"/>
      <c r="JDA7" s="302"/>
      <c r="JDB7" s="302"/>
      <c r="JDC7" s="302"/>
      <c r="JDD7" s="302"/>
      <c r="JDE7" s="302"/>
      <c r="JDF7" s="302"/>
      <c r="JDG7" s="302"/>
      <c r="JDH7" s="302"/>
      <c r="JDI7" s="302"/>
      <c r="JDJ7" s="302"/>
      <c r="JDK7" s="302"/>
      <c r="JDL7" s="302"/>
      <c r="JDM7" s="302"/>
      <c r="JDN7" s="302"/>
      <c r="JDO7" s="302"/>
      <c r="JDP7" s="302"/>
      <c r="JDQ7" s="302"/>
      <c r="JDR7" s="302"/>
      <c r="JDS7" s="302"/>
      <c r="JDT7" s="302"/>
      <c r="JDU7" s="302"/>
      <c r="JDV7" s="302"/>
      <c r="JDW7" s="302"/>
      <c r="JDX7" s="302"/>
      <c r="JDY7" s="302"/>
      <c r="JDZ7" s="302"/>
      <c r="JEA7" s="302"/>
      <c r="JEB7" s="302"/>
      <c r="JEC7" s="302"/>
      <c r="JED7" s="302"/>
      <c r="JEE7" s="302"/>
      <c r="JEF7" s="302"/>
      <c r="JEG7" s="302"/>
      <c r="JEH7" s="302"/>
      <c r="JEI7" s="302"/>
      <c r="JEJ7" s="302"/>
      <c r="JEK7" s="302"/>
      <c r="JEL7" s="302"/>
      <c r="JEM7" s="302"/>
      <c r="JEN7" s="302"/>
      <c r="JEO7" s="302"/>
      <c r="JEP7" s="302"/>
      <c r="JEQ7" s="302"/>
      <c r="JER7" s="302"/>
      <c r="JES7" s="302"/>
      <c r="JET7" s="302"/>
      <c r="JEU7" s="302"/>
      <c r="JEV7" s="302"/>
      <c r="JEW7" s="302"/>
      <c r="JEX7" s="302"/>
      <c r="JEY7" s="302"/>
      <c r="JEZ7" s="302"/>
      <c r="JFA7" s="302"/>
      <c r="JFB7" s="302"/>
      <c r="JFC7" s="302"/>
      <c r="JFD7" s="302"/>
      <c r="JFE7" s="302"/>
      <c r="JFF7" s="302"/>
      <c r="JFG7" s="302"/>
      <c r="JFH7" s="302"/>
      <c r="JFI7" s="302"/>
      <c r="JFJ7" s="302"/>
      <c r="JFK7" s="302"/>
      <c r="JFL7" s="302"/>
      <c r="JFM7" s="302"/>
      <c r="JFN7" s="302"/>
      <c r="JFO7" s="302"/>
      <c r="JFP7" s="302"/>
      <c r="JFQ7" s="302"/>
      <c r="JFR7" s="302"/>
      <c r="JFS7" s="302"/>
      <c r="JFT7" s="302"/>
      <c r="JFU7" s="302"/>
      <c r="JFV7" s="302"/>
      <c r="JFW7" s="302"/>
      <c r="JFX7" s="302"/>
      <c r="JFY7" s="302"/>
      <c r="JFZ7" s="302"/>
      <c r="JGA7" s="302"/>
      <c r="JGB7" s="302"/>
      <c r="JGC7" s="302"/>
      <c r="JGD7" s="302"/>
      <c r="JGE7" s="302"/>
      <c r="JGF7" s="302"/>
      <c r="JGG7" s="302"/>
      <c r="JGH7" s="302"/>
      <c r="JGI7" s="302"/>
      <c r="JGJ7" s="302"/>
      <c r="JGK7" s="302"/>
      <c r="JGL7" s="302"/>
      <c r="JGM7" s="302"/>
      <c r="JGN7" s="302"/>
      <c r="JGO7" s="302"/>
      <c r="JGP7" s="302"/>
      <c r="JGQ7" s="302"/>
      <c r="JGR7" s="302"/>
      <c r="JGS7" s="302"/>
      <c r="JGT7" s="302"/>
      <c r="JGU7" s="302"/>
      <c r="JGV7" s="302"/>
      <c r="JGW7" s="302"/>
      <c r="JGX7" s="302"/>
      <c r="JGY7" s="302"/>
      <c r="JGZ7" s="302"/>
      <c r="JHA7" s="302"/>
      <c r="JHB7" s="302"/>
      <c r="JHC7" s="302"/>
      <c r="JHD7" s="302"/>
      <c r="JHE7" s="302"/>
      <c r="JHF7" s="302"/>
      <c r="JHG7" s="302"/>
      <c r="JHH7" s="302"/>
      <c r="JHI7" s="302"/>
      <c r="JHJ7" s="302"/>
      <c r="JHK7" s="302"/>
      <c r="JHL7" s="302"/>
      <c r="JHM7" s="302"/>
      <c r="JHN7" s="302"/>
      <c r="JHO7" s="302"/>
      <c r="JHP7" s="302"/>
      <c r="JHQ7" s="302"/>
      <c r="JHR7" s="302"/>
      <c r="JHS7" s="302"/>
      <c r="JHT7" s="302"/>
      <c r="JHU7" s="302"/>
      <c r="JHV7" s="302"/>
      <c r="JHW7" s="302"/>
      <c r="JHX7" s="302"/>
      <c r="JHY7" s="302"/>
      <c r="JHZ7" s="302"/>
      <c r="JIA7" s="302"/>
      <c r="JIB7" s="302"/>
      <c r="JIC7" s="302"/>
      <c r="JID7" s="302"/>
      <c r="JIE7" s="302"/>
      <c r="JIF7" s="302"/>
      <c r="JIG7" s="302"/>
      <c r="JIH7" s="302"/>
      <c r="JII7" s="302"/>
      <c r="JIJ7" s="302"/>
      <c r="JIK7" s="302"/>
      <c r="JIL7" s="302"/>
      <c r="JIM7" s="302"/>
      <c r="JIN7" s="302"/>
      <c r="JIO7" s="302"/>
      <c r="JIP7" s="302"/>
      <c r="JIQ7" s="302"/>
      <c r="JIR7" s="302"/>
      <c r="JIS7" s="302"/>
      <c r="JIT7" s="302"/>
      <c r="JIU7" s="302"/>
      <c r="JIV7" s="302"/>
      <c r="JIW7" s="302"/>
      <c r="JIX7" s="302"/>
      <c r="JIY7" s="302"/>
      <c r="JIZ7" s="302"/>
      <c r="JJA7" s="302"/>
      <c r="JJB7" s="302"/>
      <c r="JJC7" s="302"/>
      <c r="JJD7" s="302"/>
      <c r="JJE7" s="302"/>
      <c r="JJF7" s="302"/>
      <c r="JJG7" s="302"/>
      <c r="JJH7" s="302"/>
      <c r="JJI7" s="302"/>
      <c r="JJJ7" s="302"/>
      <c r="JJK7" s="302"/>
      <c r="JJL7" s="302"/>
      <c r="JJM7" s="302"/>
      <c r="JJN7" s="302"/>
      <c r="JJO7" s="302"/>
      <c r="JJP7" s="302"/>
      <c r="JJQ7" s="302"/>
      <c r="JJR7" s="302"/>
      <c r="JJS7" s="302"/>
      <c r="JJT7" s="302"/>
      <c r="JJU7" s="302"/>
      <c r="JJV7" s="302"/>
      <c r="JJW7" s="302"/>
      <c r="JJX7" s="302"/>
      <c r="JJY7" s="302"/>
      <c r="JJZ7" s="302"/>
      <c r="JKA7" s="302"/>
      <c r="JKB7" s="302"/>
      <c r="JKC7" s="302"/>
      <c r="JKD7" s="302"/>
      <c r="JKE7" s="302"/>
      <c r="JKF7" s="302"/>
      <c r="JKG7" s="302"/>
      <c r="JKH7" s="302"/>
      <c r="JKI7" s="302"/>
      <c r="JKJ7" s="302"/>
      <c r="JKK7" s="302"/>
      <c r="JKL7" s="302"/>
      <c r="JKM7" s="302"/>
      <c r="JKN7" s="302"/>
      <c r="JKO7" s="302"/>
      <c r="JKP7" s="302"/>
      <c r="JKQ7" s="302"/>
      <c r="JKR7" s="302"/>
      <c r="JKS7" s="302"/>
      <c r="JKT7" s="302"/>
      <c r="JKU7" s="302"/>
      <c r="JKV7" s="302"/>
      <c r="JKW7" s="302"/>
      <c r="JKX7" s="302"/>
      <c r="JKY7" s="302"/>
      <c r="JKZ7" s="302"/>
      <c r="JLA7" s="302"/>
      <c r="JLB7" s="302"/>
      <c r="JLC7" s="302"/>
      <c r="JLD7" s="302"/>
      <c r="JLE7" s="302"/>
      <c r="JLF7" s="302"/>
      <c r="JLG7" s="302"/>
      <c r="JLH7" s="302"/>
      <c r="JLI7" s="302"/>
      <c r="JLJ7" s="302"/>
      <c r="JLK7" s="302"/>
      <c r="JLL7" s="302"/>
      <c r="JLM7" s="302"/>
      <c r="JLN7" s="302"/>
      <c r="JLO7" s="302"/>
      <c r="JLP7" s="302"/>
      <c r="JLQ7" s="302"/>
      <c r="JLR7" s="302"/>
      <c r="JLS7" s="302"/>
      <c r="JLT7" s="302"/>
      <c r="JLU7" s="302"/>
      <c r="JLV7" s="302"/>
      <c r="JLW7" s="302"/>
      <c r="JLX7" s="302"/>
      <c r="JLY7" s="302"/>
      <c r="JLZ7" s="302"/>
      <c r="JMA7" s="302"/>
      <c r="JMB7" s="302"/>
      <c r="JMC7" s="302"/>
      <c r="JMD7" s="302"/>
      <c r="JME7" s="302"/>
      <c r="JMF7" s="302"/>
      <c r="JMG7" s="302"/>
      <c r="JMH7" s="302"/>
      <c r="JMI7" s="302"/>
      <c r="JMJ7" s="302"/>
      <c r="JMK7" s="302"/>
      <c r="JML7" s="302"/>
      <c r="JMM7" s="302"/>
      <c r="JMN7" s="302"/>
      <c r="JMO7" s="302"/>
      <c r="JMP7" s="302"/>
      <c r="JMQ7" s="302"/>
      <c r="JMR7" s="302"/>
      <c r="JMS7" s="302"/>
      <c r="JMT7" s="302"/>
      <c r="JMU7" s="302"/>
      <c r="JMV7" s="302"/>
      <c r="JMW7" s="302"/>
      <c r="JMX7" s="302"/>
      <c r="JMY7" s="302"/>
      <c r="JMZ7" s="302"/>
      <c r="JNA7" s="302"/>
      <c r="JNB7" s="302"/>
      <c r="JNC7" s="302"/>
      <c r="JND7" s="302"/>
      <c r="JNE7" s="302"/>
      <c r="JNF7" s="302"/>
      <c r="JNG7" s="302"/>
      <c r="JNH7" s="302"/>
      <c r="JNI7" s="302"/>
      <c r="JNJ7" s="302"/>
      <c r="JNK7" s="302"/>
      <c r="JNL7" s="302"/>
      <c r="JNM7" s="302"/>
      <c r="JNN7" s="302"/>
      <c r="JNO7" s="302"/>
      <c r="JNP7" s="302"/>
      <c r="JNQ7" s="302"/>
      <c r="JNR7" s="302"/>
      <c r="JNS7" s="302"/>
      <c r="JNT7" s="302"/>
      <c r="JNU7" s="302"/>
      <c r="JNV7" s="302"/>
      <c r="JNW7" s="302"/>
      <c r="JNX7" s="302"/>
      <c r="JNY7" s="302"/>
      <c r="JNZ7" s="302"/>
      <c r="JOA7" s="302"/>
      <c r="JOB7" s="302"/>
      <c r="JOC7" s="302"/>
      <c r="JOD7" s="302"/>
      <c r="JOE7" s="302"/>
      <c r="JOF7" s="302"/>
      <c r="JOG7" s="302"/>
      <c r="JOH7" s="302"/>
      <c r="JOI7" s="302"/>
      <c r="JOJ7" s="302"/>
      <c r="JOK7" s="302"/>
      <c r="JOL7" s="302"/>
      <c r="JOM7" s="302"/>
      <c r="JON7" s="302"/>
      <c r="JOO7" s="302"/>
      <c r="JOP7" s="302"/>
      <c r="JOQ7" s="302"/>
      <c r="JOR7" s="302"/>
      <c r="JOS7" s="302"/>
      <c r="JOT7" s="302"/>
      <c r="JOU7" s="302"/>
      <c r="JOV7" s="302"/>
      <c r="JOW7" s="302"/>
      <c r="JOX7" s="302"/>
      <c r="JOY7" s="302"/>
      <c r="JOZ7" s="302"/>
      <c r="JPA7" s="302"/>
      <c r="JPB7" s="302"/>
      <c r="JPC7" s="302"/>
      <c r="JPD7" s="302"/>
      <c r="JPE7" s="302"/>
      <c r="JPF7" s="302"/>
      <c r="JPG7" s="302"/>
      <c r="JPH7" s="302"/>
      <c r="JPI7" s="302"/>
      <c r="JPJ7" s="302"/>
      <c r="JPK7" s="302"/>
      <c r="JPL7" s="302"/>
      <c r="JPM7" s="302"/>
      <c r="JPN7" s="302"/>
      <c r="JPO7" s="302"/>
      <c r="JPP7" s="302"/>
      <c r="JPQ7" s="302"/>
      <c r="JPR7" s="302"/>
      <c r="JPS7" s="302"/>
      <c r="JPT7" s="302"/>
      <c r="JPU7" s="302"/>
      <c r="JPV7" s="302"/>
      <c r="JPW7" s="302"/>
      <c r="JPX7" s="302"/>
      <c r="JPY7" s="302"/>
      <c r="JPZ7" s="302"/>
      <c r="JQA7" s="302"/>
      <c r="JQB7" s="302"/>
      <c r="JQC7" s="302"/>
      <c r="JQD7" s="302"/>
      <c r="JQE7" s="302"/>
      <c r="JQF7" s="302"/>
      <c r="JQG7" s="302"/>
      <c r="JQH7" s="302"/>
      <c r="JQI7" s="302"/>
      <c r="JQJ7" s="302"/>
      <c r="JQK7" s="302"/>
      <c r="JQL7" s="302"/>
      <c r="JQM7" s="302"/>
      <c r="JQN7" s="302"/>
      <c r="JQO7" s="302"/>
      <c r="JQP7" s="302"/>
      <c r="JQQ7" s="302"/>
      <c r="JQR7" s="302"/>
      <c r="JQS7" s="302"/>
      <c r="JQT7" s="302"/>
      <c r="JQU7" s="302"/>
      <c r="JQV7" s="302"/>
      <c r="JQW7" s="302"/>
      <c r="JQX7" s="302"/>
      <c r="JQY7" s="302"/>
      <c r="JQZ7" s="302"/>
      <c r="JRA7" s="302"/>
      <c r="JRB7" s="302"/>
      <c r="JRC7" s="302"/>
      <c r="JRD7" s="302"/>
      <c r="JRE7" s="302"/>
      <c r="JRF7" s="302"/>
      <c r="JRG7" s="302"/>
      <c r="JRH7" s="302"/>
      <c r="JRI7" s="302"/>
      <c r="JRJ7" s="302"/>
      <c r="JRK7" s="302"/>
      <c r="JRL7" s="302"/>
      <c r="JRM7" s="302"/>
      <c r="JRN7" s="302"/>
      <c r="JRO7" s="302"/>
      <c r="JRP7" s="302"/>
      <c r="JRQ7" s="302"/>
      <c r="JRR7" s="302"/>
      <c r="JRS7" s="302"/>
      <c r="JRT7" s="302"/>
      <c r="JRU7" s="302"/>
      <c r="JRV7" s="302"/>
      <c r="JRW7" s="302"/>
      <c r="JRX7" s="302"/>
      <c r="JRY7" s="302"/>
      <c r="JRZ7" s="302"/>
      <c r="JSA7" s="302"/>
      <c r="JSB7" s="302"/>
      <c r="JSC7" s="302"/>
      <c r="JSD7" s="302"/>
      <c r="JSE7" s="302"/>
      <c r="JSF7" s="302"/>
      <c r="JSG7" s="302"/>
      <c r="JSH7" s="302"/>
      <c r="JSI7" s="302"/>
      <c r="JSJ7" s="302"/>
      <c r="JSK7" s="302"/>
      <c r="JSL7" s="302"/>
      <c r="JSM7" s="302"/>
      <c r="JSN7" s="302"/>
      <c r="JSO7" s="302"/>
      <c r="JSP7" s="302"/>
      <c r="JSQ7" s="302"/>
      <c r="JSR7" s="302"/>
      <c r="JSS7" s="302"/>
      <c r="JST7" s="302"/>
      <c r="JSU7" s="302"/>
      <c r="JSV7" s="302"/>
      <c r="JSW7" s="302"/>
      <c r="JSX7" s="302"/>
      <c r="JSY7" s="302"/>
      <c r="JSZ7" s="302"/>
      <c r="JTA7" s="302"/>
      <c r="JTB7" s="302"/>
      <c r="JTC7" s="302"/>
      <c r="JTD7" s="302"/>
      <c r="JTE7" s="302"/>
      <c r="JTF7" s="302"/>
      <c r="JTG7" s="302"/>
      <c r="JTH7" s="302"/>
      <c r="JTI7" s="302"/>
      <c r="JTJ7" s="302"/>
      <c r="JTK7" s="302"/>
      <c r="JTL7" s="302"/>
      <c r="JTM7" s="302"/>
      <c r="JTN7" s="302"/>
      <c r="JTO7" s="302"/>
      <c r="JTP7" s="302"/>
      <c r="JTQ7" s="302"/>
      <c r="JTR7" s="302"/>
      <c r="JTS7" s="302"/>
      <c r="JTT7" s="302"/>
      <c r="JTU7" s="302"/>
      <c r="JTV7" s="302"/>
      <c r="JTW7" s="302"/>
      <c r="JTX7" s="302"/>
      <c r="JTY7" s="302"/>
      <c r="JTZ7" s="302"/>
      <c r="JUA7" s="302"/>
      <c r="JUB7" s="302"/>
      <c r="JUC7" s="302"/>
      <c r="JUD7" s="302"/>
      <c r="JUE7" s="302"/>
      <c r="JUF7" s="302"/>
      <c r="JUG7" s="302"/>
      <c r="JUH7" s="302"/>
      <c r="JUI7" s="302"/>
      <c r="JUJ7" s="302"/>
      <c r="JUK7" s="302"/>
      <c r="JUL7" s="302"/>
      <c r="JUM7" s="302"/>
      <c r="JUN7" s="302"/>
      <c r="JUO7" s="302"/>
      <c r="JUP7" s="302"/>
      <c r="JUQ7" s="302"/>
      <c r="JUR7" s="302"/>
      <c r="JUS7" s="302"/>
      <c r="JUT7" s="302"/>
      <c r="JUU7" s="302"/>
      <c r="JUV7" s="302"/>
      <c r="JUW7" s="302"/>
      <c r="JUX7" s="302"/>
      <c r="JUY7" s="302"/>
      <c r="JUZ7" s="302"/>
      <c r="JVA7" s="302"/>
      <c r="JVB7" s="302"/>
      <c r="JVC7" s="302"/>
      <c r="JVD7" s="302"/>
      <c r="JVE7" s="302"/>
      <c r="JVF7" s="302"/>
      <c r="JVG7" s="302"/>
      <c r="JVH7" s="302"/>
      <c r="JVI7" s="302"/>
      <c r="JVJ7" s="302"/>
      <c r="JVK7" s="302"/>
      <c r="JVL7" s="302"/>
      <c r="JVM7" s="302"/>
      <c r="JVN7" s="302"/>
      <c r="JVO7" s="302"/>
      <c r="JVP7" s="302"/>
      <c r="JVQ7" s="302"/>
      <c r="JVR7" s="302"/>
      <c r="JVS7" s="302"/>
      <c r="JVT7" s="302"/>
      <c r="JVU7" s="302"/>
      <c r="JVV7" s="302"/>
      <c r="JVW7" s="302"/>
      <c r="JVX7" s="302"/>
      <c r="JVY7" s="302"/>
      <c r="JVZ7" s="302"/>
      <c r="JWA7" s="302"/>
      <c r="JWB7" s="302"/>
      <c r="JWC7" s="302"/>
      <c r="JWD7" s="302"/>
      <c r="JWE7" s="302"/>
      <c r="JWF7" s="302"/>
      <c r="JWG7" s="302"/>
      <c r="JWH7" s="302"/>
      <c r="JWI7" s="302"/>
      <c r="JWJ7" s="302"/>
      <c r="JWK7" s="302"/>
      <c r="JWL7" s="302"/>
      <c r="JWM7" s="302"/>
      <c r="JWN7" s="302"/>
      <c r="JWO7" s="302"/>
      <c r="JWP7" s="302"/>
      <c r="JWQ7" s="302"/>
      <c r="JWR7" s="302"/>
      <c r="JWS7" s="302"/>
      <c r="JWT7" s="302"/>
      <c r="JWU7" s="302"/>
      <c r="JWV7" s="302"/>
      <c r="JWW7" s="302"/>
      <c r="JWX7" s="302"/>
      <c r="JWY7" s="302"/>
      <c r="JWZ7" s="302"/>
      <c r="JXA7" s="302"/>
      <c r="JXB7" s="302"/>
      <c r="JXC7" s="302"/>
      <c r="JXD7" s="302"/>
      <c r="JXE7" s="302"/>
      <c r="JXF7" s="302"/>
      <c r="JXG7" s="302"/>
      <c r="JXH7" s="302"/>
      <c r="JXI7" s="302"/>
      <c r="JXJ7" s="302"/>
      <c r="JXK7" s="302"/>
      <c r="JXL7" s="302"/>
      <c r="JXM7" s="302"/>
      <c r="JXN7" s="302"/>
      <c r="JXO7" s="302"/>
      <c r="JXP7" s="302"/>
      <c r="JXQ7" s="302"/>
      <c r="JXR7" s="302"/>
      <c r="JXS7" s="302"/>
      <c r="JXT7" s="302"/>
      <c r="JXU7" s="302"/>
      <c r="JXV7" s="302"/>
      <c r="JXW7" s="302"/>
      <c r="JXX7" s="302"/>
      <c r="JXY7" s="302"/>
      <c r="JXZ7" s="302"/>
      <c r="JYA7" s="302"/>
      <c r="JYB7" s="302"/>
      <c r="JYC7" s="302"/>
      <c r="JYD7" s="302"/>
      <c r="JYE7" s="302"/>
      <c r="JYF7" s="302"/>
      <c r="JYG7" s="302"/>
      <c r="JYH7" s="302"/>
      <c r="JYI7" s="302"/>
      <c r="JYJ7" s="302"/>
      <c r="JYK7" s="302"/>
      <c r="JYL7" s="302"/>
      <c r="JYM7" s="302"/>
      <c r="JYN7" s="302"/>
      <c r="JYO7" s="302"/>
      <c r="JYP7" s="302"/>
      <c r="JYQ7" s="302"/>
      <c r="JYR7" s="302"/>
      <c r="JYS7" s="302"/>
      <c r="JYT7" s="302"/>
      <c r="JYU7" s="302"/>
      <c r="JYV7" s="302"/>
      <c r="JYW7" s="302"/>
      <c r="JYX7" s="302"/>
      <c r="JYY7" s="302"/>
      <c r="JYZ7" s="302"/>
      <c r="JZA7" s="302"/>
      <c r="JZB7" s="302"/>
      <c r="JZC7" s="302"/>
      <c r="JZD7" s="302"/>
      <c r="JZE7" s="302"/>
      <c r="JZF7" s="302"/>
      <c r="JZG7" s="302"/>
      <c r="JZH7" s="302"/>
      <c r="JZI7" s="302"/>
      <c r="JZJ7" s="302"/>
      <c r="JZK7" s="302"/>
      <c r="JZL7" s="302"/>
      <c r="JZM7" s="302"/>
      <c r="JZN7" s="302"/>
      <c r="JZO7" s="302"/>
      <c r="JZP7" s="302"/>
      <c r="JZQ7" s="302"/>
      <c r="JZR7" s="302"/>
      <c r="JZS7" s="302"/>
      <c r="JZT7" s="302"/>
      <c r="JZU7" s="302"/>
      <c r="JZV7" s="302"/>
      <c r="JZW7" s="302"/>
      <c r="JZX7" s="302"/>
      <c r="JZY7" s="302"/>
      <c r="JZZ7" s="302"/>
      <c r="KAA7" s="302"/>
      <c r="KAB7" s="302"/>
      <c r="KAC7" s="302"/>
      <c r="KAD7" s="302"/>
      <c r="KAE7" s="302"/>
      <c r="KAF7" s="302"/>
      <c r="KAG7" s="302"/>
      <c r="KAH7" s="302"/>
      <c r="KAI7" s="302"/>
      <c r="KAJ7" s="302"/>
      <c r="KAK7" s="302"/>
      <c r="KAL7" s="302"/>
      <c r="KAM7" s="302"/>
      <c r="KAN7" s="302"/>
      <c r="KAO7" s="302"/>
      <c r="KAP7" s="302"/>
      <c r="KAQ7" s="302"/>
      <c r="KAR7" s="302"/>
      <c r="KAS7" s="302"/>
      <c r="KAT7" s="302"/>
      <c r="KAU7" s="302"/>
      <c r="KAV7" s="302"/>
      <c r="KAW7" s="302"/>
      <c r="KAX7" s="302"/>
      <c r="KAY7" s="302"/>
      <c r="KAZ7" s="302"/>
      <c r="KBA7" s="302"/>
      <c r="KBB7" s="302"/>
      <c r="KBC7" s="302"/>
      <c r="KBD7" s="302"/>
      <c r="KBE7" s="302"/>
      <c r="KBF7" s="302"/>
      <c r="KBG7" s="302"/>
      <c r="KBH7" s="302"/>
      <c r="KBI7" s="302"/>
      <c r="KBJ7" s="302"/>
      <c r="KBK7" s="302"/>
      <c r="KBL7" s="302"/>
      <c r="KBM7" s="302"/>
      <c r="KBN7" s="302"/>
      <c r="KBO7" s="302"/>
      <c r="KBP7" s="302"/>
      <c r="KBQ7" s="302"/>
      <c r="KBR7" s="302"/>
      <c r="KBS7" s="302"/>
      <c r="KBT7" s="302"/>
      <c r="KBU7" s="302"/>
      <c r="KBV7" s="302"/>
      <c r="KBW7" s="302"/>
      <c r="KBX7" s="302"/>
      <c r="KBY7" s="302"/>
      <c r="KBZ7" s="302"/>
      <c r="KCA7" s="302"/>
      <c r="KCB7" s="302"/>
      <c r="KCC7" s="302"/>
      <c r="KCD7" s="302"/>
      <c r="KCE7" s="302"/>
      <c r="KCF7" s="302"/>
      <c r="KCG7" s="302"/>
      <c r="KCH7" s="302"/>
      <c r="KCI7" s="302"/>
      <c r="KCJ7" s="302"/>
      <c r="KCK7" s="302"/>
      <c r="KCL7" s="302"/>
      <c r="KCM7" s="302"/>
      <c r="KCN7" s="302"/>
      <c r="KCO7" s="302"/>
      <c r="KCP7" s="302"/>
      <c r="KCQ7" s="302"/>
      <c r="KCR7" s="302"/>
      <c r="KCS7" s="302"/>
      <c r="KCT7" s="302"/>
      <c r="KCU7" s="302"/>
      <c r="KCV7" s="302"/>
      <c r="KCW7" s="302"/>
      <c r="KCX7" s="302"/>
      <c r="KCY7" s="302"/>
      <c r="KCZ7" s="302"/>
      <c r="KDA7" s="302"/>
      <c r="KDB7" s="302"/>
      <c r="KDC7" s="302"/>
      <c r="KDD7" s="302"/>
      <c r="KDE7" s="302"/>
      <c r="KDF7" s="302"/>
      <c r="KDG7" s="302"/>
      <c r="KDH7" s="302"/>
      <c r="KDI7" s="302"/>
      <c r="KDJ7" s="302"/>
      <c r="KDK7" s="302"/>
      <c r="KDL7" s="302"/>
      <c r="KDM7" s="302"/>
      <c r="KDN7" s="302"/>
      <c r="KDO7" s="302"/>
      <c r="KDP7" s="302"/>
      <c r="KDQ7" s="302"/>
      <c r="KDR7" s="302"/>
      <c r="KDS7" s="302"/>
      <c r="KDT7" s="302"/>
      <c r="KDU7" s="302"/>
      <c r="KDV7" s="302"/>
      <c r="KDW7" s="302"/>
      <c r="KDX7" s="302"/>
      <c r="KDY7" s="302"/>
      <c r="KDZ7" s="302"/>
      <c r="KEA7" s="302"/>
      <c r="KEB7" s="302"/>
      <c r="KEC7" s="302"/>
      <c r="KED7" s="302"/>
      <c r="KEE7" s="302"/>
      <c r="KEF7" s="302"/>
      <c r="KEG7" s="302"/>
      <c r="KEH7" s="302"/>
      <c r="KEI7" s="302"/>
      <c r="KEJ7" s="302"/>
      <c r="KEK7" s="302"/>
      <c r="KEL7" s="302"/>
      <c r="KEM7" s="302"/>
      <c r="KEN7" s="302"/>
      <c r="KEO7" s="302"/>
      <c r="KEP7" s="302"/>
      <c r="KEQ7" s="302"/>
      <c r="KER7" s="302"/>
      <c r="KES7" s="302"/>
      <c r="KET7" s="302"/>
      <c r="KEU7" s="302"/>
      <c r="KEV7" s="302"/>
      <c r="KEW7" s="302"/>
      <c r="KEX7" s="302"/>
      <c r="KEY7" s="302"/>
      <c r="KEZ7" s="302"/>
      <c r="KFA7" s="302"/>
      <c r="KFB7" s="302"/>
      <c r="KFC7" s="302"/>
      <c r="KFD7" s="302"/>
      <c r="KFE7" s="302"/>
      <c r="KFF7" s="302"/>
      <c r="KFG7" s="302"/>
      <c r="KFH7" s="302"/>
      <c r="KFI7" s="302"/>
      <c r="KFJ7" s="302"/>
      <c r="KFK7" s="302"/>
      <c r="KFL7" s="302"/>
      <c r="KFM7" s="302"/>
      <c r="KFN7" s="302"/>
      <c r="KFO7" s="302"/>
      <c r="KFP7" s="302"/>
      <c r="KFQ7" s="302"/>
      <c r="KFR7" s="302"/>
      <c r="KFS7" s="302"/>
      <c r="KFT7" s="302"/>
      <c r="KFU7" s="302"/>
      <c r="KFV7" s="302"/>
      <c r="KFW7" s="302"/>
      <c r="KFX7" s="302"/>
      <c r="KFY7" s="302"/>
      <c r="KFZ7" s="302"/>
      <c r="KGA7" s="302"/>
      <c r="KGB7" s="302"/>
      <c r="KGC7" s="302"/>
      <c r="KGD7" s="302"/>
      <c r="KGE7" s="302"/>
      <c r="KGF7" s="302"/>
      <c r="KGG7" s="302"/>
      <c r="KGH7" s="302"/>
      <c r="KGI7" s="302"/>
      <c r="KGJ7" s="302"/>
      <c r="KGK7" s="302"/>
      <c r="KGL7" s="302"/>
      <c r="KGM7" s="302"/>
      <c r="KGN7" s="302"/>
      <c r="KGO7" s="302"/>
      <c r="KGP7" s="302"/>
      <c r="KGQ7" s="302"/>
      <c r="KGR7" s="302"/>
      <c r="KGS7" s="302"/>
      <c r="KGT7" s="302"/>
      <c r="KGU7" s="302"/>
      <c r="KGV7" s="302"/>
      <c r="KGW7" s="302"/>
      <c r="KGX7" s="302"/>
      <c r="KGY7" s="302"/>
      <c r="KGZ7" s="302"/>
      <c r="KHA7" s="302"/>
      <c r="KHB7" s="302"/>
      <c r="KHC7" s="302"/>
      <c r="KHD7" s="302"/>
      <c r="KHE7" s="302"/>
      <c r="KHF7" s="302"/>
      <c r="KHG7" s="302"/>
      <c r="KHH7" s="302"/>
      <c r="KHI7" s="302"/>
      <c r="KHJ7" s="302"/>
      <c r="KHK7" s="302"/>
      <c r="KHL7" s="302"/>
      <c r="KHM7" s="302"/>
      <c r="KHN7" s="302"/>
      <c r="KHO7" s="302"/>
      <c r="KHP7" s="302"/>
      <c r="KHQ7" s="302"/>
      <c r="KHR7" s="302"/>
      <c r="KHS7" s="302"/>
      <c r="KHT7" s="302"/>
      <c r="KHU7" s="302"/>
      <c r="KHV7" s="302"/>
      <c r="KHW7" s="302"/>
      <c r="KHX7" s="302"/>
      <c r="KHY7" s="302"/>
      <c r="KHZ7" s="302"/>
      <c r="KIA7" s="302"/>
      <c r="KIB7" s="302"/>
      <c r="KIC7" s="302"/>
      <c r="KID7" s="302"/>
      <c r="KIE7" s="302"/>
      <c r="KIF7" s="302"/>
      <c r="KIG7" s="302"/>
      <c r="KIH7" s="302"/>
      <c r="KII7" s="302"/>
      <c r="KIJ7" s="302"/>
      <c r="KIK7" s="302"/>
      <c r="KIL7" s="302"/>
      <c r="KIM7" s="302"/>
      <c r="KIN7" s="302"/>
      <c r="KIO7" s="302"/>
      <c r="KIP7" s="302"/>
      <c r="KIQ7" s="302"/>
      <c r="KIR7" s="302"/>
      <c r="KIS7" s="302"/>
      <c r="KIT7" s="302"/>
      <c r="KIU7" s="302"/>
      <c r="KIV7" s="302"/>
      <c r="KIW7" s="302"/>
      <c r="KIX7" s="302"/>
      <c r="KIY7" s="302"/>
      <c r="KIZ7" s="302"/>
      <c r="KJA7" s="302"/>
      <c r="KJB7" s="302"/>
      <c r="KJC7" s="302"/>
      <c r="KJD7" s="302"/>
      <c r="KJE7" s="302"/>
      <c r="KJF7" s="302"/>
      <c r="KJG7" s="302"/>
      <c r="KJH7" s="302"/>
      <c r="KJI7" s="302"/>
      <c r="KJJ7" s="302"/>
      <c r="KJK7" s="302"/>
      <c r="KJL7" s="302"/>
      <c r="KJM7" s="302"/>
      <c r="KJN7" s="302"/>
      <c r="KJO7" s="302"/>
      <c r="KJP7" s="302"/>
      <c r="KJQ7" s="302"/>
      <c r="KJR7" s="302"/>
      <c r="KJS7" s="302"/>
      <c r="KJT7" s="302"/>
      <c r="KJU7" s="302"/>
      <c r="KJV7" s="302"/>
      <c r="KJW7" s="302"/>
      <c r="KJX7" s="302"/>
      <c r="KJY7" s="302"/>
      <c r="KJZ7" s="302"/>
      <c r="KKA7" s="302"/>
      <c r="KKB7" s="302"/>
      <c r="KKC7" s="302"/>
      <c r="KKD7" s="302"/>
      <c r="KKE7" s="302"/>
      <c r="KKF7" s="302"/>
      <c r="KKG7" s="302"/>
      <c r="KKH7" s="302"/>
      <c r="KKI7" s="302"/>
      <c r="KKJ7" s="302"/>
      <c r="KKK7" s="302"/>
      <c r="KKL7" s="302"/>
      <c r="KKM7" s="302"/>
      <c r="KKN7" s="302"/>
      <c r="KKO7" s="302"/>
      <c r="KKP7" s="302"/>
      <c r="KKQ7" s="302"/>
      <c r="KKR7" s="302"/>
      <c r="KKS7" s="302"/>
      <c r="KKT7" s="302"/>
      <c r="KKU7" s="302"/>
      <c r="KKV7" s="302"/>
      <c r="KKW7" s="302"/>
      <c r="KKX7" s="302"/>
      <c r="KKY7" s="302"/>
      <c r="KKZ7" s="302"/>
      <c r="KLA7" s="302"/>
      <c r="KLB7" s="302"/>
      <c r="KLC7" s="302"/>
      <c r="KLD7" s="302"/>
      <c r="KLE7" s="302"/>
      <c r="KLF7" s="302"/>
      <c r="KLG7" s="302"/>
      <c r="KLH7" s="302"/>
      <c r="KLI7" s="302"/>
      <c r="KLJ7" s="302"/>
      <c r="KLK7" s="302"/>
      <c r="KLL7" s="302"/>
      <c r="KLM7" s="302"/>
      <c r="KLN7" s="302"/>
      <c r="KLO7" s="302"/>
      <c r="KLP7" s="302"/>
      <c r="KLQ7" s="302"/>
      <c r="KLR7" s="302"/>
      <c r="KLS7" s="302"/>
      <c r="KLT7" s="302"/>
      <c r="KLU7" s="302"/>
      <c r="KLV7" s="302"/>
      <c r="KLW7" s="302"/>
      <c r="KLX7" s="302"/>
      <c r="KLY7" s="302"/>
      <c r="KLZ7" s="302"/>
      <c r="KMA7" s="302"/>
      <c r="KMB7" s="302"/>
      <c r="KMC7" s="302"/>
      <c r="KMD7" s="302"/>
      <c r="KME7" s="302"/>
      <c r="KMF7" s="302"/>
      <c r="KMG7" s="302"/>
      <c r="KMH7" s="302"/>
      <c r="KMI7" s="302"/>
      <c r="KMJ7" s="302"/>
      <c r="KMK7" s="302"/>
      <c r="KML7" s="302"/>
      <c r="KMM7" s="302"/>
      <c r="KMN7" s="302"/>
      <c r="KMO7" s="302"/>
      <c r="KMP7" s="302"/>
      <c r="KMQ7" s="302"/>
      <c r="KMR7" s="302"/>
      <c r="KMS7" s="302"/>
      <c r="KMT7" s="302"/>
      <c r="KMU7" s="302"/>
      <c r="KMV7" s="302"/>
      <c r="KMW7" s="302"/>
      <c r="KMX7" s="302"/>
      <c r="KMY7" s="302"/>
      <c r="KMZ7" s="302"/>
      <c r="KNA7" s="302"/>
      <c r="KNB7" s="302"/>
      <c r="KNC7" s="302"/>
      <c r="KND7" s="302"/>
      <c r="KNE7" s="302"/>
      <c r="KNF7" s="302"/>
      <c r="KNG7" s="302"/>
      <c r="KNH7" s="302"/>
      <c r="KNI7" s="302"/>
      <c r="KNJ7" s="302"/>
      <c r="KNK7" s="302"/>
      <c r="KNL7" s="302"/>
      <c r="KNM7" s="302"/>
      <c r="KNN7" s="302"/>
      <c r="KNO7" s="302"/>
      <c r="KNP7" s="302"/>
      <c r="KNQ7" s="302"/>
      <c r="KNR7" s="302"/>
      <c r="KNS7" s="302"/>
      <c r="KNT7" s="302"/>
      <c r="KNU7" s="302"/>
      <c r="KNV7" s="302"/>
      <c r="KNW7" s="302"/>
      <c r="KNX7" s="302"/>
      <c r="KNY7" s="302"/>
      <c r="KNZ7" s="302"/>
      <c r="KOA7" s="302"/>
      <c r="KOB7" s="302"/>
      <c r="KOC7" s="302"/>
      <c r="KOD7" s="302"/>
      <c r="KOE7" s="302"/>
      <c r="KOF7" s="302"/>
      <c r="KOG7" s="302"/>
      <c r="KOH7" s="302"/>
      <c r="KOI7" s="302"/>
      <c r="KOJ7" s="302"/>
      <c r="KOK7" s="302"/>
      <c r="KOL7" s="302"/>
      <c r="KOM7" s="302"/>
      <c r="KON7" s="302"/>
      <c r="KOO7" s="302"/>
      <c r="KOP7" s="302"/>
      <c r="KOQ7" s="302"/>
      <c r="KOR7" s="302"/>
      <c r="KOS7" s="302"/>
      <c r="KOT7" s="302"/>
      <c r="KOU7" s="302"/>
      <c r="KOV7" s="302"/>
      <c r="KOW7" s="302"/>
      <c r="KOX7" s="302"/>
      <c r="KOY7" s="302"/>
      <c r="KOZ7" s="302"/>
      <c r="KPA7" s="302"/>
      <c r="KPB7" s="302"/>
      <c r="KPC7" s="302"/>
      <c r="KPD7" s="302"/>
      <c r="KPE7" s="302"/>
      <c r="KPF7" s="302"/>
      <c r="KPG7" s="302"/>
      <c r="KPH7" s="302"/>
      <c r="KPI7" s="302"/>
      <c r="KPJ7" s="302"/>
      <c r="KPK7" s="302"/>
      <c r="KPL7" s="302"/>
      <c r="KPM7" s="302"/>
      <c r="KPN7" s="302"/>
      <c r="KPO7" s="302"/>
      <c r="KPP7" s="302"/>
      <c r="KPQ7" s="302"/>
      <c r="KPR7" s="302"/>
      <c r="KPS7" s="302"/>
      <c r="KPT7" s="302"/>
      <c r="KPU7" s="302"/>
      <c r="KPV7" s="302"/>
      <c r="KPW7" s="302"/>
      <c r="KPX7" s="302"/>
      <c r="KPY7" s="302"/>
      <c r="KPZ7" s="302"/>
      <c r="KQA7" s="302"/>
      <c r="KQB7" s="302"/>
      <c r="KQC7" s="302"/>
      <c r="KQD7" s="302"/>
      <c r="KQE7" s="302"/>
      <c r="KQF7" s="302"/>
      <c r="KQG7" s="302"/>
      <c r="KQH7" s="302"/>
      <c r="KQI7" s="302"/>
      <c r="KQJ7" s="302"/>
      <c r="KQK7" s="302"/>
      <c r="KQL7" s="302"/>
      <c r="KQM7" s="302"/>
      <c r="KQN7" s="302"/>
      <c r="KQO7" s="302"/>
      <c r="KQP7" s="302"/>
      <c r="KQQ7" s="302"/>
      <c r="KQR7" s="302"/>
      <c r="KQS7" s="302"/>
      <c r="KQT7" s="302"/>
      <c r="KQU7" s="302"/>
      <c r="KQV7" s="302"/>
      <c r="KQW7" s="302"/>
      <c r="KQX7" s="302"/>
      <c r="KQY7" s="302"/>
      <c r="KQZ7" s="302"/>
      <c r="KRA7" s="302"/>
      <c r="KRB7" s="302"/>
      <c r="KRC7" s="302"/>
      <c r="KRD7" s="302"/>
      <c r="KRE7" s="302"/>
      <c r="KRF7" s="302"/>
      <c r="KRG7" s="302"/>
      <c r="KRH7" s="302"/>
      <c r="KRI7" s="302"/>
      <c r="KRJ7" s="302"/>
      <c r="KRK7" s="302"/>
      <c r="KRL7" s="302"/>
      <c r="KRM7" s="302"/>
      <c r="KRN7" s="302"/>
      <c r="KRO7" s="302"/>
      <c r="KRP7" s="302"/>
      <c r="KRQ7" s="302"/>
      <c r="KRR7" s="302"/>
      <c r="KRS7" s="302"/>
      <c r="KRT7" s="302"/>
      <c r="KRU7" s="302"/>
      <c r="KRV7" s="302"/>
      <c r="KRW7" s="302"/>
      <c r="KRX7" s="302"/>
      <c r="KRY7" s="302"/>
      <c r="KRZ7" s="302"/>
      <c r="KSA7" s="302"/>
      <c r="KSB7" s="302"/>
      <c r="KSC7" s="302"/>
      <c r="KSD7" s="302"/>
      <c r="KSE7" s="302"/>
      <c r="KSF7" s="302"/>
      <c r="KSG7" s="302"/>
      <c r="KSH7" s="302"/>
      <c r="KSI7" s="302"/>
      <c r="KSJ7" s="302"/>
      <c r="KSK7" s="302"/>
      <c r="KSL7" s="302"/>
      <c r="KSM7" s="302"/>
      <c r="KSN7" s="302"/>
      <c r="KSO7" s="302"/>
      <c r="KSP7" s="302"/>
      <c r="KSQ7" s="302"/>
      <c r="KSR7" s="302"/>
      <c r="KSS7" s="302"/>
      <c r="KST7" s="302"/>
      <c r="KSU7" s="302"/>
      <c r="KSV7" s="302"/>
      <c r="KSW7" s="302"/>
      <c r="KSX7" s="302"/>
      <c r="KSY7" s="302"/>
      <c r="KSZ7" s="302"/>
      <c r="KTA7" s="302"/>
      <c r="KTB7" s="302"/>
      <c r="KTC7" s="302"/>
      <c r="KTD7" s="302"/>
      <c r="KTE7" s="302"/>
      <c r="KTF7" s="302"/>
      <c r="KTG7" s="302"/>
      <c r="KTH7" s="302"/>
      <c r="KTI7" s="302"/>
      <c r="KTJ7" s="302"/>
      <c r="KTK7" s="302"/>
      <c r="KTL7" s="302"/>
      <c r="KTM7" s="302"/>
      <c r="KTN7" s="302"/>
      <c r="KTO7" s="302"/>
      <c r="KTP7" s="302"/>
      <c r="KTQ7" s="302"/>
      <c r="KTR7" s="302"/>
      <c r="KTS7" s="302"/>
      <c r="KTT7" s="302"/>
      <c r="KTU7" s="302"/>
      <c r="KTV7" s="302"/>
      <c r="KTW7" s="302"/>
      <c r="KTX7" s="302"/>
      <c r="KTY7" s="302"/>
      <c r="KTZ7" s="302"/>
      <c r="KUA7" s="302"/>
      <c r="KUB7" s="302"/>
      <c r="KUC7" s="302"/>
      <c r="KUD7" s="302"/>
      <c r="KUE7" s="302"/>
      <c r="KUF7" s="302"/>
      <c r="KUG7" s="302"/>
      <c r="KUH7" s="302"/>
      <c r="KUI7" s="302"/>
      <c r="KUJ7" s="302"/>
      <c r="KUK7" s="302"/>
      <c r="KUL7" s="302"/>
      <c r="KUM7" s="302"/>
      <c r="KUN7" s="302"/>
      <c r="KUO7" s="302"/>
      <c r="KUP7" s="302"/>
      <c r="KUQ7" s="302"/>
      <c r="KUR7" s="302"/>
      <c r="KUS7" s="302"/>
      <c r="KUT7" s="302"/>
      <c r="KUU7" s="302"/>
      <c r="KUV7" s="302"/>
      <c r="KUW7" s="302"/>
      <c r="KUX7" s="302"/>
      <c r="KUY7" s="302"/>
      <c r="KUZ7" s="302"/>
      <c r="KVA7" s="302"/>
      <c r="KVB7" s="302"/>
      <c r="KVC7" s="302"/>
      <c r="KVD7" s="302"/>
      <c r="KVE7" s="302"/>
      <c r="KVF7" s="302"/>
      <c r="KVG7" s="302"/>
      <c r="KVH7" s="302"/>
      <c r="KVI7" s="302"/>
      <c r="KVJ7" s="302"/>
      <c r="KVK7" s="302"/>
      <c r="KVL7" s="302"/>
      <c r="KVM7" s="302"/>
      <c r="KVN7" s="302"/>
      <c r="KVO7" s="302"/>
      <c r="KVP7" s="302"/>
      <c r="KVQ7" s="302"/>
      <c r="KVR7" s="302"/>
      <c r="KVS7" s="302"/>
      <c r="KVT7" s="302"/>
      <c r="KVU7" s="302"/>
      <c r="KVV7" s="302"/>
      <c r="KVW7" s="302"/>
      <c r="KVX7" s="302"/>
      <c r="KVY7" s="302"/>
      <c r="KVZ7" s="302"/>
      <c r="KWA7" s="302"/>
      <c r="KWB7" s="302"/>
      <c r="KWC7" s="302"/>
      <c r="KWD7" s="302"/>
      <c r="KWE7" s="302"/>
      <c r="KWF7" s="302"/>
      <c r="KWG7" s="302"/>
      <c r="KWH7" s="302"/>
      <c r="KWI7" s="302"/>
      <c r="KWJ7" s="302"/>
      <c r="KWK7" s="302"/>
      <c r="KWL7" s="302"/>
      <c r="KWM7" s="302"/>
      <c r="KWN7" s="302"/>
      <c r="KWO7" s="302"/>
      <c r="KWP7" s="302"/>
      <c r="KWQ7" s="302"/>
      <c r="KWR7" s="302"/>
      <c r="KWS7" s="302"/>
      <c r="KWT7" s="302"/>
      <c r="KWU7" s="302"/>
      <c r="KWV7" s="302"/>
      <c r="KWW7" s="302"/>
      <c r="KWX7" s="302"/>
      <c r="KWY7" s="302"/>
      <c r="KWZ7" s="302"/>
      <c r="KXA7" s="302"/>
      <c r="KXB7" s="302"/>
      <c r="KXC7" s="302"/>
      <c r="KXD7" s="302"/>
      <c r="KXE7" s="302"/>
      <c r="KXF7" s="302"/>
      <c r="KXG7" s="302"/>
      <c r="KXH7" s="302"/>
      <c r="KXI7" s="302"/>
      <c r="KXJ7" s="302"/>
      <c r="KXK7" s="302"/>
      <c r="KXL7" s="302"/>
      <c r="KXM7" s="302"/>
      <c r="KXN7" s="302"/>
      <c r="KXO7" s="302"/>
      <c r="KXP7" s="302"/>
      <c r="KXQ7" s="302"/>
      <c r="KXR7" s="302"/>
      <c r="KXS7" s="302"/>
      <c r="KXT7" s="302"/>
      <c r="KXU7" s="302"/>
      <c r="KXV7" s="302"/>
      <c r="KXW7" s="302"/>
      <c r="KXX7" s="302"/>
      <c r="KXY7" s="302"/>
      <c r="KXZ7" s="302"/>
      <c r="KYA7" s="302"/>
      <c r="KYB7" s="302"/>
      <c r="KYC7" s="302"/>
      <c r="KYD7" s="302"/>
      <c r="KYE7" s="302"/>
      <c r="KYF7" s="302"/>
      <c r="KYG7" s="302"/>
      <c r="KYH7" s="302"/>
      <c r="KYI7" s="302"/>
      <c r="KYJ7" s="302"/>
      <c r="KYK7" s="302"/>
      <c r="KYL7" s="302"/>
      <c r="KYM7" s="302"/>
      <c r="KYN7" s="302"/>
      <c r="KYO7" s="302"/>
      <c r="KYP7" s="302"/>
      <c r="KYQ7" s="302"/>
      <c r="KYR7" s="302"/>
      <c r="KYS7" s="302"/>
      <c r="KYT7" s="302"/>
      <c r="KYU7" s="302"/>
      <c r="KYV7" s="302"/>
      <c r="KYW7" s="302"/>
      <c r="KYX7" s="302"/>
      <c r="KYY7" s="302"/>
      <c r="KYZ7" s="302"/>
      <c r="KZA7" s="302"/>
      <c r="KZB7" s="302"/>
      <c r="KZC7" s="302"/>
      <c r="KZD7" s="302"/>
      <c r="KZE7" s="302"/>
      <c r="KZF7" s="302"/>
      <c r="KZG7" s="302"/>
      <c r="KZH7" s="302"/>
      <c r="KZI7" s="302"/>
      <c r="KZJ7" s="302"/>
      <c r="KZK7" s="302"/>
      <c r="KZL7" s="302"/>
      <c r="KZM7" s="302"/>
      <c r="KZN7" s="302"/>
      <c r="KZO7" s="302"/>
      <c r="KZP7" s="302"/>
      <c r="KZQ7" s="302"/>
      <c r="KZR7" s="302"/>
      <c r="KZS7" s="302"/>
      <c r="KZT7" s="302"/>
      <c r="KZU7" s="302"/>
      <c r="KZV7" s="302"/>
      <c r="KZW7" s="302"/>
      <c r="KZX7" s="302"/>
      <c r="KZY7" s="302"/>
      <c r="KZZ7" s="302"/>
      <c r="LAA7" s="302"/>
      <c r="LAB7" s="302"/>
      <c r="LAC7" s="302"/>
      <c r="LAD7" s="302"/>
      <c r="LAE7" s="302"/>
      <c r="LAF7" s="302"/>
      <c r="LAG7" s="302"/>
      <c r="LAH7" s="302"/>
      <c r="LAI7" s="302"/>
      <c r="LAJ7" s="302"/>
      <c r="LAK7" s="302"/>
      <c r="LAL7" s="302"/>
      <c r="LAM7" s="302"/>
      <c r="LAN7" s="302"/>
      <c r="LAO7" s="302"/>
      <c r="LAP7" s="302"/>
      <c r="LAQ7" s="302"/>
      <c r="LAR7" s="302"/>
      <c r="LAS7" s="302"/>
      <c r="LAT7" s="302"/>
      <c r="LAU7" s="302"/>
      <c r="LAV7" s="302"/>
      <c r="LAW7" s="302"/>
      <c r="LAX7" s="302"/>
      <c r="LAY7" s="302"/>
      <c r="LAZ7" s="302"/>
      <c r="LBA7" s="302"/>
      <c r="LBB7" s="302"/>
      <c r="LBC7" s="302"/>
      <c r="LBD7" s="302"/>
      <c r="LBE7" s="302"/>
      <c r="LBF7" s="302"/>
      <c r="LBG7" s="302"/>
      <c r="LBH7" s="302"/>
      <c r="LBI7" s="302"/>
      <c r="LBJ7" s="302"/>
      <c r="LBK7" s="302"/>
      <c r="LBL7" s="302"/>
      <c r="LBM7" s="302"/>
      <c r="LBN7" s="302"/>
      <c r="LBO7" s="302"/>
      <c r="LBP7" s="302"/>
      <c r="LBQ7" s="302"/>
      <c r="LBR7" s="302"/>
      <c r="LBS7" s="302"/>
      <c r="LBT7" s="302"/>
      <c r="LBU7" s="302"/>
      <c r="LBV7" s="302"/>
      <c r="LBW7" s="302"/>
      <c r="LBX7" s="302"/>
      <c r="LBY7" s="302"/>
      <c r="LBZ7" s="302"/>
      <c r="LCA7" s="302"/>
      <c r="LCB7" s="302"/>
      <c r="LCC7" s="302"/>
      <c r="LCD7" s="302"/>
      <c r="LCE7" s="302"/>
      <c r="LCF7" s="302"/>
      <c r="LCG7" s="302"/>
      <c r="LCH7" s="302"/>
      <c r="LCI7" s="302"/>
      <c r="LCJ7" s="302"/>
      <c r="LCK7" s="302"/>
      <c r="LCL7" s="302"/>
      <c r="LCM7" s="302"/>
      <c r="LCN7" s="302"/>
      <c r="LCO7" s="302"/>
      <c r="LCP7" s="302"/>
      <c r="LCQ7" s="302"/>
      <c r="LCR7" s="302"/>
      <c r="LCS7" s="302"/>
      <c r="LCT7" s="302"/>
      <c r="LCU7" s="302"/>
      <c r="LCV7" s="302"/>
      <c r="LCW7" s="302"/>
      <c r="LCX7" s="302"/>
      <c r="LCY7" s="302"/>
      <c r="LCZ7" s="302"/>
      <c r="LDA7" s="302"/>
      <c r="LDB7" s="302"/>
      <c r="LDC7" s="302"/>
      <c r="LDD7" s="302"/>
      <c r="LDE7" s="302"/>
      <c r="LDF7" s="302"/>
      <c r="LDG7" s="302"/>
      <c r="LDH7" s="302"/>
      <c r="LDI7" s="302"/>
      <c r="LDJ7" s="302"/>
      <c r="LDK7" s="302"/>
      <c r="LDL7" s="302"/>
      <c r="LDM7" s="302"/>
      <c r="LDN7" s="302"/>
      <c r="LDO7" s="302"/>
      <c r="LDP7" s="302"/>
      <c r="LDQ7" s="302"/>
      <c r="LDR7" s="302"/>
      <c r="LDS7" s="302"/>
      <c r="LDT7" s="302"/>
      <c r="LDU7" s="302"/>
      <c r="LDV7" s="302"/>
      <c r="LDW7" s="302"/>
      <c r="LDX7" s="302"/>
      <c r="LDY7" s="302"/>
      <c r="LDZ7" s="302"/>
      <c r="LEA7" s="302"/>
      <c r="LEB7" s="302"/>
      <c r="LEC7" s="302"/>
      <c r="LED7" s="302"/>
      <c r="LEE7" s="302"/>
      <c r="LEF7" s="302"/>
      <c r="LEG7" s="302"/>
      <c r="LEH7" s="302"/>
      <c r="LEI7" s="302"/>
      <c r="LEJ7" s="302"/>
      <c r="LEK7" s="302"/>
      <c r="LEL7" s="302"/>
      <c r="LEM7" s="302"/>
      <c r="LEN7" s="302"/>
      <c r="LEO7" s="302"/>
      <c r="LEP7" s="302"/>
      <c r="LEQ7" s="302"/>
      <c r="LER7" s="302"/>
      <c r="LES7" s="302"/>
      <c r="LET7" s="302"/>
      <c r="LEU7" s="302"/>
      <c r="LEV7" s="302"/>
      <c r="LEW7" s="302"/>
      <c r="LEX7" s="302"/>
      <c r="LEY7" s="302"/>
      <c r="LEZ7" s="302"/>
      <c r="LFA7" s="302"/>
      <c r="LFB7" s="302"/>
      <c r="LFC7" s="302"/>
      <c r="LFD7" s="302"/>
      <c r="LFE7" s="302"/>
      <c r="LFF7" s="302"/>
      <c r="LFG7" s="302"/>
      <c r="LFH7" s="302"/>
      <c r="LFI7" s="302"/>
      <c r="LFJ7" s="302"/>
      <c r="LFK7" s="302"/>
      <c r="LFL7" s="302"/>
      <c r="LFM7" s="302"/>
      <c r="LFN7" s="302"/>
      <c r="LFO7" s="302"/>
      <c r="LFP7" s="302"/>
      <c r="LFQ7" s="302"/>
      <c r="LFR7" s="302"/>
      <c r="LFS7" s="302"/>
      <c r="LFT7" s="302"/>
      <c r="LFU7" s="302"/>
      <c r="LFV7" s="302"/>
      <c r="LFW7" s="302"/>
      <c r="LFX7" s="302"/>
      <c r="LFY7" s="302"/>
      <c r="LFZ7" s="302"/>
      <c r="LGA7" s="302"/>
      <c r="LGB7" s="302"/>
      <c r="LGC7" s="302"/>
      <c r="LGD7" s="302"/>
      <c r="LGE7" s="302"/>
      <c r="LGF7" s="302"/>
      <c r="LGG7" s="302"/>
      <c r="LGH7" s="302"/>
      <c r="LGI7" s="302"/>
      <c r="LGJ7" s="302"/>
      <c r="LGK7" s="302"/>
      <c r="LGL7" s="302"/>
      <c r="LGM7" s="302"/>
      <c r="LGN7" s="302"/>
      <c r="LGO7" s="302"/>
      <c r="LGP7" s="302"/>
      <c r="LGQ7" s="302"/>
      <c r="LGR7" s="302"/>
      <c r="LGS7" s="302"/>
      <c r="LGT7" s="302"/>
      <c r="LGU7" s="302"/>
      <c r="LGV7" s="302"/>
      <c r="LGW7" s="302"/>
      <c r="LGX7" s="302"/>
      <c r="LGY7" s="302"/>
      <c r="LGZ7" s="302"/>
      <c r="LHA7" s="302"/>
      <c r="LHB7" s="302"/>
      <c r="LHC7" s="302"/>
      <c r="LHD7" s="302"/>
      <c r="LHE7" s="302"/>
      <c r="LHF7" s="302"/>
      <c r="LHG7" s="302"/>
      <c r="LHH7" s="302"/>
      <c r="LHI7" s="302"/>
      <c r="LHJ7" s="302"/>
      <c r="LHK7" s="302"/>
      <c r="LHL7" s="302"/>
      <c r="LHM7" s="302"/>
      <c r="LHN7" s="302"/>
      <c r="LHO7" s="302"/>
      <c r="LHP7" s="302"/>
      <c r="LHQ7" s="302"/>
      <c r="LHR7" s="302"/>
      <c r="LHS7" s="302"/>
      <c r="LHT7" s="302"/>
      <c r="LHU7" s="302"/>
      <c r="LHV7" s="302"/>
      <c r="LHW7" s="302"/>
      <c r="LHX7" s="302"/>
      <c r="LHY7" s="302"/>
      <c r="LHZ7" s="302"/>
      <c r="LIA7" s="302"/>
      <c r="LIB7" s="302"/>
      <c r="LIC7" s="302"/>
      <c r="LID7" s="302"/>
      <c r="LIE7" s="302"/>
      <c r="LIF7" s="302"/>
      <c r="LIG7" s="302"/>
      <c r="LIH7" s="302"/>
      <c r="LII7" s="302"/>
      <c r="LIJ7" s="302"/>
      <c r="LIK7" s="302"/>
      <c r="LIL7" s="302"/>
      <c r="LIM7" s="302"/>
      <c r="LIN7" s="302"/>
      <c r="LIO7" s="302"/>
      <c r="LIP7" s="302"/>
      <c r="LIQ7" s="302"/>
      <c r="LIR7" s="302"/>
      <c r="LIS7" s="302"/>
      <c r="LIT7" s="302"/>
      <c r="LIU7" s="302"/>
      <c r="LIV7" s="302"/>
      <c r="LIW7" s="302"/>
      <c r="LIX7" s="302"/>
      <c r="LIY7" s="302"/>
      <c r="LIZ7" s="302"/>
      <c r="LJA7" s="302"/>
      <c r="LJB7" s="302"/>
      <c r="LJC7" s="302"/>
      <c r="LJD7" s="302"/>
      <c r="LJE7" s="302"/>
      <c r="LJF7" s="302"/>
      <c r="LJG7" s="302"/>
      <c r="LJH7" s="302"/>
      <c r="LJI7" s="302"/>
      <c r="LJJ7" s="302"/>
      <c r="LJK7" s="302"/>
      <c r="LJL7" s="302"/>
      <c r="LJM7" s="302"/>
      <c r="LJN7" s="302"/>
      <c r="LJO7" s="302"/>
      <c r="LJP7" s="302"/>
      <c r="LJQ7" s="302"/>
      <c r="LJR7" s="302"/>
      <c r="LJS7" s="302"/>
      <c r="LJT7" s="302"/>
      <c r="LJU7" s="302"/>
      <c r="LJV7" s="302"/>
      <c r="LJW7" s="302"/>
      <c r="LJX7" s="302"/>
      <c r="LJY7" s="302"/>
      <c r="LJZ7" s="302"/>
      <c r="LKA7" s="302"/>
      <c r="LKB7" s="302"/>
      <c r="LKC7" s="302"/>
      <c r="LKD7" s="302"/>
      <c r="LKE7" s="302"/>
      <c r="LKF7" s="302"/>
      <c r="LKG7" s="302"/>
      <c r="LKH7" s="302"/>
      <c r="LKI7" s="302"/>
      <c r="LKJ7" s="302"/>
      <c r="LKK7" s="302"/>
      <c r="LKL7" s="302"/>
      <c r="LKM7" s="302"/>
      <c r="LKN7" s="302"/>
      <c r="LKO7" s="302"/>
      <c r="LKP7" s="302"/>
      <c r="LKQ7" s="302"/>
      <c r="LKR7" s="302"/>
      <c r="LKS7" s="302"/>
      <c r="LKT7" s="302"/>
      <c r="LKU7" s="302"/>
      <c r="LKV7" s="302"/>
      <c r="LKW7" s="302"/>
      <c r="LKX7" s="302"/>
      <c r="LKY7" s="302"/>
      <c r="LKZ7" s="302"/>
      <c r="LLA7" s="302"/>
      <c r="LLB7" s="302"/>
      <c r="LLC7" s="302"/>
      <c r="LLD7" s="302"/>
      <c r="LLE7" s="302"/>
      <c r="LLF7" s="302"/>
      <c r="LLG7" s="302"/>
      <c r="LLH7" s="302"/>
      <c r="LLI7" s="302"/>
      <c r="LLJ7" s="302"/>
      <c r="LLK7" s="302"/>
      <c r="LLL7" s="302"/>
      <c r="LLM7" s="302"/>
      <c r="LLN7" s="302"/>
      <c r="LLO7" s="302"/>
      <c r="LLP7" s="302"/>
      <c r="LLQ7" s="302"/>
      <c r="LLR7" s="302"/>
      <c r="LLS7" s="302"/>
      <c r="LLT7" s="302"/>
      <c r="LLU7" s="302"/>
      <c r="LLV7" s="302"/>
      <c r="LLW7" s="302"/>
      <c r="LLX7" s="302"/>
      <c r="LLY7" s="302"/>
      <c r="LLZ7" s="302"/>
      <c r="LMA7" s="302"/>
      <c r="LMB7" s="302"/>
      <c r="LMC7" s="302"/>
      <c r="LMD7" s="302"/>
      <c r="LME7" s="302"/>
      <c r="LMF7" s="302"/>
      <c r="LMG7" s="302"/>
      <c r="LMH7" s="302"/>
      <c r="LMI7" s="302"/>
      <c r="LMJ7" s="302"/>
      <c r="LMK7" s="302"/>
      <c r="LML7" s="302"/>
      <c r="LMM7" s="302"/>
      <c r="LMN7" s="302"/>
      <c r="LMO7" s="302"/>
      <c r="LMP7" s="302"/>
      <c r="LMQ7" s="302"/>
      <c r="LMR7" s="302"/>
      <c r="LMS7" s="302"/>
      <c r="LMT7" s="302"/>
      <c r="LMU7" s="302"/>
      <c r="LMV7" s="302"/>
      <c r="LMW7" s="302"/>
      <c r="LMX7" s="302"/>
      <c r="LMY7" s="302"/>
      <c r="LMZ7" s="302"/>
      <c r="LNA7" s="302"/>
      <c r="LNB7" s="302"/>
      <c r="LNC7" s="302"/>
      <c r="LND7" s="302"/>
      <c r="LNE7" s="302"/>
      <c r="LNF7" s="302"/>
      <c r="LNG7" s="302"/>
      <c r="LNH7" s="302"/>
      <c r="LNI7" s="302"/>
      <c r="LNJ7" s="302"/>
      <c r="LNK7" s="302"/>
      <c r="LNL7" s="302"/>
      <c r="LNM7" s="302"/>
      <c r="LNN7" s="302"/>
      <c r="LNO7" s="302"/>
      <c r="LNP7" s="302"/>
      <c r="LNQ7" s="302"/>
      <c r="LNR7" s="302"/>
      <c r="LNS7" s="302"/>
      <c r="LNT7" s="302"/>
      <c r="LNU7" s="302"/>
      <c r="LNV7" s="302"/>
      <c r="LNW7" s="302"/>
      <c r="LNX7" s="302"/>
      <c r="LNY7" s="302"/>
      <c r="LNZ7" s="302"/>
      <c r="LOA7" s="302"/>
      <c r="LOB7" s="302"/>
      <c r="LOC7" s="302"/>
      <c r="LOD7" s="302"/>
      <c r="LOE7" s="302"/>
      <c r="LOF7" s="302"/>
      <c r="LOG7" s="302"/>
      <c r="LOH7" s="302"/>
      <c r="LOI7" s="302"/>
      <c r="LOJ7" s="302"/>
      <c r="LOK7" s="302"/>
      <c r="LOL7" s="302"/>
      <c r="LOM7" s="302"/>
      <c r="LON7" s="302"/>
      <c r="LOO7" s="302"/>
      <c r="LOP7" s="302"/>
      <c r="LOQ7" s="302"/>
      <c r="LOR7" s="302"/>
      <c r="LOS7" s="302"/>
      <c r="LOT7" s="302"/>
      <c r="LOU7" s="302"/>
      <c r="LOV7" s="302"/>
      <c r="LOW7" s="302"/>
      <c r="LOX7" s="302"/>
      <c r="LOY7" s="302"/>
      <c r="LOZ7" s="302"/>
      <c r="LPA7" s="302"/>
      <c r="LPB7" s="302"/>
      <c r="LPC7" s="302"/>
      <c r="LPD7" s="302"/>
      <c r="LPE7" s="302"/>
      <c r="LPF7" s="302"/>
      <c r="LPG7" s="302"/>
      <c r="LPH7" s="302"/>
      <c r="LPI7" s="302"/>
      <c r="LPJ7" s="302"/>
      <c r="LPK7" s="302"/>
      <c r="LPL7" s="302"/>
      <c r="LPM7" s="302"/>
      <c r="LPN7" s="302"/>
      <c r="LPO7" s="302"/>
      <c r="LPP7" s="302"/>
      <c r="LPQ7" s="302"/>
      <c r="LPR7" s="302"/>
      <c r="LPS7" s="302"/>
      <c r="LPT7" s="302"/>
      <c r="LPU7" s="302"/>
      <c r="LPV7" s="302"/>
      <c r="LPW7" s="302"/>
      <c r="LPX7" s="302"/>
      <c r="LPY7" s="302"/>
      <c r="LPZ7" s="302"/>
      <c r="LQA7" s="302"/>
      <c r="LQB7" s="302"/>
      <c r="LQC7" s="302"/>
      <c r="LQD7" s="302"/>
      <c r="LQE7" s="302"/>
      <c r="LQF7" s="302"/>
      <c r="LQG7" s="302"/>
      <c r="LQH7" s="302"/>
      <c r="LQI7" s="302"/>
      <c r="LQJ7" s="302"/>
      <c r="LQK7" s="302"/>
      <c r="LQL7" s="302"/>
      <c r="LQM7" s="302"/>
      <c r="LQN7" s="302"/>
      <c r="LQO7" s="302"/>
      <c r="LQP7" s="302"/>
      <c r="LQQ7" s="302"/>
      <c r="LQR7" s="302"/>
      <c r="LQS7" s="302"/>
      <c r="LQT7" s="302"/>
      <c r="LQU7" s="302"/>
      <c r="LQV7" s="302"/>
      <c r="LQW7" s="302"/>
      <c r="LQX7" s="302"/>
      <c r="LQY7" s="302"/>
      <c r="LQZ7" s="302"/>
      <c r="LRA7" s="302"/>
      <c r="LRB7" s="302"/>
      <c r="LRC7" s="302"/>
      <c r="LRD7" s="302"/>
      <c r="LRE7" s="302"/>
      <c r="LRF7" s="302"/>
      <c r="LRG7" s="302"/>
      <c r="LRH7" s="302"/>
      <c r="LRI7" s="302"/>
      <c r="LRJ7" s="302"/>
      <c r="LRK7" s="302"/>
      <c r="LRL7" s="302"/>
      <c r="LRM7" s="302"/>
      <c r="LRN7" s="302"/>
      <c r="LRO7" s="302"/>
      <c r="LRP7" s="302"/>
      <c r="LRQ7" s="302"/>
      <c r="LRR7" s="302"/>
      <c r="LRS7" s="302"/>
      <c r="LRT7" s="302"/>
      <c r="LRU7" s="302"/>
      <c r="LRV7" s="302"/>
      <c r="LRW7" s="302"/>
      <c r="LRX7" s="302"/>
      <c r="LRY7" s="302"/>
      <c r="LRZ7" s="302"/>
      <c r="LSA7" s="302"/>
      <c r="LSB7" s="302"/>
      <c r="LSC7" s="302"/>
      <c r="LSD7" s="302"/>
      <c r="LSE7" s="302"/>
      <c r="LSF7" s="302"/>
      <c r="LSG7" s="302"/>
      <c r="LSH7" s="302"/>
      <c r="LSI7" s="302"/>
      <c r="LSJ7" s="302"/>
      <c r="LSK7" s="302"/>
      <c r="LSL7" s="302"/>
      <c r="LSM7" s="302"/>
      <c r="LSN7" s="302"/>
      <c r="LSO7" s="302"/>
      <c r="LSP7" s="302"/>
      <c r="LSQ7" s="302"/>
      <c r="LSR7" s="302"/>
      <c r="LSS7" s="302"/>
      <c r="LST7" s="302"/>
      <c r="LSU7" s="302"/>
      <c r="LSV7" s="302"/>
      <c r="LSW7" s="302"/>
      <c r="LSX7" s="302"/>
      <c r="LSY7" s="302"/>
      <c r="LSZ7" s="302"/>
      <c r="LTA7" s="302"/>
      <c r="LTB7" s="302"/>
      <c r="LTC7" s="302"/>
      <c r="LTD7" s="302"/>
      <c r="LTE7" s="302"/>
      <c r="LTF7" s="302"/>
      <c r="LTG7" s="302"/>
      <c r="LTH7" s="302"/>
      <c r="LTI7" s="302"/>
      <c r="LTJ7" s="302"/>
      <c r="LTK7" s="302"/>
      <c r="LTL7" s="302"/>
      <c r="LTM7" s="302"/>
      <c r="LTN7" s="302"/>
      <c r="LTO7" s="302"/>
      <c r="LTP7" s="302"/>
      <c r="LTQ7" s="302"/>
      <c r="LTR7" s="302"/>
      <c r="LTS7" s="302"/>
      <c r="LTT7" s="302"/>
      <c r="LTU7" s="302"/>
      <c r="LTV7" s="302"/>
      <c r="LTW7" s="302"/>
      <c r="LTX7" s="302"/>
      <c r="LTY7" s="302"/>
      <c r="LTZ7" s="302"/>
      <c r="LUA7" s="302"/>
      <c r="LUB7" s="302"/>
      <c r="LUC7" s="302"/>
      <c r="LUD7" s="302"/>
      <c r="LUE7" s="302"/>
      <c r="LUF7" s="302"/>
      <c r="LUG7" s="302"/>
      <c r="LUH7" s="302"/>
      <c r="LUI7" s="302"/>
      <c r="LUJ7" s="302"/>
      <c r="LUK7" s="302"/>
      <c r="LUL7" s="302"/>
      <c r="LUM7" s="302"/>
      <c r="LUN7" s="302"/>
      <c r="LUO7" s="302"/>
      <c r="LUP7" s="302"/>
      <c r="LUQ7" s="302"/>
      <c r="LUR7" s="302"/>
      <c r="LUS7" s="302"/>
      <c r="LUT7" s="302"/>
      <c r="LUU7" s="302"/>
      <c r="LUV7" s="302"/>
      <c r="LUW7" s="302"/>
      <c r="LUX7" s="302"/>
      <c r="LUY7" s="302"/>
      <c r="LUZ7" s="302"/>
      <c r="LVA7" s="302"/>
      <c r="LVB7" s="302"/>
      <c r="LVC7" s="302"/>
      <c r="LVD7" s="302"/>
      <c r="LVE7" s="302"/>
      <c r="LVF7" s="302"/>
      <c r="LVG7" s="302"/>
      <c r="LVH7" s="302"/>
      <c r="LVI7" s="302"/>
      <c r="LVJ7" s="302"/>
      <c r="LVK7" s="302"/>
      <c r="LVL7" s="302"/>
      <c r="LVM7" s="302"/>
      <c r="LVN7" s="302"/>
      <c r="LVO7" s="302"/>
      <c r="LVP7" s="302"/>
      <c r="LVQ7" s="302"/>
      <c r="LVR7" s="302"/>
      <c r="LVS7" s="302"/>
      <c r="LVT7" s="302"/>
      <c r="LVU7" s="302"/>
      <c r="LVV7" s="302"/>
      <c r="LVW7" s="302"/>
      <c r="LVX7" s="302"/>
      <c r="LVY7" s="302"/>
      <c r="LVZ7" s="302"/>
      <c r="LWA7" s="302"/>
      <c r="LWB7" s="302"/>
      <c r="LWC7" s="302"/>
      <c r="LWD7" s="302"/>
      <c r="LWE7" s="302"/>
      <c r="LWF7" s="302"/>
      <c r="LWG7" s="302"/>
      <c r="LWH7" s="302"/>
      <c r="LWI7" s="302"/>
      <c r="LWJ7" s="302"/>
      <c r="LWK7" s="302"/>
      <c r="LWL7" s="302"/>
      <c r="LWM7" s="302"/>
      <c r="LWN7" s="302"/>
      <c r="LWO7" s="302"/>
      <c r="LWP7" s="302"/>
      <c r="LWQ7" s="302"/>
      <c r="LWR7" s="302"/>
      <c r="LWS7" s="302"/>
      <c r="LWT7" s="302"/>
      <c r="LWU7" s="302"/>
      <c r="LWV7" s="302"/>
      <c r="LWW7" s="302"/>
      <c r="LWX7" s="302"/>
      <c r="LWY7" s="302"/>
      <c r="LWZ7" s="302"/>
      <c r="LXA7" s="302"/>
      <c r="LXB7" s="302"/>
      <c r="LXC7" s="302"/>
      <c r="LXD7" s="302"/>
      <c r="LXE7" s="302"/>
      <c r="LXF7" s="302"/>
      <c r="LXG7" s="302"/>
      <c r="LXH7" s="302"/>
      <c r="LXI7" s="302"/>
      <c r="LXJ7" s="302"/>
      <c r="LXK7" s="302"/>
      <c r="LXL7" s="302"/>
      <c r="LXM7" s="302"/>
      <c r="LXN7" s="302"/>
      <c r="LXO7" s="302"/>
      <c r="LXP7" s="302"/>
      <c r="LXQ7" s="302"/>
      <c r="LXR7" s="302"/>
      <c r="LXS7" s="302"/>
      <c r="LXT7" s="302"/>
      <c r="LXU7" s="302"/>
      <c r="LXV7" s="302"/>
      <c r="LXW7" s="302"/>
      <c r="LXX7" s="302"/>
      <c r="LXY7" s="302"/>
      <c r="LXZ7" s="302"/>
      <c r="LYA7" s="302"/>
      <c r="LYB7" s="302"/>
      <c r="LYC7" s="302"/>
      <c r="LYD7" s="302"/>
      <c r="LYE7" s="302"/>
      <c r="LYF7" s="302"/>
      <c r="LYG7" s="302"/>
      <c r="LYH7" s="302"/>
      <c r="LYI7" s="302"/>
      <c r="LYJ7" s="302"/>
      <c r="LYK7" s="302"/>
      <c r="LYL7" s="302"/>
      <c r="LYM7" s="302"/>
      <c r="LYN7" s="302"/>
      <c r="LYO7" s="302"/>
      <c r="LYP7" s="302"/>
      <c r="LYQ7" s="302"/>
      <c r="LYR7" s="302"/>
      <c r="LYS7" s="302"/>
      <c r="LYT7" s="302"/>
      <c r="LYU7" s="302"/>
      <c r="LYV7" s="302"/>
      <c r="LYW7" s="302"/>
      <c r="LYX7" s="302"/>
      <c r="LYY7" s="302"/>
      <c r="LYZ7" s="302"/>
      <c r="LZA7" s="302"/>
      <c r="LZB7" s="302"/>
      <c r="LZC7" s="302"/>
      <c r="LZD7" s="302"/>
      <c r="LZE7" s="302"/>
      <c r="LZF7" s="302"/>
      <c r="LZG7" s="302"/>
      <c r="LZH7" s="302"/>
      <c r="LZI7" s="302"/>
      <c r="LZJ7" s="302"/>
      <c r="LZK7" s="302"/>
      <c r="LZL7" s="302"/>
      <c r="LZM7" s="302"/>
      <c r="LZN7" s="302"/>
      <c r="LZO7" s="302"/>
      <c r="LZP7" s="302"/>
      <c r="LZQ7" s="302"/>
      <c r="LZR7" s="302"/>
      <c r="LZS7" s="302"/>
      <c r="LZT7" s="302"/>
      <c r="LZU7" s="302"/>
      <c r="LZV7" s="302"/>
      <c r="LZW7" s="302"/>
      <c r="LZX7" s="302"/>
      <c r="LZY7" s="302"/>
      <c r="LZZ7" s="302"/>
      <c r="MAA7" s="302"/>
      <c r="MAB7" s="302"/>
      <c r="MAC7" s="302"/>
      <c r="MAD7" s="302"/>
      <c r="MAE7" s="302"/>
      <c r="MAF7" s="302"/>
      <c r="MAG7" s="302"/>
      <c r="MAH7" s="302"/>
      <c r="MAI7" s="302"/>
      <c r="MAJ7" s="302"/>
      <c r="MAK7" s="302"/>
      <c r="MAL7" s="302"/>
      <c r="MAM7" s="302"/>
      <c r="MAN7" s="302"/>
      <c r="MAO7" s="302"/>
      <c r="MAP7" s="302"/>
      <c r="MAQ7" s="302"/>
      <c r="MAR7" s="302"/>
      <c r="MAS7" s="302"/>
      <c r="MAT7" s="302"/>
      <c r="MAU7" s="302"/>
      <c r="MAV7" s="302"/>
      <c r="MAW7" s="302"/>
      <c r="MAX7" s="302"/>
      <c r="MAY7" s="302"/>
      <c r="MAZ7" s="302"/>
      <c r="MBA7" s="302"/>
      <c r="MBB7" s="302"/>
      <c r="MBC7" s="302"/>
      <c r="MBD7" s="302"/>
      <c r="MBE7" s="302"/>
      <c r="MBF7" s="302"/>
      <c r="MBG7" s="302"/>
      <c r="MBH7" s="302"/>
      <c r="MBI7" s="302"/>
      <c r="MBJ7" s="302"/>
      <c r="MBK7" s="302"/>
      <c r="MBL7" s="302"/>
      <c r="MBM7" s="302"/>
      <c r="MBN7" s="302"/>
      <c r="MBO7" s="302"/>
      <c r="MBP7" s="302"/>
      <c r="MBQ7" s="302"/>
      <c r="MBR7" s="302"/>
      <c r="MBS7" s="302"/>
      <c r="MBT7" s="302"/>
      <c r="MBU7" s="302"/>
      <c r="MBV7" s="302"/>
      <c r="MBW7" s="302"/>
      <c r="MBX7" s="302"/>
      <c r="MBY7" s="302"/>
      <c r="MBZ7" s="302"/>
      <c r="MCA7" s="302"/>
      <c r="MCB7" s="302"/>
      <c r="MCC7" s="302"/>
      <c r="MCD7" s="302"/>
      <c r="MCE7" s="302"/>
      <c r="MCF7" s="302"/>
      <c r="MCG7" s="302"/>
      <c r="MCH7" s="302"/>
      <c r="MCI7" s="302"/>
      <c r="MCJ7" s="302"/>
      <c r="MCK7" s="302"/>
      <c r="MCL7" s="302"/>
      <c r="MCM7" s="302"/>
      <c r="MCN7" s="302"/>
      <c r="MCO7" s="302"/>
      <c r="MCP7" s="302"/>
      <c r="MCQ7" s="302"/>
      <c r="MCR7" s="302"/>
      <c r="MCS7" s="302"/>
      <c r="MCT7" s="302"/>
      <c r="MCU7" s="302"/>
      <c r="MCV7" s="302"/>
      <c r="MCW7" s="302"/>
      <c r="MCX7" s="302"/>
      <c r="MCY7" s="302"/>
      <c r="MCZ7" s="302"/>
      <c r="MDA7" s="302"/>
      <c r="MDB7" s="302"/>
      <c r="MDC7" s="302"/>
      <c r="MDD7" s="302"/>
      <c r="MDE7" s="302"/>
      <c r="MDF7" s="302"/>
      <c r="MDG7" s="302"/>
      <c r="MDH7" s="302"/>
      <c r="MDI7" s="302"/>
      <c r="MDJ7" s="302"/>
      <c r="MDK7" s="302"/>
      <c r="MDL7" s="302"/>
      <c r="MDM7" s="302"/>
      <c r="MDN7" s="302"/>
      <c r="MDO7" s="302"/>
      <c r="MDP7" s="302"/>
      <c r="MDQ7" s="302"/>
      <c r="MDR7" s="302"/>
      <c r="MDS7" s="302"/>
      <c r="MDT7" s="302"/>
      <c r="MDU7" s="302"/>
      <c r="MDV7" s="302"/>
      <c r="MDW7" s="302"/>
      <c r="MDX7" s="302"/>
      <c r="MDY7" s="302"/>
      <c r="MDZ7" s="302"/>
      <c r="MEA7" s="302"/>
      <c r="MEB7" s="302"/>
      <c r="MEC7" s="302"/>
      <c r="MED7" s="302"/>
      <c r="MEE7" s="302"/>
      <c r="MEF7" s="302"/>
      <c r="MEG7" s="302"/>
      <c r="MEH7" s="302"/>
      <c r="MEI7" s="302"/>
      <c r="MEJ7" s="302"/>
      <c r="MEK7" s="302"/>
      <c r="MEL7" s="302"/>
      <c r="MEM7" s="302"/>
      <c r="MEN7" s="302"/>
      <c r="MEO7" s="302"/>
      <c r="MEP7" s="302"/>
      <c r="MEQ7" s="302"/>
      <c r="MER7" s="302"/>
      <c r="MES7" s="302"/>
      <c r="MET7" s="302"/>
      <c r="MEU7" s="302"/>
      <c r="MEV7" s="302"/>
      <c r="MEW7" s="302"/>
      <c r="MEX7" s="302"/>
      <c r="MEY7" s="302"/>
      <c r="MEZ7" s="302"/>
      <c r="MFA7" s="302"/>
      <c r="MFB7" s="302"/>
      <c r="MFC7" s="302"/>
      <c r="MFD7" s="302"/>
      <c r="MFE7" s="302"/>
      <c r="MFF7" s="302"/>
      <c r="MFG7" s="302"/>
      <c r="MFH7" s="302"/>
      <c r="MFI7" s="302"/>
      <c r="MFJ7" s="302"/>
      <c r="MFK7" s="302"/>
      <c r="MFL7" s="302"/>
      <c r="MFM7" s="302"/>
      <c r="MFN7" s="302"/>
      <c r="MFO7" s="302"/>
      <c r="MFP7" s="302"/>
      <c r="MFQ7" s="302"/>
      <c r="MFR7" s="302"/>
      <c r="MFS7" s="302"/>
      <c r="MFT7" s="302"/>
      <c r="MFU7" s="302"/>
      <c r="MFV7" s="302"/>
      <c r="MFW7" s="302"/>
      <c r="MFX7" s="302"/>
      <c r="MFY7" s="302"/>
      <c r="MFZ7" s="302"/>
      <c r="MGA7" s="302"/>
      <c r="MGB7" s="302"/>
      <c r="MGC7" s="302"/>
      <c r="MGD7" s="302"/>
      <c r="MGE7" s="302"/>
      <c r="MGF7" s="302"/>
      <c r="MGG7" s="302"/>
      <c r="MGH7" s="302"/>
      <c r="MGI7" s="302"/>
      <c r="MGJ7" s="302"/>
      <c r="MGK7" s="302"/>
      <c r="MGL7" s="302"/>
      <c r="MGM7" s="302"/>
      <c r="MGN7" s="302"/>
      <c r="MGO7" s="302"/>
      <c r="MGP7" s="302"/>
      <c r="MGQ7" s="302"/>
      <c r="MGR7" s="302"/>
      <c r="MGS7" s="302"/>
      <c r="MGT7" s="302"/>
      <c r="MGU7" s="302"/>
      <c r="MGV7" s="302"/>
      <c r="MGW7" s="302"/>
      <c r="MGX7" s="302"/>
      <c r="MGY7" s="302"/>
      <c r="MGZ7" s="302"/>
      <c r="MHA7" s="302"/>
      <c r="MHB7" s="302"/>
      <c r="MHC7" s="302"/>
      <c r="MHD7" s="302"/>
      <c r="MHE7" s="302"/>
      <c r="MHF7" s="302"/>
      <c r="MHG7" s="302"/>
      <c r="MHH7" s="302"/>
      <c r="MHI7" s="302"/>
      <c r="MHJ7" s="302"/>
      <c r="MHK7" s="302"/>
      <c r="MHL7" s="302"/>
      <c r="MHM7" s="302"/>
      <c r="MHN7" s="302"/>
      <c r="MHO7" s="302"/>
      <c r="MHP7" s="302"/>
      <c r="MHQ7" s="302"/>
      <c r="MHR7" s="302"/>
      <c r="MHS7" s="302"/>
      <c r="MHT7" s="302"/>
      <c r="MHU7" s="302"/>
      <c r="MHV7" s="302"/>
      <c r="MHW7" s="302"/>
      <c r="MHX7" s="302"/>
      <c r="MHY7" s="302"/>
      <c r="MHZ7" s="302"/>
      <c r="MIA7" s="302"/>
      <c r="MIB7" s="302"/>
      <c r="MIC7" s="302"/>
      <c r="MID7" s="302"/>
      <c r="MIE7" s="302"/>
      <c r="MIF7" s="302"/>
      <c r="MIG7" s="302"/>
      <c r="MIH7" s="302"/>
      <c r="MII7" s="302"/>
      <c r="MIJ7" s="302"/>
      <c r="MIK7" s="302"/>
      <c r="MIL7" s="302"/>
      <c r="MIM7" s="302"/>
      <c r="MIN7" s="302"/>
      <c r="MIO7" s="302"/>
      <c r="MIP7" s="302"/>
      <c r="MIQ7" s="302"/>
      <c r="MIR7" s="302"/>
      <c r="MIS7" s="302"/>
      <c r="MIT7" s="302"/>
      <c r="MIU7" s="302"/>
      <c r="MIV7" s="302"/>
      <c r="MIW7" s="302"/>
      <c r="MIX7" s="302"/>
      <c r="MIY7" s="302"/>
      <c r="MIZ7" s="302"/>
      <c r="MJA7" s="302"/>
      <c r="MJB7" s="302"/>
      <c r="MJC7" s="302"/>
      <c r="MJD7" s="302"/>
      <c r="MJE7" s="302"/>
      <c r="MJF7" s="302"/>
      <c r="MJG7" s="302"/>
      <c r="MJH7" s="302"/>
      <c r="MJI7" s="302"/>
      <c r="MJJ7" s="302"/>
      <c r="MJK7" s="302"/>
      <c r="MJL7" s="302"/>
      <c r="MJM7" s="302"/>
      <c r="MJN7" s="302"/>
      <c r="MJO7" s="302"/>
      <c r="MJP7" s="302"/>
      <c r="MJQ7" s="302"/>
      <c r="MJR7" s="302"/>
      <c r="MJS7" s="302"/>
      <c r="MJT7" s="302"/>
      <c r="MJU7" s="302"/>
      <c r="MJV7" s="302"/>
      <c r="MJW7" s="302"/>
      <c r="MJX7" s="302"/>
      <c r="MJY7" s="302"/>
      <c r="MJZ7" s="302"/>
      <c r="MKA7" s="302"/>
      <c r="MKB7" s="302"/>
      <c r="MKC7" s="302"/>
      <c r="MKD7" s="302"/>
      <c r="MKE7" s="302"/>
      <c r="MKF7" s="302"/>
      <c r="MKG7" s="302"/>
      <c r="MKH7" s="302"/>
      <c r="MKI7" s="302"/>
      <c r="MKJ7" s="302"/>
      <c r="MKK7" s="302"/>
      <c r="MKL7" s="302"/>
      <c r="MKM7" s="302"/>
      <c r="MKN7" s="302"/>
      <c r="MKO7" s="302"/>
      <c r="MKP7" s="302"/>
      <c r="MKQ7" s="302"/>
      <c r="MKR7" s="302"/>
      <c r="MKS7" s="302"/>
      <c r="MKT7" s="302"/>
      <c r="MKU7" s="302"/>
      <c r="MKV7" s="302"/>
      <c r="MKW7" s="302"/>
      <c r="MKX7" s="302"/>
      <c r="MKY7" s="302"/>
      <c r="MKZ7" s="302"/>
      <c r="MLA7" s="302"/>
      <c r="MLB7" s="302"/>
      <c r="MLC7" s="302"/>
      <c r="MLD7" s="302"/>
      <c r="MLE7" s="302"/>
      <c r="MLF7" s="302"/>
      <c r="MLG7" s="302"/>
      <c r="MLH7" s="302"/>
      <c r="MLI7" s="302"/>
      <c r="MLJ7" s="302"/>
      <c r="MLK7" s="302"/>
      <c r="MLL7" s="302"/>
      <c r="MLM7" s="302"/>
      <c r="MLN7" s="302"/>
      <c r="MLO7" s="302"/>
      <c r="MLP7" s="302"/>
      <c r="MLQ7" s="302"/>
      <c r="MLR7" s="302"/>
      <c r="MLS7" s="302"/>
      <c r="MLT7" s="302"/>
      <c r="MLU7" s="302"/>
      <c r="MLV7" s="302"/>
      <c r="MLW7" s="302"/>
      <c r="MLX7" s="302"/>
      <c r="MLY7" s="302"/>
      <c r="MLZ7" s="302"/>
      <c r="MMA7" s="302"/>
      <c r="MMB7" s="302"/>
      <c r="MMC7" s="302"/>
      <c r="MMD7" s="302"/>
      <c r="MME7" s="302"/>
      <c r="MMF7" s="302"/>
      <c r="MMG7" s="302"/>
      <c r="MMH7" s="302"/>
      <c r="MMI7" s="302"/>
      <c r="MMJ7" s="302"/>
      <c r="MMK7" s="302"/>
      <c r="MML7" s="302"/>
      <c r="MMM7" s="302"/>
      <c r="MMN7" s="302"/>
      <c r="MMO7" s="302"/>
      <c r="MMP7" s="302"/>
      <c r="MMQ7" s="302"/>
      <c r="MMR7" s="302"/>
      <c r="MMS7" s="302"/>
      <c r="MMT7" s="302"/>
      <c r="MMU7" s="302"/>
      <c r="MMV7" s="302"/>
      <c r="MMW7" s="302"/>
      <c r="MMX7" s="302"/>
      <c r="MMY7" s="302"/>
      <c r="MMZ7" s="302"/>
      <c r="MNA7" s="302"/>
      <c r="MNB7" s="302"/>
      <c r="MNC7" s="302"/>
      <c r="MND7" s="302"/>
      <c r="MNE7" s="302"/>
      <c r="MNF7" s="302"/>
      <c r="MNG7" s="302"/>
      <c r="MNH7" s="302"/>
      <c r="MNI7" s="302"/>
      <c r="MNJ7" s="302"/>
      <c r="MNK7" s="302"/>
      <c r="MNL7" s="302"/>
      <c r="MNM7" s="302"/>
      <c r="MNN7" s="302"/>
      <c r="MNO7" s="302"/>
      <c r="MNP7" s="302"/>
      <c r="MNQ7" s="302"/>
      <c r="MNR7" s="302"/>
      <c r="MNS7" s="302"/>
      <c r="MNT7" s="302"/>
      <c r="MNU7" s="302"/>
      <c r="MNV7" s="302"/>
      <c r="MNW7" s="302"/>
      <c r="MNX7" s="302"/>
      <c r="MNY7" s="302"/>
      <c r="MNZ7" s="302"/>
      <c r="MOA7" s="302"/>
      <c r="MOB7" s="302"/>
      <c r="MOC7" s="302"/>
      <c r="MOD7" s="302"/>
      <c r="MOE7" s="302"/>
      <c r="MOF7" s="302"/>
      <c r="MOG7" s="302"/>
      <c r="MOH7" s="302"/>
      <c r="MOI7" s="302"/>
      <c r="MOJ7" s="302"/>
      <c r="MOK7" s="302"/>
      <c r="MOL7" s="302"/>
      <c r="MOM7" s="302"/>
      <c r="MON7" s="302"/>
      <c r="MOO7" s="302"/>
      <c r="MOP7" s="302"/>
      <c r="MOQ7" s="302"/>
      <c r="MOR7" s="302"/>
      <c r="MOS7" s="302"/>
      <c r="MOT7" s="302"/>
      <c r="MOU7" s="302"/>
      <c r="MOV7" s="302"/>
      <c r="MOW7" s="302"/>
      <c r="MOX7" s="302"/>
      <c r="MOY7" s="302"/>
      <c r="MOZ7" s="302"/>
      <c r="MPA7" s="302"/>
      <c r="MPB7" s="302"/>
      <c r="MPC7" s="302"/>
      <c r="MPD7" s="302"/>
      <c r="MPE7" s="302"/>
      <c r="MPF7" s="302"/>
      <c r="MPG7" s="302"/>
      <c r="MPH7" s="302"/>
      <c r="MPI7" s="302"/>
      <c r="MPJ7" s="302"/>
      <c r="MPK7" s="302"/>
      <c r="MPL7" s="302"/>
      <c r="MPM7" s="302"/>
      <c r="MPN7" s="302"/>
      <c r="MPO7" s="302"/>
      <c r="MPP7" s="302"/>
      <c r="MPQ7" s="302"/>
      <c r="MPR7" s="302"/>
      <c r="MPS7" s="302"/>
      <c r="MPT7" s="302"/>
      <c r="MPU7" s="302"/>
      <c r="MPV7" s="302"/>
      <c r="MPW7" s="302"/>
      <c r="MPX7" s="302"/>
      <c r="MPY7" s="302"/>
      <c r="MPZ7" s="302"/>
      <c r="MQA7" s="302"/>
      <c r="MQB7" s="302"/>
      <c r="MQC7" s="302"/>
      <c r="MQD7" s="302"/>
      <c r="MQE7" s="302"/>
      <c r="MQF7" s="302"/>
      <c r="MQG7" s="302"/>
      <c r="MQH7" s="302"/>
      <c r="MQI7" s="302"/>
      <c r="MQJ7" s="302"/>
      <c r="MQK7" s="302"/>
      <c r="MQL7" s="302"/>
      <c r="MQM7" s="302"/>
      <c r="MQN7" s="302"/>
      <c r="MQO7" s="302"/>
      <c r="MQP7" s="302"/>
      <c r="MQQ7" s="302"/>
      <c r="MQR7" s="302"/>
      <c r="MQS7" s="302"/>
      <c r="MQT7" s="302"/>
      <c r="MQU7" s="302"/>
      <c r="MQV7" s="302"/>
      <c r="MQW7" s="302"/>
      <c r="MQX7" s="302"/>
      <c r="MQY7" s="302"/>
      <c r="MQZ7" s="302"/>
      <c r="MRA7" s="302"/>
      <c r="MRB7" s="302"/>
      <c r="MRC7" s="302"/>
      <c r="MRD7" s="302"/>
      <c r="MRE7" s="302"/>
      <c r="MRF7" s="302"/>
      <c r="MRG7" s="302"/>
      <c r="MRH7" s="302"/>
      <c r="MRI7" s="302"/>
      <c r="MRJ7" s="302"/>
      <c r="MRK7" s="302"/>
      <c r="MRL7" s="302"/>
      <c r="MRM7" s="302"/>
      <c r="MRN7" s="302"/>
      <c r="MRO7" s="302"/>
      <c r="MRP7" s="302"/>
      <c r="MRQ7" s="302"/>
      <c r="MRR7" s="302"/>
      <c r="MRS7" s="302"/>
      <c r="MRT7" s="302"/>
      <c r="MRU7" s="302"/>
      <c r="MRV7" s="302"/>
      <c r="MRW7" s="302"/>
      <c r="MRX7" s="302"/>
      <c r="MRY7" s="302"/>
      <c r="MRZ7" s="302"/>
      <c r="MSA7" s="302"/>
      <c r="MSB7" s="302"/>
      <c r="MSC7" s="302"/>
      <c r="MSD7" s="302"/>
      <c r="MSE7" s="302"/>
      <c r="MSF7" s="302"/>
      <c r="MSG7" s="302"/>
      <c r="MSH7" s="302"/>
      <c r="MSI7" s="302"/>
      <c r="MSJ7" s="302"/>
      <c r="MSK7" s="302"/>
      <c r="MSL7" s="302"/>
      <c r="MSM7" s="302"/>
      <c r="MSN7" s="302"/>
      <c r="MSO7" s="302"/>
      <c r="MSP7" s="302"/>
      <c r="MSQ7" s="302"/>
      <c r="MSR7" s="302"/>
      <c r="MSS7" s="302"/>
      <c r="MST7" s="302"/>
      <c r="MSU7" s="302"/>
      <c r="MSV7" s="302"/>
      <c r="MSW7" s="302"/>
      <c r="MSX7" s="302"/>
      <c r="MSY7" s="302"/>
      <c r="MSZ7" s="302"/>
      <c r="MTA7" s="302"/>
      <c r="MTB7" s="302"/>
      <c r="MTC7" s="302"/>
      <c r="MTD7" s="302"/>
      <c r="MTE7" s="302"/>
      <c r="MTF7" s="302"/>
      <c r="MTG7" s="302"/>
      <c r="MTH7" s="302"/>
      <c r="MTI7" s="302"/>
      <c r="MTJ7" s="302"/>
      <c r="MTK7" s="302"/>
      <c r="MTL7" s="302"/>
      <c r="MTM7" s="302"/>
      <c r="MTN7" s="302"/>
      <c r="MTO7" s="302"/>
      <c r="MTP7" s="302"/>
      <c r="MTQ7" s="302"/>
      <c r="MTR7" s="302"/>
      <c r="MTS7" s="302"/>
      <c r="MTT7" s="302"/>
      <c r="MTU7" s="302"/>
      <c r="MTV7" s="302"/>
      <c r="MTW7" s="302"/>
      <c r="MTX7" s="302"/>
      <c r="MTY7" s="302"/>
      <c r="MTZ7" s="302"/>
      <c r="MUA7" s="302"/>
      <c r="MUB7" s="302"/>
      <c r="MUC7" s="302"/>
      <c r="MUD7" s="302"/>
      <c r="MUE7" s="302"/>
      <c r="MUF7" s="302"/>
      <c r="MUG7" s="302"/>
      <c r="MUH7" s="302"/>
      <c r="MUI7" s="302"/>
      <c r="MUJ7" s="302"/>
      <c r="MUK7" s="302"/>
      <c r="MUL7" s="302"/>
      <c r="MUM7" s="302"/>
      <c r="MUN7" s="302"/>
      <c r="MUO7" s="302"/>
      <c r="MUP7" s="302"/>
      <c r="MUQ7" s="302"/>
      <c r="MUR7" s="302"/>
      <c r="MUS7" s="302"/>
      <c r="MUT7" s="302"/>
      <c r="MUU7" s="302"/>
      <c r="MUV7" s="302"/>
      <c r="MUW7" s="302"/>
      <c r="MUX7" s="302"/>
      <c r="MUY7" s="302"/>
      <c r="MUZ7" s="302"/>
      <c r="MVA7" s="302"/>
      <c r="MVB7" s="302"/>
      <c r="MVC7" s="302"/>
      <c r="MVD7" s="302"/>
      <c r="MVE7" s="302"/>
      <c r="MVF7" s="302"/>
      <c r="MVG7" s="302"/>
      <c r="MVH7" s="302"/>
      <c r="MVI7" s="302"/>
      <c r="MVJ7" s="302"/>
      <c r="MVK7" s="302"/>
      <c r="MVL7" s="302"/>
      <c r="MVM7" s="302"/>
      <c r="MVN7" s="302"/>
      <c r="MVO7" s="302"/>
      <c r="MVP7" s="302"/>
      <c r="MVQ7" s="302"/>
      <c r="MVR7" s="302"/>
      <c r="MVS7" s="302"/>
      <c r="MVT7" s="302"/>
      <c r="MVU7" s="302"/>
      <c r="MVV7" s="302"/>
      <c r="MVW7" s="302"/>
      <c r="MVX7" s="302"/>
      <c r="MVY7" s="302"/>
      <c r="MVZ7" s="302"/>
      <c r="MWA7" s="302"/>
      <c r="MWB7" s="302"/>
      <c r="MWC7" s="302"/>
      <c r="MWD7" s="302"/>
      <c r="MWE7" s="302"/>
      <c r="MWF7" s="302"/>
      <c r="MWG7" s="302"/>
      <c r="MWH7" s="302"/>
      <c r="MWI7" s="302"/>
      <c r="MWJ7" s="302"/>
      <c r="MWK7" s="302"/>
      <c r="MWL7" s="302"/>
      <c r="MWM7" s="302"/>
      <c r="MWN7" s="302"/>
      <c r="MWO7" s="302"/>
      <c r="MWP7" s="302"/>
      <c r="MWQ7" s="302"/>
      <c r="MWR7" s="302"/>
      <c r="MWS7" s="302"/>
      <c r="MWT7" s="302"/>
      <c r="MWU7" s="302"/>
      <c r="MWV7" s="302"/>
      <c r="MWW7" s="302"/>
      <c r="MWX7" s="302"/>
      <c r="MWY7" s="302"/>
      <c r="MWZ7" s="302"/>
      <c r="MXA7" s="302"/>
      <c r="MXB7" s="302"/>
      <c r="MXC7" s="302"/>
      <c r="MXD7" s="302"/>
      <c r="MXE7" s="302"/>
      <c r="MXF7" s="302"/>
      <c r="MXG7" s="302"/>
      <c r="MXH7" s="302"/>
      <c r="MXI7" s="302"/>
      <c r="MXJ7" s="302"/>
      <c r="MXK7" s="302"/>
      <c r="MXL7" s="302"/>
      <c r="MXM7" s="302"/>
      <c r="MXN7" s="302"/>
      <c r="MXO7" s="302"/>
      <c r="MXP7" s="302"/>
      <c r="MXQ7" s="302"/>
      <c r="MXR7" s="302"/>
      <c r="MXS7" s="302"/>
      <c r="MXT7" s="302"/>
      <c r="MXU7" s="302"/>
      <c r="MXV7" s="302"/>
      <c r="MXW7" s="302"/>
      <c r="MXX7" s="302"/>
      <c r="MXY7" s="302"/>
      <c r="MXZ7" s="302"/>
      <c r="MYA7" s="302"/>
      <c r="MYB7" s="302"/>
      <c r="MYC7" s="302"/>
      <c r="MYD7" s="302"/>
      <c r="MYE7" s="302"/>
      <c r="MYF7" s="302"/>
      <c r="MYG7" s="302"/>
      <c r="MYH7" s="302"/>
      <c r="MYI7" s="302"/>
      <c r="MYJ7" s="302"/>
      <c r="MYK7" s="302"/>
      <c r="MYL7" s="302"/>
      <c r="MYM7" s="302"/>
      <c r="MYN7" s="302"/>
      <c r="MYO7" s="302"/>
      <c r="MYP7" s="302"/>
      <c r="MYQ7" s="302"/>
      <c r="MYR7" s="302"/>
      <c r="MYS7" s="302"/>
      <c r="MYT7" s="302"/>
      <c r="MYU7" s="302"/>
      <c r="MYV7" s="302"/>
      <c r="MYW7" s="302"/>
      <c r="MYX7" s="302"/>
      <c r="MYY7" s="302"/>
      <c r="MYZ7" s="302"/>
      <c r="MZA7" s="302"/>
      <c r="MZB7" s="302"/>
      <c r="MZC7" s="302"/>
      <c r="MZD7" s="302"/>
      <c r="MZE7" s="302"/>
      <c r="MZF7" s="302"/>
      <c r="MZG7" s="302"/>
      <c r="MZH7" s="302"/>
      <c r="MZI7" s="302"/>
      <c r="MZJ7" s="302"/>
      <c r="MZK7" s="302"/>
      <c r="MZL7" s="302"/>
      <c r="MZM7" s="302"/>
      <c r="MZN7" s="302"/>
      <c r="MZO7" s="302"/>
      <c r="MZP7" s="302"/>
      <c r="MZQ7" s="302"/>
      <c r="MZR7" s="302"/>
      <c r="MZS7" s="302"/>
      <c r="MZT7" s="302"/>
      <c r="MZU7" s="302"/>
      <c r="MZV7" s="302"/>
      <c r="MZW7" s="302"/>
      <c r="MZX7" s="302"/>
      <c r="MZY7" s="302"/>
      <c r="MZZ7" s="302"/>
      <c r="NAA7" s="302"/>
      <c r="NAB7" s="302"/>
      <c r="NAC7" s="302"/>
      <c r="NAD7" s="302"/>
      <c r="NAE7" s="302"/>
      <c r="NAF7" s="302"/>
      <c r="NAG7" s="302"/>
      <c r="NAH7" s="302"/>
      <c r="NAI7" s="302"/>
      <c r="NAJ7" s="302"/>
      <c r="NAK7" s="302"/>
      <c r="NAL7" s="302"/>
      <c r="NAM7" s="302"/>
      <c r="NAN7" s="302"/>
      <c r="NAO7" s="302"/>
      <c r="NAP7" s="302"/>
      <c r="NAQ7" s="302"/>
      <c r="NAR7" s="302"/>
      <c r="NAS7" s="302"/>
      <c r="NAT7" s="302"/>
      <c r="NAU7" s="302"/>
      <c r="NAV7" s="302"/>
      <c r="NAW7" s="302"/>
      <c r="NAX7" s="302"/>
      <c r="NAY7" s="302"/>
      <c r="NAZ7" s="302"/>
      <c r="NBA7" s="302"/>
      <c r="NBB7" s="302"/>
      <c r="NBC7" s="302"/>
      <c r="NBD7" s="302"/>
      <c r="NBE7" s="302"/>
      <c r="NBF7" s="302"/>
      <c r="NBG7" s="302"/>
      <c r="NBH7" s="302"/>
      <c r="NBI7" s="302"/>
      <c r="NBJ7" s="302"/>
      <c r="NBK7" s="302"/>
      <c r="NBL7" s="302"/>
      <c r="NBM7" s="302"/>
      <c r="NBN7" s="302"/>
      <c r="NBO7" s="302"/>
      <c r="NBP7" s="302"/>
      <c r="NBQ7" s="302"/>
      <c r="NBR7" s="302"/>
      <c r="NBS7" s="302"/>
      <c r="NBT7" s="302"/>
      <c r="NBU7" s="302"/>
      <c r="NBV7" s="302"/>
      <c r="NBW7" s="302"/>
      <c r="NBX7" s="302"/>
      <c r="NBY7" s="302"/>
      <c r="NBZ7" s="302"/>
      <c r="NCA7" s="302"/>
      <c r="NCB7" s="302"/>
      <c r="NCC7" s="302"/>
      <c r="NCD7" s="302"/>
      <c r="NCE7" s="302"/>
      <c r="NCF7" s="302"/>
      <c r="NCG7" s="302"/>
      <c r="NCH7" s="302"/>
      <c r="NCI7" s="302"/>
      <c r="NCJ7" s="302"/>
      <c r="NCK7" s="302"/>
      <c r="NCL7" s="302"/>
      <c r="NCM7" s="302"/>
      <c r="NCN7" s="302"/>
      <c r="NCO7" s="302"/>
      <c r="NCP7" s="302"/>
      <c r="NCQ7" s="302"/>
      <c r="NCR7" s="302"/>
      <c r="NCS7" s="302"/>
      <c r="NCT7" s="302"/>
      <c r="NCU7" s="302"/>
      <c r="NCV7" s="302"/>
      <c r="NCW7" s="302"/>
      <c r="NCX7" s="302"/>
      <c r="NCY7" s="302"/>
      <c r="NCZ7" s="302"/>
      <c r="NDA7" s="302"/>
      <c r="NDB7" s="302"/>
      <c r="NDC7" s="302"/>
      <c r="NDD7" s="302"/>
      <c r="NDE7" s="302"/>
      <c r="NDF7" s="302"/>
      <c r="NDG7" s="302"/>
      <c r="NDH7" s="302"/>
      <c r="NDI7" s="302"/>
      <c r="NDJ7" s="302"/>
      <c r="NDK7" s="302"/>
      <c r="NDL7" s="302"/>
      <c r="NDM7" s="302"/>
      <c r="NDN7" s="302"/>
      <c r="NDO7" s="302"/>
      <c r="NDP7" s="302"/>
      <c r="NDQ7" s="302"/>
      <c r="NDR7" s="302"/>
      <c r="NDS7" s="302"/>
      <c r="NDT7" s="302"/>
      <c r="NDU7" s="302"/>
      <c r="NDV7" s="302"/>
      <c r="NDW7" s="302"/>
      <c r="NDX7" s="302"/>
      <c r="NDY7" s="302"/>
      <c r="NDZ7" s="302"/>
      <c r="NEA7" s="302"/>
      <c r="NEB7" s="302"/>
      <c r="NEC7" s="302"/>
      <c r="NED7" s="302"/>
      <c r="NEE7" s="302"/>
      <c r="NEF7" s="302"/>
      <c r="NEG7" s="302"/>
      <c r="NEH7" s="302"/>
      <c r="NEI7" s="302"/>
      <c r="NEJ7" s="302"/>
      <c r="NEK7" s="302"/>
      <c r="NEL7" s="302"/>
      <c r="NEM7" s="302"/>
      <c r="NEN7" s="302"/>
      <c r="NEO7" s="302"/>
      <c r="NEP7" s="302"/>
      <c r="NEQ7" s="302"/>
      <c r="NER7" s="302"/>
      <c r="NES7" s="302"/>
      <c r="NET7" s="302"/>
      <c r="NEU7" s="302"/>
      <c r="NEV7" s="302"/>
      <c r="NEW7" s="302"/>
      <c r="NEX7" s="302"/>
      <c r="NEY7" s="302"/>
      <c r="NEZ7" s="302"/>
      <c r="NFA7" s="302"/>
      <c r="NFB7" s="302"/>
      <c r="NFC7" s="302"/>
      <c r="NFD7" s="302"/>
      <c r="NFE7" s="302"/>
      <c r="NFF7" s="302"/>
      <c r="NFG7" s="302"/>
      <c r="NFH7" s="302"/>
      <c r="NFI7" s="302"/>
      <c r="NFJ7" s="302"/>
      <c r="NFK7" s="302"/>
      <c r="NFL7" s="302"/>
      <c r="NFM7" s="302"/>
      <c r="NFN7" s="302"/>
      <c r="NFO7" s="302"/>
      <c r="NFP7" s="302"/>
      <c r="NFQ7" s="302"/>
      <c r="NFR7" s="302"/>
      <c r="NFS7" s="302"/>
      <c r="NFT7" s="302"/>
      <c r="NFU7" s="302"/>
      <c r="NFV7" s="302"/>
      <c r="NFW7" s="302"/>
      <c r="NFX7" s="302"/>
      <c r="NFY7" s="302"/>
      <c r="NFZ7" s="302"/>
      <c r="NGA7" s="302"/>
      <c r="NGB7" s="302"/>
      <c r="NGC7" s="302"/>
      <c r="NGD7" s="302"/>
      <c r="NGE7" s="302"/>
      <c r="NGF7" s="302"/>
      <c r="NGG7" s="302"/>
      <c r="NGH7" s="302"/>
      <c r="NGI7" s="302"/>
      <c r="NGJ7" s="302"/>
      <c r="NGK7" s="302"/>
      <c r="NGL7" s="302"/>
      <c r="NGM7" s="302"/>
      <c r="NGN7" s="302"/>
      <c r="NGO7" s="302"/>
      <c r="NGP7" s="302"/>
      <c r="NGQ7" s="302"/>
      <c r="NGR7" s="302"/>
      <c r="NGS7" s="302"/>
      <c r="NGT7" s="302"/>
      <c r="NGU7" s="302"/>
      <c r="NGV7" s="302"/>
      <c r="NGW7" s="302"/>
      <c r="NGX7" s="302"/>
      <c r="NGY7" s="302"/>
      <c r="NGZ7" s="302"/>
      <c r="NHA7" s="302"/>
      <c r="NHB7" s="302"/>
      <c r="NHC7" s="302"/>
      <c r="NHD7" s="302"/>
      <c r="NHE7" s="302"/>
      <c r="NHF7" s="302"/>
      <c r="NHG7" s="302"/>
      <c r="NHH7" s="302"/>
      <c r="NHI7" s="302"/>
      <c r="NHJ7" s="302"/>
      <c r="NHK7" s="302"/>
      <c r="NHL7" s="302"/>
      <c r="NHM7" s="302"/>
      <c r="NHN7" s="302"/>
      <c r="NHO7" s="302"/>
      <c r="NHP7" s="302"/>
      <c r="NHQ7" s="302"/>
      <c r="NHR7" s="302"/>
      <c r="NHS7" s="302"/>
      <c r="NHT7" s="302"/>
      <c r="NHU7" s="302"/>
      <c r="NHV7" s="302"/>
      <c r="NHW7" s="302"/>
      <c r="NHX7" s="302"/>
      <c r="NHY7" s="302"/>
      <c r="NHZ7" s="302"/>
      <c r="NIA7" s="302"/>
      <c r="NIB7" s="302"/>
      <c r="NIC7" s="302"/>
      <c r="NID7" s="302"/>
      <c r="NIE7" s="302"/>
      <c r="NIF7" s="302"/>
      <c r="NIG7" s="302"/>
      <c r="NIH7" s="302"/>
      <c r="NII7" s="302"/>
      <c r="NIJ7" s="302"/>
      <c r="NIK7" s="302"/>
      <c r="NIL7" s="302"/>
      <c r="NIM7" s="302"/>
      <c r="NIN7" s="302"/>
      <c r="NIO7" s="302"/>
      <c r="NIP7" s="302"/>
      <c r="NIQ7" s="302"/>
      <c r="NIR7" s="302"/>
      <c r="NIS7" s="302"/>
      <c r="NIT7" s="302"/>
      <c r="NIU7" s="302"/>
      <c r="NIV7" s="302"/>
      <c r="NIW7" s="302"/>
      <c r="NIX7" s="302"/>
      <c r="NIY7" s="302"/>
      <c r="NIZ7" s="302"/>
      <c r="NJA7" s="302"/>
      <c r="NJB7" s="302"/>
      <c r="NJC7" s="302"/>
      <c r="NJD7" s="302"/>
      <c r="NJE7" s="302"/>
      <c r="NJF7" s="302"/>
      <c r="NJG7" s="302"/>
      <c r="NJH7" s="302"/>
      <c r="NJI7" s="302"/>
      <c r="NJJ7" s="302"/>
      <c r="NJK7" s="302"/>
      <c r="NJL7" s="302"/>
      <c r="NJM7" s="302"/>
      <c r="NJN7" s="302"/>
      <c r="NJO7" s="302"/>
      <c r="NJP7" s="302"/>
      <c r="NJQ7" s="302"/>
      <c r="NJR7" s="302"/>
      <c r="NJS7" s="302"/>
      <c r="NJT7" s="302"/>
      <c r="NJU7" s="302"/>
      <c r="NJV7" s="302"/>
      <c r="NJW7" s="302"/>
      <c r="NJX7" s="302"/>
      <c r="NJY7" s="302"/>
      <c r="NJZ7" s="302"/>
      <c r="NKA7" s="302"/>
      <c r="NKB7" s="302"/>
      <c r="NKC7" s="302"/>
      <c r="NKD7" s="302"/>
      <c r="NKE7" s="302"/>
      <c r="NKF7" s="302"/>
      <c r="NKG7" s="302"/>
      <c r="NKH7" s="302"/>
      <c r="NKI7" s="302"/>
      <c r="NKJ7" s="302"/>
      <c r="NKK7" s="302"/>
      <c r="NKL7" s="302"/>
      <c r="NKM7" s="302"/>
      <c r="NKN7" s="302"/>
      <c r="NKO7" s="302"/>
      <c r="NKP7" s="302"/>
      <c r="NKQ7" s="302"/>
      <c r="NKR7" s="302"/>
      <c r="NKS7" s="302"/>
      <c r="NKT7" s="302"/>
      <c r="NKU7" s="302"/>
      <c r="NKV7" s="302"/>
      <c r="NKW7" s="302"/>
      <c r="NKX7" s="302"/>
      <c r="NKY7" s="302"/>
      <c r="NKZ7" s="302"/>
      <c r="NLA7" s="302"/>
      <c r="NLB7" s="302"/>
      <c r="NLC7" s="302"/>
      <c r="NLD7" s="302"/>
      <c r="NLE7" s="302"/>
      <c r="NLF7" s="302"/>
      <c r="NLG7" s="302"/>
      <c r="NLH7" s="302"/>
      <c r="NLI7" s="302"/>
      <c r="NLJ7" s="302"/>
      <c r="NLK7" s="302"/>
      <c r="NLL7" s="302"/>
      <c r="NLM7" s="302"/>
      <c r="NLN7" s="302"/>
      <c r="NLO7" s="302"/>
      <c r="NLP7" s="302"/>
      <c r="NLQ7" s="302"/>
      <c r="NLR7" s="302"/>
      <c r="NLS7" s="302"/>
      <c r="NLT7" s="302"/>
      <c r="NLU7" s="302"/>
      <c r="NLV7" s="302"/>
      <c r="NLW7" s="302"/>
      <c r="NLX7" s="302"/>
      <c r="NLY7" s="302"/>
      <c r="NLZ7" s="302"/>
      <c r="NMA7" s="302"/>
      <c r="NMB7" s="302"/>
      <c r="NMC7" s="302"/>
      <c r="NMD7" s="302"/>
      <c r="NME7" s="302"/>
      <c r="NMF7" s="302"/>
      <c r="NMG7" s="302"/>
      <c r="NMH7" s="302"/>
      <c r="NMI7" s="302"/>
      <c r="NMJ7" s="302"/>
      <c r="NMK7" s="302"/>
      <c r="NML7" s="302"/>
      <c r="NMM7" s="302"/>
      <c r="NMN7" s="302"/>
      <c r="NMO7" s="302"/>
      <c r="NMP7" s="302"/>
      <c r="NMQ7" s="302"/>
      <c r="NMR7" s="302"/>
      <c r="NMS7" s="302"/>
      <c r="NMT7" s="302"/>
      <c r="NMU7" s="302"/>
      <c r="NMV7" s="302"/>
      <c r="NMW7" s="302"/>
      <c r="NMX7" s="302"/>
      <c r="NMY7" s="302"/>
      <c r="NMZ7" s="302"/>
      <c r="NNA7" s="302"/>
      <c r="NNB7" s="302"/>
      <c r="NNC7" s="302"/>
      <c r="NND7" s="302"/>
      <c r="NNE7" s="302"/>
      <c r="NNF7" s="302"/>
      <c r="NNG7" s="302"/>
      <c r="NNH7" s="302"/>
      <c r="NNI7" s="302"/>
      <c r="NNJ7" s="302"/>
      <c r="NNK7" s="302"/>
      <c r="NNL7" s="302"/>
      <c r="NNM7" s="302"/>
      <c r="NNN7" s="302"/>
      <c r="NNO7" s="302"/>
      <c r="NNP7" s="302"/>
      <c r="NNQ7" s="302"/>
      <c r="NNR7" s="302"/>
      <c r="NNS7" s="302"/>
      <c r="NNT7" s="302"/>
      <c r="NNU7" s="302"/>
      <c r="NNV7" s="302"/>
      <c r="NNW7" s="302"/>
      <c r="NNX7" s="302"/>
      <c r="NNY7" s="302"/>
      <c r="NNZ7" s="302"/>
      <c r="NOA7" s="302"/>
      <c r="NOB7" s="302"/>
      <c r="NOC7" s="302"/>
      <c r="NOD7" s="302"/>
      <c r="NOE7" s="302"/>
      <c r="NOF7" s="302"/>
      <c r="NOG7" s="302"/>
      <c r="NOH7" s="302"/>
      <c r="NOI7" s="302"/>
      <c r="NOJ7" s="302"/>
      <c r="NOK7" s="302"/>
      <c r="NOL7" s="302"/>
      <c r="NOM7" s="302"/>
      <c r="NON7" s="302"/>
      <c r="NOO7" s="302"/>
      <c r="NOP7" s="302"/>
      <c r="NOQ7" s="302"/>
      <c r="NOR7" s="302"/>
      <c r="NOS7" s="302"/>
      <c r="NOT7" s="302"/>
      <c r="NOU7" s="302"/>
      <c r="NOV7" s="302"/>
      <c r="NOW7" s="302"/>
      <c r="NOX7" s="302"/>
      <c r="NOY7" s="302"/>
      <c r="NOZ7" s="302"/>
      <c r="NPA7" s="302"/>
      <c r="NPB7" s="302"/>
      <c r="NPC7" s="302"/>
      <c r="NPD7" s="302"/>
      <c r="NPE7" s="302"/>
      <c r="NPF7" s="302"/>
      <c r="NPG7" s="302"/>
      <c r="NPH7" s="302"/>
      <c r="NPI7" s="302"/>
      <c r="NPJ7" s="302"/>
      <c r="NPK7" s="302"/>
      <c r="NPL7" s="302"/>
      <c r="NPM7" s="302"/>
      <c r="NPN7" s="302"/>
      <c r="NPO7" s="302"/>
      <c r="NPP7" s="302"/>
      <c r="NPQ7" s="302"/>
      <c r="NPR7" s="302"/>
      <c r="NPS7" s="302"/>
      <c r="NPT7" s="302"/>
      <c r="NPU7" s="302"/>
      <c r="NPV7" s="302"/>
      <c r="NPW7" s="302"/>
      <c r="NPX7" s="302"/>
      <c r="NPY7" s="302"/>
      <c r="NPZ7" s="302"/>
      <c r="NQA7" s="302"/>
      <c r="NQB7" s="302"/>
      <c r="NQC7" s="302"/>
      <c r="NQD7" s="302"/>
      <c r="NQE7" s="302"/>
      <c r="NQF7" s="302"/>
      <c r="NQG7" s="302"/>
      <c r="NQH7" s="302"/>
      <c r="NQI7" s="302"/>
      <c r="NQJ7" s="302"/>
      <c r="NQK7" s="302"/>
      <c r="NQL7" s="302"/>
      <c r="NQM7" s="302"/>
      <c r="NQN7" s="302"/>
      <c r="NQO7" s="302"/>
      <c r="NQP7" s="302"/>
      <c r="NQQ7" s="302"/>
      <c r="NQR7" s="302"/>
      <c r="NQS7" s="302"/>
      <c r="NQT7" s="302"/>
      <c r="NQU7" s="302"/>
      <c r="NQV7" s="302"/>
      <c r="NQW7" s="302"/>
      <c r="NQX7" s="302"/>
      <c r="NQY7" s="302"/>
      <c r="NQZ7" s="302"/>
      <c r="NRA7" s="302"/>
      <c r="NRB7" s="302"/>
      <c r="NRC7" s="302"/>
      <c r="NRD7" s="302"/>
      <c r="NRE7" s="302"/>
      <c r="NRF7" s="302"/>
      <c r="NRG7" s="302"/>
      <c r="NRH7" s="302"/>
      <c r="NRI7" s="302"/>
      <c r="NRJ7" s="302"/>
      <c r="NRK7" s="302"/>
      <c r="NRL7" s="302"/>
      <c r="NRM7" s="302"/>
      <c r="NRN7" s="302"/>
      <c r="NRO7" s="302"/>
      <c r="NRP7" s="302"/>
      <c r="NRQ7" s="302"/>
      <c r="NRR7" s="302"/>
      <c r="NRS7" s="302"/>
      <c r="NRT7" s="302"/>
      <c r="NRU7" s="302"/>
      <c r="NRV7" s="302"/>
      <c r="NRW7" s="302"/>
      <c r="NRX7" s="302"/>
      <c r="NRY7" s="302"/>
      <c r="NRZ7" s="302"/>
      <c r="NSA7" s="302"/>
      <c r="NSB7" s="302"/>
      <c r="NSC7" s="302"/>
      <c r="NSD7" s="302"/>
      <c r="NSE7" s="302"/>
      <c r="NSF7" s="302"/>
      <c r="NSG7" s="302"/>
      <c r="NSH7" s="302"/>
      <c r="NSI7" s="302"/>
      <c r="NSJ7" s="302"/>
      <c r="NSK7" s="302"/>
      <c r="NSL7" s="302"/>
      <c r="NSM7" s="302"/>
      <c r="NSN7" s="302"/>
      <c r="NSO7" s="302"/>
      <c r="NSP7" s="302"/>
      <c r="NSQ7" s="302"/>
      <c r="NSR7" s="302"/>
      <c r="NSS7" s="302"/>
      <c r="NST7" s="302"/>
      <c r="NSU7" s="302"/>
      <c r="NSV7" s="302"/>
      <c r="NSW7" s="302"/>
      <c r="NSX7" s="302"/>
      <c r="NSY7" s="302"/>
      <c r="NSZ7" s="302"/>
      <c r="NTA7" s="302"/>
      <c r="NTB7" s="302"/>
      <c r="NTC7" s="302"/>
      <c r="NTD7" s="302"/>
      <c r="NTE7" s="302"/>
      <c r="NTF7" s="302"/>
      <c r="NTG7" s="302"/>
      <c r="NTH7" s="302"/>
      <c r="NTI7" s="302"/>
      <c r="NTJ7" s="302"/>
      <c r="NTK7" s="302"/>
      <c r="NTL7" s="302"/>
      <c r="NTM7" s="302"/>
      <c r="NTN7" s="302"/>
      <c r="NTO7" s="302"/>
      <c r="NTP7" s="302"/>
      <c r="NTQ7" s="302"/>
      <c r="NTR7" s="302"/>
      <c r="NTS7" s="302"/>
      <c r="NTT7" s="302"/>
      <c r="NTU7" s="302"/>
      <c r="NTV7" s="302"/>
      <c r="NTW7" s="302"/>
      <c r="NTX7" s="302"/>
      <c r="NTY7" s="302"/>
      <c r="NTZ7" s="302"/>
      <c r="NUA7" s="302"/>
      <c r="NUB7" s="302"/>
      <c r="NUC7" s="302"/>
      <c r="NUD7" s="302"/>
      <c r="NUE7" s="302"/>
      <c r="NUF7" s="302"/>
      <c r="NUG7" s="302"/>
      <c r="NUH7" s="302"/>
      <c r="NUI7" s="302"/>
      <c r="NUJ7" s="302"/>
      <c r="NUK7" s="302"/>
      <c r="NUL7" s="302"/>
      <c r="NUM7" s="302"/>
      <c r="NUN7" s="302"/>
      <c r="NUO7" s="302"/>
      <c r="NUP7" s="302"/>
      <c r="NUQ7" s="302"/>
      <c r="NUR7" s="302"/>
      <c r="NUS7" s="302"/>
      <c r="NUT7" s="302"/>
      <c r="NUU7" s="302"/>
      <c r="NUV7" s="302"/>
      <c r="NUW7" s="302"/>
      <c r="NUX7" s="302"/>
      <c r="NUY7" s="302"/>
      <c r="NUZ7" s="302"/>
      <c r="NVA7" s="302"/>
      <c r="NVB7" s="302"/>
      <c r="NVC7" s="302"/>
      <c r="NVD7" s="302"/>
      <c r="NVE7" s="302"/>
      <c r="NVF7" s="302"/>
      <c r="NVG7" s="302"/>
      <c r="NVH7" s="302"/>
      <c r="NVI7" s="302"/>
      <c r="NVJ7" s="302"/>
      <c r="NVK7" s="302"/>
      <c r="NVL7" s="302"/>
      <c r="NVM7" s="302"/>
      <c r="NVN7" s="302"/>
      <c r="NVO7" s="302"/>
      <c r="NVP7" s="302"/>
      <c r="NVQ7" s="302"/>
      <c r="NVR7" s="302"/>
      <c r="NVS7" s="302"/>
      <c r="NVT7" s="302"/>
      <c r="NVU7" s="302"/>
      <c r="NVV7" s="302"/>
      <c r="NVW7" s="302"/>
      <c r="NVX7" s="302"/>
      <c r="NVY7" s="302"/>
      <c r="NVZ7" s="302"/>
      <c r="NWA7" s="302"/>
      <c r="NWB7" s="302"/>
      <c r="NWC7" s="302"/>
      <c r="NWD7" s="302"/>
      <c r="NWE7" s="302"/>
      <c r="NWF7" s="302"/>
      <c r="NWG7" s="302"/>
      <c r="NWH7" s="302"/>
      <c r="NWI7" s="302"/>
      <c r="NWJ7" s="302"/>
      <c r="NWK7" s="302"/>
      <c r="NWL7" s="302"/>
      <c r="NWM7" s="302"/>
      <c r="NWN7" s="302"/>
      <c r="NWO7" s="302"/>
      <c r="NWP7" s="302"/>
      <c r="NWQ7" s="302"/>
      <c r="NWR7" s="302"/>
      <c r="NWS7" s="302"/>
      <c r="NWT7" s="302"/>
      <c r="NWU7" s="302"/>
      <c r="NWV7" s="302"/>
      <c r="NWW7" s="302"/>
      <c r="NWX7" s="302"/>
      <c r="NWY7" s="302"/>
      <c r="NWZ7" s="302"/>
      <c r="NXA7" s="302"/>
      <c r="NXB7" s="302"/>
      <c r="NXC7" s="302"/>
      <c r="NXD7" s="302"/>
      <c r="NXE7" s="302"/>
      <c r="NXF7" s="302"/>
      <c r="NXG7" s="302"/>
      <c r="NXH7" s="302"/>
      <c r="NXI7" s="302"/>
      <c r="NXJ7" s="302"/>
      <c r="NXK7" s="302"/>
      <c r="NXL7" s="302"/>
      <c r="NXM7" s="302"/>
      <c r="NXN7" s="302"/>
      <c r="NXO7" s="302"/>
      <c r="NXP7" s="302"/>
      <c r="NXQ7" s="302"/>
      <c r="NXR7" s="302"/>
      <c r="NXS7" s="302"/>
      <c r="NXT7" s="302"/>
      <c r="NXU7" s="302"/>
      <c r="NXV7" s="302"/>
      <c r="NXW7" s="302"/>
      <c r="NXX7" s="302"/>
      <c r="NXY7" s="302"/>
      <c r="NXZ7" s="302"/>
      <c r="NYA7" s="302"/>
      <c r="NYB7" s="302"/>
      <c r="NYC7" s="302"/>
      <c r="NYD7" s="302"/>
      <c r="NYE7" s="302"/>
      <c r="NYF7" s="302"/>
      <c r="NYG7" s="302"/>
      <c r="NYH7" s="302"/>
      <c r="NYI7" s="302"/>
      <c r="NYJ7" s="302"/>
      <c r="NYK7" s="302"/>
      <c r="NYL7" s="302"/>
      <c r="NYM7" s="302"/>
      <c r="NYN7" s="302"/>
      <c r="NYO7" s="302"/>
      <c r="NYP7" s="302"/>
      <c r="NYQ7" s="302"/>
      <c r="NYR7" s="302"/>
      <c r="NYS7" s="302"/>
      <c r="NYT7" s="302"/>
      <c r="NYU7" s="302"/>
      <c r="NYV7" s="302"/>
      <c r="NYW7" s="302"/>
      <c r="NYX7" s="302"/>
      <c r="NYY7" s="302"/>
      <c r="NYZ7" s="302"/>
      <c r="NZA7" s="302"/>
      <c r="NZB7" s="302"/>
      <c r="NZC7" s="302"/>
      <c r="NZD7" s="302"/>
      <c r="NZE7" s="302"/>
      <c r="NZF7" s="302"/>
      <c r="NZG7" s="302"/>
      <c r="NZH7" s="302"/>
      <c r="NZI7" s="302"/>
      <c r="NZJ7" s="302"/>
      <c r="NZK7" s="302"/>
      <c r="NZL7" s="302"/>
      <c r="NZM7" s="302"/>
      <c r="NZN7" s="302"/>
      <c r="NZO7" s="302"/>
      <c r="NZP7" s="302"/>
      <c r="NZQ7" s="302"/>
      <c r="NZR7" s="302"/>
      <c r="NZS7" s="302"/>
      <c r="NZT7" s="302"/>
      <c r="NZU7" s="302"/>
      <c r="NZV7" s="302"/>
      <c r="NZW7" s="302"/>
      <c r="NZX7" s="302"/>
      <c r="NZY7" s="302"/>
      <c r="NZZ7" s="302"/>
      <c r="OAA7" s="302"/>
      <c r="OAB7" s="302"/>
      <c r="OAC7" s="302"/>
      <c r="OAD7" s="302"/>
      <c r="OAE7" s="302"/>
      <c r="OAF7" s="302"/>
      <c r="OAG7" s="302"/>
      <c r="OAH7" s="302"/>
      <c r="OAI7" s="302"/>
      <c r="OAJ7" s="302"/>
      <c r="OAK7" s="302"/>
      <c r="OAL7" s="302"/>
      <c r="OAM7" s="302"/>
      <c r="OAN7" s="302"/>
      <c r="OAO7" s="302"/>
      <c r="OAP7" s="302"/>
      <c r="OAQ7" s="302"/>
      <c r="OAR7" s="302"/>
      <c r="OAS7" s="302"/>
      <c r="OAT7" s="302"/>
      <c r="OAU7" s="302"/>
      <c r="OAV7" s="302"/>
      <c r="OAW7" s="302"/>
      <c r="OAX7" s="302"/>
      <c r="OAY7" s="302"/>
      <c r="OAZ7" s="302"/>
      <c r="OBA7" s="302"/>
      <c r="OBB7" s="302"/>
      <c r="OBC7" s="302"/>
      <c r="OBD7" s="302"/>
      <c r="OBE7" s="302"/>
      <c r="OBF7" s="302"/>
      <c r="OBG7" s="302"/>
      <c r="OBH7" s="302"/>
      <c r="OBI7" s="302"/>
      <c r="OBJ7" s="302"/>
      <c r="OBK7" s="302"/>
      <c r="OBL7" s="302"/>
      <c r="OBM7" s="302"/>
      <c r="OBN7" s="302"/>
      <c r="OBO7" s="302"/>
      <c r="OBP7" s="302"/>
      <c r="OBQ7" s="302"/>
      <c r="OBR7" s="302"/>
      <c r="OBS7" s="302"/>
      <c r="OBT7" s="302"/>
      <c r="OBU7" s="302"/>
      <c r="OBV7" s="302"/>
      <c r="OBW7" s="302"/>
      <c r="OBX7" s="302"/>
      <c r="OBY7" s="302"/>
      <c r="OBZ7" s="302"/>
      <c r="OCA7" s="302"/>
      <c r="OCB7" s="302"/>
      <c r="OCC7" s="302"/>
      <c r="OCD7" s="302"/>
      <c r="OCE7" s="302"/>
      <c r="OCF7" s="302"/>
      <c r="OCG7" s="302"/>
      <c r="OCH7" s="302"/>
      <c r="OCI7" s="302"/>
      <c r="OCJ7" s="302"/>
      <c r="OCK7" s="302"/>
      <c r="OCL7" s="302"/>
      <c r="OCM7" s="302"/>
      <c r="OCN7" s="302"/>
      <c r="OCO7" s="302"/>
      <c r="OCP7" s="302"/>
      <c r="OCQ7" s="302"/>
      <c r="OCR7" s="302"/>
      <c r="OCS7" s="302"/>
      <c r="OCT7" s="302"/>
      <c r="OCU7" s="302"/>
      <c r="OCV7" s="302"/>
      <c r="OCW7" s="302"/>
      <c r="OCX7" s="302"/>
      <c r="OCY7" s="302"/>
      <c r="OCZ7" s="302"/>
      <c r="ODA7" s="302"/>
      <c r="ODB7" s="302"/>
      <c r="ODC7" s="302"/>
      <c r="ODD7" s="302"/>
      <c r="ODE7" s="302"/>
      <c r="ODF7" s="302"/>
      <c r="ODG7" s="302"/>
      <c r="ODH7" s="302"/>
      <c r="ODI7" s="302"/>
      <c r="ODJ7" s="302"/>
      <c r="ODK7" s="302"/>
      <c r="ODL7" s="302"/>
      <c r="ODM7" s="302"/>
      <c r="ODN7" s="302"/>
      <c r="ODO7" s="302"/>
      <c r="ODP7" s="302"/>
      <c r="ODQ7" s="302"/>
      <c r="ODR7" s="302"/>
      <c r="ODS7" s="302"/>
      <c r="ODT7" s="302"/>
      <c r="ODU7" s="302"/>
      <c r="ODV7" s="302"/>
      <c r="ODW7" s="302"/>
      <c r="ODX7" s="302"/>
      <c r="ODY7" s="302"/>
      <c r="ODZ7" s="302"/>
      <c r="OEA7" s="302"/>
      <c r="OEB7" s="302"/>
      <c r="OEC7" s="302"/>
      <c r="OED7" s="302"/>
      <c r="OEE7" s="302"/>
      <c r="OEF7" s="302"/>
      <c r="OEG7" s="302"/>
      <c r="OEH7" s="302"/>
      <c r="OEI7" s="302"/>
      <c r="OEJ7" s="302"/>
      <c r="OEK7" s="302"/>
      <c r="OEL7" s="302"/>
      <c r="OEM7" s="302"/>
      <c r="OEN7" s="302"/>
      <c r="OEO7" s="302"/>
      <c r="OEP7" s="302"/>
      <c r="OEQ7" s="302"/>
      <c r="OER7" s="302"/>
      <c r="OES7" s="302"/>
      <c r="OET7" s="302"/>
      <c r="OEU7" s="302"/>
      <c r="OEV7" s="302"/>
      <c r="OEW7" s="302"/>
      <c r="OEX7" s="302"/>
      <c r="OEY7" s="302"/>
      <c r="OEZ7" s="302"/>
      <c r="OFA7" s="302"/>
      <c r="OFB7" s="302"/>
      <c r="OFC7" s="302"/>
      <c r="OFD7" s="302"/>
      <c r="OFE7" s="302"/>
      <c r="OFF7" s="302"/>
      <c r="OFG7" s="302"/>
      <c r="OFH7" s="302"/>
      <c r="OFI7" s="302"/>
      <c r="OFJ7" s="302"/>
      <c r="OFK7" s="302"/>
      <c r="OFL7" s="302"/>
      <c r="OFM7" s="302"/>
      <c r="OFN7" s="302"/>
      <c r="OFO7" s="302"/>
      <c r="OFP7" s="302"/>
      <c r="OFQ7" s="302"/>
      <c r="OFR7" s="302"/>
      <c r="OFS7" s="302"/>
      <c r="OFT7" s="302"/>
      <c r="OFU7" s="302"/>
      <c r="OFV7" s="302"/>
      <c r="OFW7" s="302"/>
      <c r="OFX7" s="302"/>
      <c r="OFY7" s="302"/>
      <c r="OFZ7" s="302"/>
      <c r="OGA7" s="302"/>
      <c r="OGB7" s="302"/>
      <c r="OGC7" s="302"/>
      <c r="OGD7" s="302"/>
      <c r="OGE7" s="302"/>
      <c r="OGF7" s="302"/>
      <c r="OGG7" s="302"/>
      <c r="OGH7" s="302"/>
      <c r="OGI7" s="302"/>
      <c r="OGJ7" s="302"/>
      <c r="OGK7" s="302"/>
      <c r="OGL7" s="302"/>
      <c r="OGM7" s="302"/>
      <c r="OGN7" s="302"/>
      <c r="OGO7" s="302"/>
      <c r="OGP7" s="302"/>
      <c r="OGQ7" s="302"/>
      <c r="OGR7" s="302"/>
      <c r="OGS7" s="302"/>
      <c r="OGT7" s="302"/>
      <c r="OGU7" s="302"/>
      <c r="OGV7" s="302"/>
      <c r="OGW7" s="302"/>
      <c r="OGX7" s="302"/>
      <c r="OGY7" s="302"/>
      <c r="OGZ7" s="302"/>
      <c r="OHA7" s="302"/>
      <c r="OHB7" s="302"/>
      <c r="OHC7" s="302"/>
      <c r="OHD7" s="302"/>
      <c r="OHE7" s="302"/>
      <c r="OHF7" s="302"/>
      <c r="OHG7" s="302"/>
      <c r="OHH7" s="302"/>
      <c r="OHI7" s="302"/>
      <c r="OHJ7" s="302"/>
      <c r="OHK7" s="302"/>
      <c r="OHL7" s="302"/>
      <c r="OHM7" s="302"/>
      <c r="OHN7" s="302"/>
      <c r="OHO7" s="302"/>
      <c r="OHP7" s="302"/>
      <c r="OHQ7" s="302"/>
      <c r="OHR7" s="302"/>
      <c r="OHS7" s="302"/>
      <c r="OHT7" s="302"/>
      <c r="OHU7" s="302"/>
      <c r="OHV7" s="302"/>
      <c r="OHW7" s="302"/>
      <c r="OHX7" s="302"/>
      <c r="OHY7" s="302"/>
      <c r="OHZ7" s="302"/>
      <c r="OIA7" s="302"/>
      <c r="OIB7" s="302"/>
      <c r="OIC7" s="302"/>
      <c r="OID7" s="302"/>
      <c r="OIE7" s="302"/>
      <c r="OIF7" s="302"/>
      <c r="OIG7" s="302"/>
      <c r="OIH7" s="302"/>
      <c r="OII7" s="302"/>
      <c r="OIJ7" s="302"/>
      <c r="OIK7" s="302"/>
      <c r="OIL7" s="302"/>
      <c r="OIM7" s="302"/>
      <c r="OIN7" s="302"/>
      <c r="OIO7" s="302"/>
      <c r="OIP7" s="302"/>
      <c r="OIQ7" s="302"/>
      <c r="OIR7" s="302"/>
      <c r="OIS7" s="302"/>
      <c r="OIT7" s="302"/>
      <c r="OIU7" s="302"/>
      <c r="OIV7" s="302"/>
      <c r="OIW7" s="302"/>
      <c r="OIX7" s="302"/>
      <c r="OIY7" s="302"/>
      <c r="OIZ7" s="302"/>
      <c r="OJA7" s="302"/>
      <c r="OJB7" s="302"/>
      <c r="OJC7" s="302"/>
      <c r="OJD7" s="302"/>
      <c r="OJE7" s="302"/>
      <c r="OJF7" s="302"/>
      <c r="OJG7" s="302"/>
      <c r="OJH7" s="302"/>
      <c r="OJI7" s="302"/>
      <c r="OJJ7" s="302"/>
      <c r="OJK7" s="302"/>
      <c r="OJL7" s="302"/>
      <c r="OJM7" s="302"/>
      <c r="OJN7" s="302"/>
      <c r="OJO7" s="302"/>
      <c r="OJP7" s="302"/>
      <c r="OJQ7" s="302"/>
      <c r="OJR7" s="302"/>
      <c r="OJS7" s="302"/>
      <c r="OJT7" s="302"/>
      <c r="OJU7" s="302"/>
      <c r="OJV7" s="302"/>
      <c r="OJW7" s="302"/>
      <c r="OJX7" s="302"/>
      <c r="OJY7" s="302"/>
      <c r="OJZ7" s="302"/>
      <c r="OKA7" s="302"/>
      <c r="OKB7" s="302"/>
      <c r="OKC7" s="302"/>
      <c r="OKD7" s="302"/>
      <c r="OKE7" s="302"/>
      <c r="OKF7" s="302"/>
      <c r="OKG7" s="302"/>
      <c r="OKH7" s="302"/>
      <c r="OKI7" s="302"/>
      <c r="OKJ7" s="302"/>
      <c r="OKK7" s="302"/>
      <c r="OKL7" s="302"/>
      <c r="OKM7" s="302"/>
      <c r="OKN7" s="302"/>
      <c r="OKO7" s="302"/>
      <c r="OKP7" s="302"/>
      <c r="OKQ7" s="302"/>
      <c r="OKR7" s="302"/>
      <c r="OKS7" s="302"/>
      <c r="OKT7" s="302"/>
      <c r="OKU7" s="302"/>
      <c r="OKV7" s="302"/>
      <c r="OKW7" s="302"/>
      <c r="OKX7" s="302"/>
      <c r="OKY7" s="302"/>
      <c r="OKZ7" s="302"/>
      <c r="OLA7" s="302"/>
      <c r="OLB7" s="302"/>
      <c r="OLC7" s="302"/>
      <c r="OLD7" s="302"/>
      <c r="OLE7" s="302"/>
      <c r="OLF7" s="302"/>
      <c r="OLG7" s="302"/>
      <c r="OLH7" s="302"/>
      <c r="OLI7" s="302"/>
      <c r="OLJ7" s="302"/>
      <c r="OLK7" s="302"/>
      <c r="OLL7" s="302"/>
      <c r="OLM7" s="302"/>
      <c r="OLN7" s="302"/>
      <c r="OLO7" s="302"/>
      <c r="OLP7" s="302"/>
      <c r="OLQ7" s="302"/>
      <c r="OLR7" s="302"/>
      <c r="OLS7" s="302"/>
      <c r="OLT7" s="302"/>
      <c r="OLU7" s="302"/>
      <c r="OLV7" s="302"/>
      <c r="OLW7" s="302"/>
      <c r="OLX7" s="302"/>
      <c r="OLY7" s="302"/>
      <c r="OLZ7" s="302"/>
      <c r="OMA7" s="302"/>
      <c r="OMB7" s="302"/>
      <c r="OMC7" s="302"/>
      <c r="OMD7" s="302"/>
      <c r="OME7" s="302"/>
      <c r="OMF7" s="302"/>
      <c r="OMG7" s="302"/>
      <c r="OMH7" s="302"/>
      <c r="OMI7" s="302"/>
      <c r="OMJ7" s="302"/>
      <c r="OMK7" s="302"/>
      <c r="OML7" s="302"/>
      <c r="OMM7" s="302"/>
      <c r="OMN7" s="302"/>
      <c r="OMO7" s="302"/>
      <c r="OMP7" s="302"/>
      <c r="OMQ7" s="302"/>
      <c r="OMR7" s="302"/>
      <c r="OMS7" s="302"/>
      <c r="OMT7" s="302"/>
      <c r="OMU7" s="302"/>
      <c r="OMV7" s="302"/>
      <c r="OMW7" s="302"/>
      <c r="OMX7" s="302"/>
      <c r="OMY7" s="302"/>
      <c r="OMZ7" s="302"/>
      <c r="ONA7" s="302"/>
      <c r="ONB7" s="302"/>
      <c r="ONC7" s="302"/>
      <c r="OND7" s="302"/>
      <c r="ONE7" s="302"/>
      <c r="ONF7" s="302"/>
      <c r="ONG7" s="302"/>
      <c r="ONH7" s="302"/>
      <c r="ONI7" s="302"/>
      <c r="ONJ7" s="302"/>
      <c r="ONK7" s="302"/>
      <c r="ONL7" s="302"/>
      <c r="ONM7" s="302"/>
      <c r="ONN7" s="302"/>
      <c r="ONO7" s="302"/>
      <c r="ONP7" s="302"/>
      <c r="ONQ7" s="302"/>
      <c r="ONR7" s="302"/>
      <c r="ONS7" s="302"/>
      <c r="ONT7" s="302"/>
      <c r="ONU7" s="302"/>
      <c r="ONV7" s="302"/>
      <c r="ONW7" s="302"/>
      <c r="ONX7" s="302"/>
      <c r="ONY7" s="302"/>
      <c r="ONZ7" s="302"/>
      <c r="OOA7" s="302"/>
      <c r="OOB7" s="302"/>
      <c r="OOC7" s="302"/>
      <c r="OOD7" s="302"/>
      <c r="OOE7" s="302"/>
      <c r="OOF7" s="302"/>
      <c r="OOG7" s="302"/>
      <c r="OOH7" s="302"/>
      <c r="OOI7" s="302"/>
      <c r="OOJ7" s="302"/>
      <c r="OOK7" s="302"/>
      <c r="OOL7" s="302"/>
      <c r="OOM7" s="302"/>
      <c r="OON7" s="302"/>
      <c r="OOO7" s="302"/>
      <c r="OOP7" s="302"/>
      <c r="OOQ7" s="302"/>
      <c r="OOR7" s="302"/>
      <c r="OOS7" s="302"/>
      <c r="OOT7" s="302"/>
      <c r="OOU7" s="302"/>
      <c r="OOV7" s="302"/>
      <c r="OOW7" s="302"/>
      <c r="OOX7" s="302"/>
      <c r="OOY7" s="302"/>
      <c r="OOZ7" s="302"/>
      <c r="OPA7" s="302"/>
      <c r="OPB7" s="302"/>
      <c r="OPC7" s="302"/>
      <c r="OPD7" s="302"/>
      <c r="OPE7" s="302"/>
      <c r="OPF7" s="302"/>
      <c r="OPG7" s="302"/>
      <c r="OPH7" s="302"/>
      <c r="OPI7" s="302"/>
      <c r="OPJ7" s="302"/>
      <c r="OPK7" s="302"/>
      <c r="OPL7" s="302"/>
      <c r="OPM7" s="302"/>
      <c r="OPN7" s="302"/>
      <c r="OPO7" s="302"/>
      <c r="OPP7" s="302"/>
      <c r="OPQ7" s="302"/>
      <c r="OPR7" s="302"/>
      <c r="OPS7" s="302"/>
      <c r="OPT7" s="302"/>
      <c r="OPU7" s="302"/>
      <c r="OPV7" s="302"/>
      <c r="OPW7" s="302"/>
      <c r="OPX7" s="302"/>
      <c r="OPY7" s="302"/>
      <c r="OPZ7" s="302"/>
      <c r="OQA7" s="302"/>
      <c r="OQB7" s="302"/>
      <c r="OQC7" s="302"/>
      <c r="OQD7" s="302"/>
      <c r="OQE7" s="302"/>
      <c r="OQF7" s="302"/>
      <c r="OQG7" s="302"/>
      <c r="OQH7" s="302"/>
      <c r="OQI7" s="302"/>
      <c r="OQJ7" s="302"/>
      <c r="OQK7" s="302"/>
      <c r="OQL7" s="302"/>
      <c r="OQM7" s="302"/>
      <c r="OQN7" s="302"/>
      <c r="OQO7" s="302"/>
      <c r="OQP7" s="302"/>
      <c r="OQQ7" s="302"/>
      <c r="OQR7" s="302"/>
      <c r="OQS7" s="302"/>
      <c r="OQT7" s="302"/>
      <c r="OQU7" s="302"/>
      <c r="OQV7" s="302"/>
      <c r="OQW7" s="302"/>
      <c r="OQX7" s="302"/>
      <c r="OQY7" s="302"/>
      <c r="OQZ7" s="302"/>
      <c r="ORA7" s="302"/>
      <c r="ORB7" s="302"/>
      <c r="ORC7" s="302"/>
      <c r="ORD7" s="302"/>
      <c r="ORE7" s="302"/>
      <c r="ORF7" s="302"/>
      <c r="ORG7" s="302"/>
      <c r="ORH7" s="302"/>
      <c r="ORI7" s="302"/>
      <c r="ORJ7" s="302"/>
      <c r="ORK7" s="302"/>
      <c r="ORL7" s="302"/>
      <c r="ORM7" s="302"/>
      <c r="ORN7" s="302"/>
      <c r="ORO7" s="302"/>
      <c r="ORP7" s="302"/>
      <c r="ORQ7" s="302"/>
      <c r="ORR7" s="302"/>
      <c r="ORS7" s="302"/>
      <c r="ORT7" s="302"/>
      <c r="ORU7" s="302"/>
      <c r="ORV7" s="302"/>
      <c r="ORW7" s="302"/>
      <c r="ORX7" s="302"/>
      <c r="ORY7" s="302"/>
      <c r="ORZ7" s="302"/>
      <c r="OSA7" s="302"/>
      <c r="OSB7" s="302"/>
      <c r="OSC7" s="302"/>
      <c r="OSD7" s="302"/>
      <c r="OSE7" s="302"/>
      <c r="OSF7" s="302"/>
      <c r="OSG7" s="302"/>
      <c r="OSH7" s="302"/>
      <c r="OSI7" s="302"/>
      <c r="OSJ7" s="302"/>
      <c r="OSK7" s="302"/>
      <c r="OSL7" s="302"/>
      <c r="OSM7" s="302"/>
      <c r="OSN7" s="302"/>
      <c r="OSO7" s="302"/>
      <c r="OSP7" s="302"/>
      <c r="OSQ7" s="302"/>
      <c r="OSR7" s="302"/>
      <c r="OSS7" s="302"/>
      <c r="OST7" s="302"/>
      <c r="OSU7" s="302"/>
      <c r="OSV7" s="302"/>
      <c r="OSW7" s="302"/>
      <c r="OSX7" s="302"/>
      <c r="OSY7" s="302"/>
      <c r="OSZ7" s="302"/>
      <c r="OTA7" s="302"/>
      <c r="OTB7" s="302"/>
      <c r="OTC7" s="302"/>
      <c r="OTD7" s="302"/>
      <c r="OTE7" s="302"/>
      <c r="OTF7" s="302"/>
      <c r="OTG7" s="302"/>
      <c r="OTH7" s="302"/>
      <c r="OTI7" s="302"/>
      <c r="OTJ7" s="302"/>
      <c r="OTK7" s="302"/>
      <c r="OTL7" s="302"/>
      <c r="OTM7" s="302"/>
      <c r="OTN7" s="302"/>
      <c r="OTO7" s="302"/>
      <c r="OTP7" s="302"/>
      <c r="OTQ7" s="302"/>
      <c r="OTR7" s="302"/>
      <c r="OTS7" s="302"/>
      <c r="OTT7" s="302"/>
      <c r="OTU7" s="302"/>
      <c r="OTV7" s="302"/>
      <c r="OTW7" s="302"/>
      <c r="OTX7" s="302"/>
      <c r="OTY7" s="302"/>
      <c r="OTZ7" s="302"/>
      <c r="OUA7" s="302"/>
      <c r="OUB7" s="302"/>
      <c r="OUC7" s="302"/>
      <c r="OUD7" s="302"/>
      <c r="OUE7" s="302"/>
      <c r="OUF7" s="302"/>
      <c r="OUG7" s="302"/>
      <c r="OUH7" s="302"/>
      <c r="OUI7" s="302"/>
      <c r="OUJ7" s="302"/>
      <c r="OUK7" s="302"/>
      <c r="OUL7" s="302"/>
      <c r="OUM7" s="302"/>
      <c r="OUN7" s="302"/>
      <c r="OUO7" s="302"/>
      <c r="OUP7" s="302"/>
      <c r="OUQ7" s="302"/>
      <c r="OUR7" s="302"/>
      <c r="OUS7" s="302"/>
      <c r="OUT7" s="302"/>
      <c r="OUU7" s="302"/>
      <c r="OUV7" s="302"/>
      <c r="OUW7" s="302"/>
      <c r="OUX7" s="302"/>
      <c r="OUY7" s="302"/>
      <c r="OUZ7" s="302"/>
      <c r="OVA7" s="302"/>
      <c r="OVB7" s="302"/>
      <c r="OVC7" s="302"/>
      <c r="OVD7" s="302"/>
      <c r="OVE7" s="302"/>
      <c r="OVF7" s="302"/>
      <c r="OVG7" s="302"/>
      <c r="OVH7" s="302"/>
      <c r="OVI7" s="302"/>
      <c r="OVJ7" s="302"/>
      <c r="OVK7" s="302"/>
      <c r="OVL7" s="302"/>
      <c r="OVM7" s="302"/>
      <c r="OVN7" s="302"/>
      <c r="OVO7" s="302"/>
      <c r="OVP7" s="302"/>
      <c r="OVQ7" s="302"/>
      <c r="OVR7" s="302"/>
      <c r="OVS7" s="302"/>
      <c r="OVT7" s="302"/>
      <c r="OVU7" s="302"/>
      <c r="OVV7" s="302"/>
      <c r="OVW7" s="302"/>
      <c r="OVX7" s="302"/>
      <c r="OVY7" s="302"/>
      <c r="OVZ7" s="302"/>
      <c r="OWA7" s="302"/>
      <c r="OWB7" s="302"/>
      <c r="OWC7" s="302"/>
      <c r="OWD7" s="302"/>
      <c r="OWE7" s="302"/>
      <c r="OWF7" s="302"/>
      <c r="OWG7" s="302"/>
      <c r="OWH7" s="302"/>
      <c r="OWI7" s="302"/>
      <c r="OWJ7" s="302"/>
      <c r="OWK7" s="302"/>
      <c r="OWL7" s="302"/>
      <c r="OWM7" s="302"/>
      <c r="OWN7" s="302"/>
      <c r="OWO7" s="302"/>
      <c r="OWP7" s="302"/>
      <c r="OWQ7" s="302"/>
      <c r="OWR7" s="302"/>
      <c r="OWS7" s="302"/>
      <c r="OWT7" s="302"/>
      <c r="OWU7" s="302"/>
      <c r="OWV7" s="302"/>
      <c r="OWW7" s="302"/>
      <c r="OWX7" s="302"/>
      <c r="OWY7" s="302"/>
      <c r="OWZ7" s="302"/>
      <c r="OXA7" s="302"/>
      <c r="OXB7" s="302"/>
      <c r="OXC7" s="302"/>
      <c r="OXD7" s="302"/>
      <c r="OXE7" s="302"/>
      <c r="OXF7" s="302"/>
      <c r="OXG7" s="302"/>
      <c r="OXH7" s="302"/>
      <c r="OXI7" s="302"/>
      <c r="OXJ7" s="302"/>
      <c r="OXK7" s="302"/>
      <c r="OXL7" s="302"/>
      <c r="OXM7" s="302"/>
      <c r="OXN7" s="302"/>
      <c r="OXO7" s="302"/>
      <c r="OXP7" s="302"/>
      <c r="OXQ7" s="302"/>
      <c r="OXR7" s="302"/>
      <c r="OXS7" s="302"/>
      <c r="OXT7" s="302"/>
      <c r="OXU7" s="302"/>
      <c r="OXV7" s="302"/>
      <c r="OXW7" s="302"/>
      <c r="OXX7" s="302"/>
      <c r="OXY7" s="302"/>
      <c r="OXZ7" s="302"/>
      <c r="OYA7" s="302"/>
      <c r="OYB7" s="302"/>
      <c r="OYC7" s="302"/>
      <c r="OYD7" s="302"/>
      <c r="OYE7" s="302"/>
      <c r="OYF7" s="302"/>
      <c r="OYG7" s="302"/>
      <c r="OYH7" s="302"/>
      <c r="OYI7" s="302"/>
      <c r="OYJ7" s="302"/>
      <c r="OYK7" s="302"/>
      <c r="OYL7" s="302"/>
      <c r="OYM7" s="302"/>
      <c r="OYN7" s="302"/>
      <c r="OYO7" s="302"/>
      <c r="OYP7" s="302"/>
      <c r="OYQ7" s="302"/>
      <c r="OYR7" s="302"/>
      <c r="OYS7" s="302"/>
      <c r="OYT7" s="302"/>
      <c r="OYU7" s="302"/>
      <c r="OYV7" s="302"/>
      <c r="OYW7" s="302"/>
      <c r="OYX7" s="302"/>
      <c r="OYY7" s="302"/>
      <c r="OYZ7" s="302"/>
      <c r="OZA7" s="302"/>
      <c r="OZB7" s="302"/>
      <c r="OZC7" s="302"/>
      <c r="OZD7" s="302"/>
      <c r="OZE7" s="302"/>
      <c r="OZF7" s="302"/>
      <c r="OZG7" s="302"/>
      <c r="OZH7" s="302"/>
      <c r="OZI7" s="302"/>
      <c r="OZJ7" s="302"/>
      <c r="OZK7" s="302"/>
      <c r="OZL7" s="302"/>
      <c r="OZM7" s="302"/>
      <c r="OZN7" s="302"/>
      <c r="OZO7" s="302"/>
      <c r="OZP7" s="302"/>
      <c r="OZQ7" s="302"/>
      <c r="OZR7" s="302"/>
      <c r="OZS7" s="302"/>
      <c r="OZT7" s="302"/>
      <c r="OZU7" s="302"/>
      <c r="OZV7" s="302"/>
      <c r="OZW7" s="302"/>
      <c r="OZX7" s="302"/>
      <c r="OZY7" s="302"/>
      <c r="OZZ7" s="302"/>
      <c r="PAA7" s="302"/>
      <c r="PAB7" s="302"/>
      <c r="PAC7" s="302"/>
      <c r="PAD7" s="302"/>
      <c r="PAE7" s="302"/>
      <c r="PAF7" s="302"/>
      <c r="PAG7" s="302"/>
      <c r="PAH7" s="302"/>
      <c r="PAI7" s="302"/>
      <c r="PAJ7" s="302"/>
      <c r="PAK7" s="302"/>
      <c r="PAL7" s="302"/>
      <c r="PAM7" s="302"/>
      <c r="PAN7" s="302"/>
      <c r="PAO7" s="302"/>
      <c r="PAP7" s="302"/>
      <c r="PAQ7" s="302"/>
      <c r="PAR7" s="302"/>
      <c r="PAS7" s="302"/>
      <c r="PAT7" s="302"/>
      <c r="PAU7" s="302"/>
      <c r="PAV7" s="302"/>
      <c r="PAW7" s="302"/>
      <c r="PAX7" s="302"/>
      <c r="PAY7" s="302"/>
      <c r="PAZ7" s="302"/>
      <c r="PBA7" s="302"/>
      <c r="PBB7" s="302"/>
      <c r="PBC7" s="302"/>
      <c r="PBD7" s="302"/>
      <c r="PBE7" s="302"/>
      <c r="PBF7" s="302"/>
      <c r="PBG7" s="302"/>
      <c r="PBH7" s="302"/>
      <c r="PBI7" s="302"/>
      <c r="PBJ7" s="302"/>
      <c r="PBK7" s="302"/>
      <c r="PBL7" s="302"/>
      <c r="PBM7" s="302"/>
      <c r="PBN7" s="302"/>
      <c r="PBO7" s="302"/>
      <c r="PBP7" s="302"/>
      <c r="PBQ7" s="302"/>
      <c r="PBR7" s="302"/>
      <c r="PBS7" s="302"/>
      <c r="PBT7" s="302"/>
      <c r="PBU7" s="302"/>
      <c r="PBV7" s="302"/>
      <c r="PBW7" s="302"/>
      <c r="PBX7" s="302"/>
      <c r="PBY7" s="302"/>
      <c r="PBZ7" s="302"/>
      <c r="PCA7" s="302"/>
      <c r="PCB7" s="302"/>
      <c r="PCC7" s="302"/>
      <c r="PCD7" s="302"/>
      <c r="PCE7" s="302"/>
      <c r="PCF7" s="302"/>
      <c r="PCG7" s="302"/>
      <c r="PCH7" s="302"/>
      <c r="PCI7" s="302"/>
      <c r="PCJ7" s="302"/>
      <c r="PCK7" s="302"/>
      <c r="PCL7" s="302"/>
      <c r="PCM7" s="302"/>
      <c r="PCN7" s="302"/>
      <c r="PCO7" s="302"/>
      <c r="PCP7" s="302"/>
      <c r="PCQ7" s="302"/>
      <c r="PCR7" s="302"/>
      <c r="PCS7" s="302"/>
      <c r="PCT7" s="302"/>
      <c r="PCU7" s="302"/>
      <c r="PCV7" s="302"/>
      <c r="PCW7" s="302"/>
      <c r="PCX7" s="302"/>
      <c r="PCY7" s="302"/>
      <c r="PCZ7" s="302"/>
      <c r="PDA7" s="302"/>
      <c r="PDB7" s="302"/>
      <c r="PDC7" s="302"/>
      <c r="PDD7" s="302"/>
      <c r="PDE7" s="302"/>
      <c r="PDF7" s="302"/>
      <c r="PDG7" s="302"/>
      <c r="PDH7" s="302"/>
      <c r="PDI7" s="302"/>
      <c r="PDJ7" s="302"/>
      <c r="PDK7" s="302"/>
      <c r="PDL7" s="302"/>
      <c r="PDM7" s="302"/>
      <c r="PDN7" s="302"/>
      <c r="PDO7" s="302"/>
      <c r="PDP7" s="302"/>
      <c r="PDQ7" s="302"/>
      <c r="PDR7" s="302"/>
      <c r="PDS7" s="302"/>
      <c r="PDT7" s="302"/>
      <c r="PDU7" s="302"/>
      <c r="PDV7" s="302"/>
      <c r="PDW7" s="302"/>
      <c r="PDX7" s="302"/>
      <c r="PDY7" s="302"/>
      <c r="PDZ7" s="302"/>
      <c r="PEA7" s="302"/>
      <c r="PEB7" s="302"/>
      <c r="PEC7" s="302"/>
      <c r="PED7" s="302"/>
      <c r="PEE7" s="302"/>
      <c r="PEF7" s="302"/>
      <c r="PEG7" s="302"/>
      <c r="PEH7" s="302"/>
      <c r="PEI7" s="302"/>
      <c r="PEJ7" s="302"/>
      <c r="PEK7" s="302"/>
      <c r="PEL7" s="302"/>
      <c r="PEM7" s="302"/>
      <c r="PEN7" s="302"/>
      <c r="PEO7" s="302"/>
      <c r="PEP7" s="302"/>
      <c r="PEQ7" s="302"/>
      <c r="PER7" s="302"/>
      <c r="PES7" s="302"/>
      <c r="PET7" s="302"/>
      <c r="PEU7" s="302"/>
      <c r="PEV7" s="302"/>
      <c r="PEW7" s="302"/>
      <c r="PEX7" s="302"/>
      <c r="PEY7" s="302"/>
      <c r="PEZ7" s="302"/>
      <c r="PFA7" s="302"/>
      <c r="PFB7" s="302"/>
      <c r="PFC7" s="302"/>
      <c r="PFD7" s="302"/>
      <c r="PFE7" s="302"/>
      <c r="PFF7" s="302"/>
      <c r="PFG7" s="302"/>
      <c r="PFH7" s="302"/>
      <c r="PFI7" s="302"/>
      <c r="PFJ7" s="302"/>
      <c r="PFK7" s="302"/>
      <c r="PFL7" s="302"/>
      <c r="PFM7" s="302"/>
      <c r="PFN7" s="302"/>
      <c r="PFO7" s="302"/>
      <c r="PFP7" s="302"/>
      <c r="PFQ7" s="302"/>
      <c r="PFR7" s="302"/>
      <c r="PFS7" s="302"/>
      <c r="PFT7" s="302"/>
      <c r="PFU7" s="302"/>
      <c r="PFV7" s="302"/>
      <c r="PFW7" s="302"/>
      <c r="PFX7" s="302"/>
      <c r="PFY7" s="302"/>
      <c r="PFZ7" s="302"/>
      <c r="PGA7" s="302"/>
      <c r="PGB7" s="302"/>
      <c r="PGC7" s="302"/>
      <c r="PGD7" s="302"/>
      <c r="PGE7" s="302"/>
      <c r="PGF7" s="302"/>
      <c r="PGG7" s="302"/>
      <c r="PGH7" s="302"/>
      <c r="PGI7" s="302"/>
      <c r="PGJ7" s="302"/>
      <c r="PGK7" s="302"/>
      <c r="PGL7" s="302"/>
      <c r="PGM7" s="302"/>
      <c r="PGN7" s="302"/>
      <c r="PGO7" s="302"/>
      <c r="PGP7" s="302"/>
      <c r="PGQ7" s="302"/>
      <c r="PGR7" s="302"/>
      <c r="PGS7" s="302"/>
      <c r="PGT7" s="302"/>
      <c r="PGU7" s="302"/>
      <c r="PGV7" s="302"/>
      <c r="PGW7" s="302"/>
      <c r="PGX7" s="302"/>
      <c r="PGY7" s="302"/>
      <c r="PGZ7" s="302"/>
      <c r="PHA7" s="302"/>
      <c r="PHB7" s="302"/>
      <c r="PHC7" s="302"/>
      <c r="PHD7" s="302"/>
      <c r="PHE7" s="302"/>
      <c r="PHF7" s="302"/>
      <c r="PHG7" s="302"/>
      <c r="PHH7" s="302"/>
      <c r="PHI7" s="302"/>
      <c r="PHJ7" s="302"/>
      <c r="PHK7" s="302"/>
      <c r="PHL7" s="302"/>
      <c r="PHM7" s="302"/>
      <c r="PHN7" s="302"/>
      <c r="PHO7" s="302"/>
      <c r="PHP7" s="302"/>
      <c r="PHQ7" s="302"/>
      <c r="PHR7" s="302"/>
      <c r="PHS7" s="302"/>
      <c r="PHT7" s="302"/>
      <c r="PHU7" s="302"/>
      <c r="PHV7" s="302"/>
      <c r="PHW7" s="302"/>
      <c r="PHX7" s="302"/>
      <c r="PHY7" s="302"/>
      <c r="PHZ7" s="302"/>
      <c r="PIA7" s="302"/>
      <c r="PIB7" s="302"/>
      <c r="PIC7" s="302"/>
      <c r="PID7" s="302"/>
      <c r="PIE7" s="302"/>
      <c r="PIF7" s="302"/>
      <c r="PIG7" s="302"/>
      <c r="PIH7" s="302"/>
      <c r="PII7" s="302"/>
      <c r="PIJ7" s="302"/>
      <c r="PIK7" s="302"/>
      <c r="PIL7" s="302"/>
      <c r="PIM7" s="302"/>
      <c r="PIN7" s="302"/>
      <c r="PIO7" s="302"/>
      <c r="PIP7" s="302"/>
      <c r="PIQ7" s="302"/>
      <c r="PIR7" s="302"/>
      <c r="PIS7" s="302"/>
      <c r="PIT7" s="302"/>
      <c r="PIU7" s="302"/>
      <c r="PIV7" s="302"/>
      <c r="PIW7" s="302"/>
      <c r="PIX7" s="302"/>
      <c r="PIY7" s="302"/>
      <c r="PIZ7" s="302"/>
      <c r="PJA7" s="302"/>
      <c r="PJB7" s="302"/>
      <c r="PJC7" s="302"/>
      <c r="PJD7" s="302"/>
      <c r="PJE7" s="302"/>
      <c r="PJF7" s="302"/>
      <c r="PJG7" s="302"/>
      <c r="PJH7" s="302"/>
      <c r="PJI7" s="302"/>
      <c r="PJJ7" s="302"/>
      <c r="PJK7" s="302"/>
      <c r="PJL7" s="302"/>
      <c r="PJM7" s="302"/>
      <c r="PJN7" s="302"/>
      <c r="PJO7" s="302"/>
      <c r="PJP7" s="302"/>
      <c r="PJQ7" s="302"/>
      <c r="PJR7" s="302"/>
      <c r="PJS7" s="302"/>
      <c r="PJT7" s="302"/>
      <c r="PJU7" s="302"/>
      <c r="PJV7" s="302"/>
      <c r="PJW7" s="302"/>
      <c r="PJX7" s="302"/>
      <c r="PJY7" s="302"/>
      <c r="PJZ7" s="302"/>
      <c r="PKA7" s="302"/>
      <c r="PKB7" s="302"/>
      <c r="PKC7" s="302"/>
      <c r="PKD7" s="302"/>
      <c r="PKE7" s="302"/>
      <c r="PKF7" s="302"/>
      <c r="PKG7" s="302"/>
      <c r="PKH7" s="302"/>
      <c r="PKI7" s="302"/>
      <c r="PKJ7" s="302"/>
      <c r="PKK7" s="302"/>
      <c r="PKL7" s="302"/>
      <c r="PKM7" s="302"/>
      <c r="PKN7" s="302"/>
      <c r="PKO7" s="302"/>
      <c r="PKP7" s="302"/>
      <c r="PKQ7" s="302"/>
      <c r="PKR7" s="302"/>
      <c r="PKS7" s="302"/>
      <c r="PKT7" s="302"/>
      <c r="PKU7" s="302"/>
      <c r="PKV7" s="302"/>
      <c r="PKW7" s="302"/>
      <c r="PKX7" s="302"/>
      <c r="PKY7" s="302"/>
      <c r="PKZ7" s="302"/>
      <c r="PLA7" s="302"/>
      <c r="PLB7" s="302"/>
      <c r="PLC7" s="302"/>
      <c r="PLD7" s="302"/>
      <c r="PLE7" s="302"/>
      <c r="PLF7" s="302"/>
      <c r="PLG7" s="302"/>
      <c r="PLH7" s="302"/>
      <c r="PLI7" s="302"/>
      <c r="PLJ7" s="302"/>
      <c r="PLK7" s="302"/>
      <c r="PLL7" s="302"/>
      <c r="PLM7" s="302"/>
      <c r="PLN7" s="302"/>
      <c r="PLO7" s="302"/>
      <c r="PLP7" s="302"/>
      <c r="PLQ7" s="302"/>
      <c r="PLR7" s="302"/>
      <c r="PLS7" s="302"/>
      <c r="PLT7" s="302"/>
      <c r="PLU7" s="302"/>
      <c r="PLV7" s="302"/>
      <c r="PLW7" s="302"/>
      <c r="PLX7" s="302"/>
      <c r="PLY7" s="302"/>
      <c r="PLZ7" s="302"/>
      <c r="PMA7" s="302"/>
      <c r="PMB7" s="302"/>
      <c r="PMC7" s="302"/>
      <c r="PMD7" s="302"/>
      <c r="PME7" s="302"/>
      <c r="PMF7" s="302"/>
      <c r="PMG7" s="302"/>
      <c r="PMH7" s="302"/>
      <c r="PMI7" s="302"/>
      <c r="PMJ7" s="302"/>
      <c r="PMK7" s="302"/>
      <c r="PML7" s="302"/>
      <c r="PMM7" s="302"/>
      <c r="PMN7" s="302"/>
      <c r="PMO7" s="302"/>
      <c r="PMP7" s="302"/>
      <c r="PMQ7" s="302"/>
      <c r="PMR7" s="302"/>
      <c r="PMS7" s="302"/>
      <c r="PMT7" s="302"/>
      <c r="PMU7" s="302"/>
      <c r="PMV7" s="302"/>
      <c r="PMW7" s="302"/>
      <c r="PMX7" s="302"/>
      <c r="PMY7" s="302"/>
      <c r="PMZ7" s="302"/>
      <c r="PNA7" s="302"/>
      <c r="PNB7" s="302"/>
      <c r="PNC7" s="302"/>
      <c r="PND7" s="302"/>
      <c r="PNE7" s="302"/>
      <c r="PNF7" s="302"/>
      <c r="PNG7" s="302"/>
      <c r="PNH7" s="302"/>
      <c r="PNI7" s="302"/>
      <c r="PNJ7" s="302"/>
      <c r="PNK7" s="302"/>
      <c r="PNL7" s="302"/>
      <c r="PNM7" s="302"/>
      <c r="PNN7" s="302"/>
      <c r="PNO7" s="302"/>
      <c r="PNP7" s="302"/>
      <c r="PNQ7" s="302"/>
      <c r="PNR7" s="302"/>
      <c r="PNS7" s="302"/>
      <c r="PNT7" s="302"/>
      <c r="PNU7" s="302"/>
      <c r="PNV7" s="302"/>
      <c r="PNW7" s="302"/>
      <c r="PNX7" s="302"/>
      <c r="PNY7" s="302"/>
      <c r="PNZ7" s="302"/>
      <c r="POA7" s="302"/>
      <c r="POB7" s="302"/>
      <c r="POC7" s="302"/>
      <c r="POD7" s="302"/>
      <c r="POE7" s="302"/>
      <c r="POF7" s="302"/>
      <c r="POG7" s="302"/>
      <c r="POH7" s="302"/>
      <c r="POI7" s="302"/>
      <c r="POJ7" s="302"/>
      <c r="POK7" s="302"/>
      <c r="POL7" s="302"/>
      <c r="POM7" s="302"/>
      <c r="PON7" s="302"/>
      <c r="POO7" s="302"/>
      <c r="POP7" s="302"/>
      <c r="POQ7" s="302"/>
      <c r="POR7" s="302"/>
      <c r="POS7" s="302"/>
      <c r="POT7" s="302"/>
      <c r="POU7" s="302"/>
      <c r="POV7" s="302"/>
      <c r="POW7" s="302"/>
      <c r="POX7" s="302"/>
      <c r="POY7" s="302"/>
      <c r="POZ7" s="302"/>
      <c r="PPA7" s="302"/>
      <c r="PPB7" s="302"/>
      <c r="PPC7" s="302"/>
      <c r="PPD7" s="302"/>
      <c r="PPE7" s="302"/>
      <c r="PPF7" s="302"/>
      <c r="PPG7" s="302"/>
      <c r="PPH7" s="302"/>
      <c r="PPI7" s="302"/>
      <c r="PPJ7" s="302"/>
      <c r="PPK7" s="302"/>
      <c r="PPL7" s="302"/>
      <c r="PPM7" s="302"/>
      <c r="PPN7" s="302"/>
      <c r="PPO7" s="302"/>
      <c r="PPP7" s="302"/>
      <c r="PPQ7" s="302"/>
      <c r="PPR7" s="302"/>
      <c r="PPS7" s="302"/>
      <c r="PPT7" s="302"/>
      <c r="PPU7" s="302"/>
      <c r="PPV7" s="302"/>
      <c r="PPW7" s="302"/>
      <c r="PPX7" s="302"/>
      <c r="PPY7" s="302"/>
      <c r="PPZ7" s="302"/>
      <c r="PQA7" s="302"/>
      <c r="PQB7" s="302"/>
      <c r="PQC7" s="302"/>
      <c r="PQD7" s="302"/>
      <c r="PQE7" s="302"/>
      <c r="PQF7" s="302"/>
      <c r="PQG7" s="302"/>
      <c r="PQH7" s="302"/>
      <c r="PQI7" s="302"/>
      <c r="PQJ7" s="302"/>
      <c r="PQK7" s="302"/>
      <c r="PQL7" s="302"/>
      <c r="PQM7" s="302"/>
      <c r="PQN7" s="302"/>
      <c r="PQO7" s="302"/>
      <c r="PQP7" s="302"/>
      <c r="PQQ7" s="302"/>
      <c r="PQR7" s="302"/>
      <c r="PQS7" s="302"/>
      <c r="PQT7" s="302"/>
      <c r="PQU7" s="302"/>
      <c r="PQV7" s="302"/>
      <c r="PQW7" s="302"/>
      <c r="PQX7" s="302"/>
      <c r="PQY7" s="302"/>
      <c r="PQZ7" s="302"/>
      <c r="PRA7" s="302"/>
      <c r="PRB7" s="302"/>
      <c r="PRC7" s="302"/>
      <c r="PRD7" s="302"/>
      <c r="PRE7" s="302"/>
      <c r="PRF7" s="302"/>
      <c r="PRG7" s="302"/>
      <c r="PRH7" s="302"/>
      <c r="PRI7" s="302"/>
      <c r="PRJ7" s="302"/>
      <c r="PRK7" s="302"/>
      <c r="PRL7" s="302"/>
      <c r="PRM7" s="302"/>
      <c r="PRN7" s="302"/>
      <c r="PRO7" s="302"/>
      <c r="PRP7" s="302"/>
      <c r="PRQ7" s="302"/>
      <c r="PRR7" s="302"/>
      <c r="PRS7" s="302"/>
      <c r="PRT7" s="302"/>
      <c r="PRU7" s="302"/>
      <c r="PRV7" s="302"/>
      <c r="PRW7" s="302"/>
      <c r="PRX7" s="302"/>
      <c r="PRY7" s="302"/>
      <c r="PRZ7" s="302"/>
      <c r="PSA7" s="302"/>
      <c r="PSB7" s="302"/>
      <c r="PSC7" s="302"/>
      <c r="PSD7" s="302"/>
      <c r="PSE7" s="302"/>
      <c r="PSF7" s="302"/>
      <c r="PSG7" s="302"/>
      <c r="PSH7" s="302"/>
      <c r="PSI7" s="302"/>
      <c r="PSJ7" s="302"/>
      <c r="PSK7" s="302"/>
      <c r="PSL7" s="302"/>
      <c r="PSM7" s="302"/>
      <c r="PSN7" s="302"/>
      <c r="PSO7" s="302"/>
      <c r="PSP7" s="302"/>
      <c r="PSQ7" s="302"/>
      <c r="PSR7" s="302"/>
      <c r="PSS7" s="302"/>
      <c r="PST7" s="302"/>
      <c r="PSU7" s="302"/>
      <c r="PSV7" s="302"/>
      <c r="PSW7" s="302"/>
      <c r="PSX7" s="302"/>
      <c r="PSY7" s="302"/>
      <c r="PSZ7" s="302"/>
      <c r="PTA7" s="302"/>
      <c r="PTB7" s="302"/>
      <c r="PTC7" s="302"/>
      <c r="PTD7" s="302"/>
      <c r="PTE7" s="302"/>
      <c r="PTF7" s="302"/>
      <c r="PTG7" s="302"/>
      <c r="PTH7" s="302"/>
      <c r="PTI7" s="302"/>
      <c r="PTJ7" s="302"/>
      <c r="PTK7" s="302"/>
      <c r="PTL7" s="302"/>
      <c r="PTM7" s="302"/>
      <c r="PTN7" s="302"/>
      <c r="PTO7" s="302"/>
      <c r="PTP7" s="302"/>
      <c r="PTQ7" s="302"/>
      <c r="PTR7" s="302"/>
      <c r="PTS7" s="302"/>
      <c r="PTT7" s="302"/>
      <c r="PTU7" s="302"/>
      <c r="PTV7" s="302"/>
      <c r="PTW7" s="302"/>
      <c r="PTX7" s="302"/>
      <c r="PTY7" s="302"/>
      <c r="PTZ7" s="302"/>
      <c r="PUA7" s="302"/>
      <c r="PUB7" s="302"/>
      <c r="PUC7" s="302"/>
      <c r="PUD7" s="302"/>
      <c r="PUE7" s="302"/>
      <c r="PUF7" s="302"/>
      <c r="PUG7" s="302"/>
      <c r="PUH7" s="302"/>
      <c r="PUI7" s="302"/>
      <c r="PUJ7" s="302"/>
      <c r="PUK7" s="302"/>
      <c r="PUL7" s="302"/>
      <c r="PUM7" s="302"/>
      <c r="PUN7" s="302"/>
      <c r="PUO7" s="302"/>
      <c r="PUP7" s="302"/>
      <c r="PUQ7" s="302"/>
      <c r="PUR7" s="302"/>
      <c r="PUS7" s="302"/>
      <c r="PUT7" s="302"/>
      <c r="PUU7" s="302"/>
      <c r="PUV7" s="302"/>
      <c r="PUW7" s="302"/>
      <c r="PUX7" s="302"/>
      <c r="PUY7" s="302"/>
      <c r="PUZ7" s="302"/>
      <c r="PVA7" s="302"/>
      <c r="PVB7" s="302"/>
      <c r="PVC7" s="302"/>
      <c r="PVD7" s="302"/>
      <c r="PVE7" s="302"/>
      <c r="PVF7" s="302"/>
      <c r="PVG7" s="302"/>
      <c r="PVH7" s="302"/>
      <c r="PVI7" s="302"/>
      <c r="PVJ7" s="302"/>
      <c r="PVK7" s="302"/>
      <c r="PVL7" s="302"/>
      <c r="PVM7" s="302"/>
      <c r="PVN7" s="302"/>
      <c r="PVO7" s="302"/>
      <c r="PVP7" s="302"/>
      <c r="PVQ7" s="302"/>
      <c r="PVR7" s="302"/>
      <c r="PVS7" s="302"/>
      <c r="PVT7" s="302"/>
      <c r="PVU7" s="302"/>
      <c r="PVV7" s="302"/>
      <c r="PVW7" s="302"/>
      <c r="PVX7" s="302"/>
      <c r="PVY7" s="302"/>
      <c r="PVZ7" s="302"/>
      <c r="PWA7" s="302"/>
      <c r="PWB7" s="302"/>
      <c r="PWC7" s="302"/>
      <c r="PWD7" s="302"/>
      <c r="PWE7" s="302"/>
      <c r="PWF7" s="302"/>
      <c r="PWG7" s="302"/>
      <c r="PWH7" s="302"/>
      <c r="PWI7" s="302"/>
      <c r="PWJ7" s="302"/>
      <c r="PWK7" s="302"/>
      <c r="PWL7" s="302"/>
      <c r="PWM7" s="302"/>
      <c r="PWN7" s="302"/>
      <c r="PWO7" s="302"/>
      <c r="PWP7" s="302"/>
      <c r="PWQ7" s="302"/>
      <c r="PWR7" s="302"/>
      <c r="PWS7" s="302"/>
      <c r="PWT7" s="302"/>
      <c r="PWU7" s="302"/>
      <c r="PWV7" s="302"/>
      <c r="PWW7" s="302"/>
      <c r="PWX7" s="302"/>
      <c r="PWY7" s="302"/>
      <c r="PWZ7" s="302"/>
      <c r="PXA7" s="302"/>
      <c r="PXB7" s="302"/>
      <c r="PXC7" s="302"/>
      <c r="PXD7" s="302"/>
      <c r="PXE7" s="302"/>
      <c r="PXF7" s="302"/>
      <c r="PXG7" s="302"/>
      <c r="PXH7" s="302"/>
      <c r="PXI7" s="302"/>
      <c r="PXJ7" s="302"/>
      <c r="PXK7" s="302"/>
      <c r="PXL7" s="302"/>
      <c r="PXM7" s="302"/>
      <c r="PXN7" s="302"/>
      <c r="PXO7" s="302"/>
      <c r="PXP7" s="302"/>
      <c r="PXQ7" s="302"/>
      <c r="PXR7" s="302"/>
      <c r="PXS7" s="302"/>
      <c r="PXT7" s="302"/>
      <c r="PXU7" s="302"/>
      <c r="PXV7" s="302"/>
      <c r="PXW7" s="302"/>
      <c r="PXX7" s="302"/>
      <c r="PXY7" s="302"/>
      <c r="PXZ7" s="302"/>
      <c r="PYA7" s="302"/>
      <c r="PYB7" s="302"/>
      <c r="PYC7" s="302"/>
      <c r="PYD7" s="302"/>
      <c r="PYE7" s="302"/>
      <c r="PYF7" s="302"/>
      <c r="PYG7" s="302"/>
      <c r="PYH7" s="302"/>
      <c r="PYI7" s="302"/>
      <c r="PYJ7" s="302"/>
      <c r="PYK7" s="302"/>
      <c r="PYL7" s="302"/>
      <c r="PYM7" s="302"/>
      <c r="PYN7" s="302"/>
      <c r="PYO7" s="302"/>
      <c r="PYP7" s="302"/>
      <c r="PYQ7" s="302"/>
      <c r="PYR7" s="302"/>
      <c r="PYS7" s="302"/>
      <c r="PYT7" s="302"/>
      <c r="PYU7" s="302"/>
      <c r="PYV7" s="302"/>
      <c r="PYW7" s="302"/>
      <c r="PYX7" s="302"/>
      <c r="PYY7" s="302"/>
      <c r="PYZ7" s="302"/>
      <c r="PZA7" s="302"/>
      <c r="PZB7" s="302"/>
      <c r="PZC7" s="302"/>
      <c r="PZD7" s="302"/>
      <c r="PZE7" s="302"/>
      <c r="PZF7" s="302"/>
      <c r="PZG7" s="302"/>
      <c r="PZH7" s="302"/>
      <c r="PZI7" s="302"/>
      <c r="PZJ7" s="302"/>
      <c r="PZK7" s="302"/>
      <c r="PZL7" s="302"/>
      <c r="PZM7" s="302"/>
      <c r="PZN7" s="302"/>
      <c r="PZO7" s="302"/>
      <c r="PZP7" s="302"/>
      <c r="PZQ7" s="302"/>
      <c r="PZR7" s="302"/>
      <c r="PZS7" s="302"/>
      <c r="PZT7" s="302"/>
      <c r="PZU7" s="302"/>
      <c r="PZV7" s="302"/>
      <c r="PZW7" s="302"/>
      <c r="PZX7" s="302"/>
      <c r="PZY7" s="302"/>
      <c r="PZZ7" s="302"/>
      <c r="QAA7" s="302"/>
      <c r="QAB7" s="302"/>
      <c r="QAC7" s="302"/>
      <c r="QAD7" s="302"/>
      <c r="QAE7" s="302"/>
      <c r="QAF7" s="302"/>
      <c r="QAG7" s="302"/>
      <c r="QAH7" s="302"/>
      <c r="QAI7" s="302"/>
      <c r="QAJ7" s="302"/>
      <c r="QAK7" s="302"/>
      <c r="QAL7" s="302"/>
      <c r="QAM7" s="302"/>
      <c r="QAN7" s="302"/>
      <c r="QAO7" s="302"/>
      <c r="QAP7" s="302"/>
      <c r="QAQ7" s="302"/>
      <c r="QAR7" s="302"/>
      <c r="QAS7" s="302"/>
      <c r="QAT7" s="302"/>
      <c r="QAU7" s="302"/>
      <c r="QAV7" s="302"/>
      <c r="QAW7" s="302"/>
      <c r="QAX7" s="302"/>
      <c r="QAY7" s="302"/>
      <c r="QAZ7" s="302"/>
      <c r="QBA7" s="302"/>
      <c r="QBB7" s="302"/>
      <c r="QBC7" s="302"/>
      <c r="QBD7" s="302"/>
      <c r="QBE7" s="302"/>
      <c r="QBF7" s="302"/>
      <c r="QBG7" s="302"/>
      <c r="QBH7" s="302"/>
      <c r="QBI7" s="302"/>
      <c r="QBJ7" s="302"/>
      <c r="QBK7" s="302"/>
      <c r="QBL7" s="302"/>
      <c r="QBM7" s="302"/>
      <c r="QBN7" s="302"/>
      <c r="QBO7" s="302"/>
      <c r="QBP7" s="302"/>
      <c r="QBQ7" s="302"/>
      <c r="QBR7" s="302"/>
      <c r="QBS7" s="302"/>
      <c r="QBT7" s="302"/>
      <c r="QBU7" s="302"/>
      <c r="QBV7" s="302"/>
      <c r="QBW7" s="302"/>
      <c r="QBX7" s="302"/>
      <c r="QBY7" s="302"/>
      <c r="QBZ7" s="302"/>
      <c r="QCA7" s="302"/>
      <c r="QCB7" s="302"/>
      <c r="QCC7" s="302"/>
      <c r="QCD7" s="302"/>
      <c r="QCE7" s="302"/>
      <c r="QCF7" s="302"/>
      <c r="QCG7" s="302"/>
      <c r="QCH7" s="302"/>
      <c r="QCI7" s="302"/>
      <c r="QCJ7" s="302"/>
      <c r="QCK7" s="302"/>
      <c r="QCL7" s="302"/>
      <c r="QCM7" s="302"/>
      <c r="QCN7" s="302"/>
      <c r="QCO7" s="302"/>
      <c r="QCP7" s="302"/>
      <c r="QCQ7" s="302"/>
      <c r="QCR7" s="302"/>
      <c r="QCS7" s="302"/>
      <c r="QCT7" s="302"/>
      <c r="QCU7" s="302"/>
      <c r="QCV7" s="302"/>
      <c r="QCW7" s="302"/>
      <c r="QCX7" s="302"/>
      <c r="QCY7" s="302"/>
      <c r="QCZ7" s="302"/>
      <c r="QDA7" s="302"/>
      <c r="QDB7" s="302"/>
      <c r="QDC7" s="302"/>
      <c r="QDD7" s="302"/>
      <c r="QDE7" s="302"/>
      <c r="QDF7" s="302"/>
      <c r="QDG7" s="302"/>
      <c r="QDH7" s="302"/>
      <c r="QDI7" s="302"/>
      <c r="QDJ7" s="302"/>
      <c r="QDK7" s="302"/>
      <c r="QDL7" s="302"/>
      <c r="QDM7" s="302"/>
      <c r="QDN7" s="302"/>
      <c r="QDO7" s="302"/>
      <c r="QDP7" s="302"/>
      <c r="QDQ7" s="302"/>
      <c r="QDR7" s="302"/>
      <c r="QDS7" s="302"/>
      <c r="QDT7" s="302"/>
      <c r="QDU7" s="302"/>
      <c r="QDV7" s="302"/>
      <c r="QDW7" s="302"/>
      <c r="QDX7" s="302"/>
      <c r="QDY7" s="302"/>
      <c r="QDZ7" s="302"/>
      <c r="QEA7" s="302"/>
      <c r="QEB7" s="302"/>
      <c r="QEC7" s="302"/>
      <c r="QED7" s="302"/>
      <c r="QEE7" s="302"/>
      <c r="QEF7" s="302"/>
      <c r="QEG7" s="302"/>
      <c r="QEH7" s="302"/>
      <c r="QEI7" s="302"/>
      <c r="QEJ7" s="302"/>
      <c r="QEK7" s="302"/>
      <c r="QEL7" s="302"/>
      <c r="QEM7" s="302"/>
      <c r="QEN7" s="302"/>
      <c r="QEO7" s="302"/>
      <c r="QEP7" s="302"/>
      <c r="QEQ7" s="302"/>
      <c r="QER7" s="302"/>
      <c r="QES7" s="302"/>
      <c r="QET7" s="302"/>
      <c r="QEU7" s="302"/>
      <c r="QEV7" s="302"/>
      <c r="QEW7" s="302"/>
      <c r="QEX7" s="302"/>
      <c r="QEY7" s="302"/>
      <c r="QEZ7" s="302"/>
      <c r="QFA7" s="302"/>
      <c r="QFB7" s="302"/>
      <c r="QFC7" s="302"/>
      <c r="QFD7" s="302"/>
      <c r="QFE7" s="302"/>
      <c r="QFF7" s="302"/>
      <c r="QFG7" s="302"/>
      <c r="QFH7" s="302"/>
      <c r="QFI7" s="302"/>
      <c r="QFJ7" s="302"/>
      <c r="QFK7" s="302"/>
      <c r="QFL7" s="302"/>
      <c r="QFM7" s="302"/>
      <c r="QFN7" s="302"/>
      <c r="QFO7" s="302"/>
      <c r="QFP7" s="302"/>
      <c r="QFQ7" s="302"/>
      <c r="QFR7" s="302"/>
      <c r="QFS7" s="302"/>
      <c r="QFT7" s="302"/>
      <c r="QFU7" s="302"/>
      <c r="QFV7" s="302"/>
      <c r="QFW7" s="302"/>
      <c r="QFX7" s="302"/>
      <c r="QFY7" s="302"/>
      <c r="QFZ7" s="302"/>
      <c r="QGA7" s="302"/>
      <c r="QGB7" s="302"/>
      <c r="QGC7" s="302"/>
      <c r="QGD7" s="302"/>
      <c r="QGE7" s="302"/>
      <c r="QGF7" s="302"/>
      <c r="QGG7" s="302"/>
      <c r="QGH7" s="302"/>
      <c r="QGI7" s="302"/>
      <c r="QGJ7" s="302"/>
      <c r="QGK7" s="302"/>
      <c r="QGL7" s="302"/>
      <c r="QGM7" s="302"/>
      <c r="QGN7" s="302"/>
      <c r="QGO7" s="302"/>
      <c r="QGP7" s="302"/>
      <c r="QGQ7" s="302"/>
      <c r="QGR7" s="302"/>
      <c r="QGS7" s="302"/>
      <c r="QGT7" s="302"/>
      <c r="QGU7" s="302"/>
      <c r="QGV7" s="302"/>
      <c r="QGW7" s="302"/>
      <c r="QGX7" s="302"/>
      <c r="QGY7" s="302"/>
      <c r="QGZ7" s="302"/>
      <c r="QHA7" s="302"/>
      <c r="QHB7" s="302"/>
      <c r="QHC7" s="302"/>
      <c r="QHD7" s="302"/>
      <c r="QHE7" s="302"/>
      <c r="QHF7" s="302"/>
      <c r="QHG7" s="302"/>
      <c r="QHH7" s="302"/>
      <c r="QHI7" s="302"/>
      <c r="QHJ7" s="302"/>
      <c r="QHK7" s="302"/>
      <c r="QHL7" s="302"/>
      <c r="QHM7" s="302"/>
      <c r="QHN7" s="302"/>
      <c r="QHO7" s="302"/>
      <c r="QHP7" s="302"/>
      <c r="QHQ7" s="302"/>
      <c r="QHR7" s="302"/>
      <c r="QHS7" s="302"/>
      <c r="QHT7" s="302"/>
      <c r="QHU7" s="302"/>
      <c r="QHV7" s="302"/>
      <c r="QHW7" s="302"/>
      <c r="QHX7" s="302"/>
      <c r="QHY7" s="302"/>
      <c r="QHZ7" s="302"/>
      <c r="QIA7" s="302"/>
      <c r="QIB7" s="302"/>
      <c r="QIC7" s="302"/>
      <c r="QID7" s="302"/>
      <c r="QIE7" s="302"/>
      <c r="QIF7" s="302"/>
      <c r="QIG7" s="302"/>
      <c r="QIH7" s="302"/>
      <c r="QII7" s="302"/>
      <c r="QIJ7" s="302"/>
      <c r="QIK7" s="302"/>
      <c r="QIL7" s="302"/>
      <c r="QIM7" s="302"/>
      <c r="QIN7" s="302"/>
      <c r="QIO7" s="302"/>
      <c r="QIP7" s="302"/>
      <c r="QIQ7" s="302"/>
      <c r="QIR7" s="302"/>
      <c r="QIS7" s="302"/>
      <c r="QIT7" s="302"/>
      <c r="QIU7" s="302"/>
      <c r="QIV7" s="302"/>
      <c r="QIW7" s="302"/>
      <c r="QIX7" s="302"/>
      <c r="QIY7" s="302"/>
      <c r="QIZ7" s="302"/>
      <c r="QJA7" s="302"/>
      <c r="QJB7" s="302"/>
      <c r="QJC7" s="302"/>
      <c r="QJD7" s="302"/>
      <c r="QJE7" s="302"/>
      <c r="QJF7" s="302"/>
      <c r="QJG7" s="302"/>
      <c r="QJH7" s="302"/>
      <c r="QJI7" s="302"/>
      <c r="QJJ7" s="302"/>
      <c r="QJK7" s="302"/>
      <c r="QJL7" s="302"/>
      <c r="QJM7" s="302"/>
      <c r="QJN7" s="302"/>
      <c r="QJO7" s="302"/>
      <c r="QJP7" s="302"/>
      <c r="QJQ7" s="302"/>
      <c r="QJR7" s="302"/>
      <c r="QJS7" s="302"/>
      <c r="QJT7" s="302"/>
      <c r="QJU7" s="302"/>
      <c r="QJV7" s="302"/>
      <c r="QJW7" s="302"/>
      <c r="QJX7" s="302"/>
      <c r="QJY7" s="302"/>
      <c r="QJZ7" s="302"/>
      <c r="QKA7" s="302"/>
      <c r="QKB7" s="302"/>
      <c r="QKC7" s="302"/>
      <c r="QKD7" s="302"/>
      <c r="QKE7" s="302"/>
      <c r="QKF7" s="302"/>
      <c r="QKG7" s="302"/>
      <c r="QKH7" s="302"/>
      <c r="QKI7" s="302"/>
      <c r="QKJ7" s="302"/>
      <c r="QKK7" s="302"/>
      <c r="QKL7" s="302"/>
      <c r="QKM7" s="302"/>
      <c r="QKN7" s="302"/>
      <c r="QKO7" s="302"/>
      <c r="QKP7" s="302"/>
      <c r="QKQ7" s="302"/>
      <c r="QKR7" s="302"/>
      <c r="QKS7" s="302"/>
      <c r="QKT7" s="302"/>
      <c r="QKU7" s="302"/>
      <c r="QKV7" s="302"/>
      <c r="QKW7" s="302"/>
      <c r="QKX7" s="302"/>
      <c r="QKY7" s="302"/>
      <c r="QKZ7" s="302"/>
      <c r="QLA7" s="302"/>
      <c r="QLB7" s="302"/>
      <c r="QLC7" s="302"/>
      <c r="QLD7" s="302"/>
      <c r="QLE7" s="302"/>
      <c r="QLF7" s="302"/>
      <c r="QLG7" s="302"/>
      <c r="QLH7" s="302"/>
      <c r="QLI7" s="302"/>
      <c r="QLJ7" s="302"/>
      <c r="QLK7" s="302"/>
      <c r="QLL7" s="302"/>
      <c r="QLM7" s="302"/>
      <c r="QLN7" s="302"/>
      <c r="QLO7" s="302"/>
      <c r="QLP7" s="302"/>
      <c r="QLQ7" s="302"/>
      <c r="QLR7" s="302"/>
      <c r="QLS7" s="302"/>
      <c r="QLT7" s="302"/>
      <c r="QLU7" s="302"/>
      <c r="QLV7" s="302"/>
      <c r="QLW7" s="302"/>
      <c r="QLX7" s="302"/>
      <c r="QLY7" s="302"/>
      <c r="QLZ7" s="302"/>
      <c r="QMA7" s="302"/>
      <c r="QMB7" s="302"/>
      <c r="QMC7" s="302"/>
      <c r="QMD7" s="302"/>
      <c r="QME7" s="302"/>
      <c r="QMF7" s="302"/>
      <c r="QMG7" s="302"/>
      <c r="QMH7" s="302"/>
      <c r="QMI7" s="302"/>
      <c r="QMJ7" s="302"/>
      <c r="QMK7" s="302"/>
      <c r="QML7" s="302"/>
      <c r="QMM7" s="302"/>
      <c r="QMN7" s="302"/>
      <c r="QMO7" s="302"/>
      <c r="QMP7" s="302"/>
      <c r="QMQ7" s="302"/>
      <c r="QMR7" s="302"/>
      <c r="QMS7" s="302"/>
      <c r="QMT7" s="302"/>
      <c r="QMU7" s="302"/>
      <c r="QMV7" s="302"/>
      <c r="QMW7" s="302"/>
      <c r="QMX7" s="302"/>
      <c r="QMY7" s="302"/>
      <c r="QMZ7" s="302"/>
      <c r="QNA7" s="302"/>
      <c r="QNB7" s="302"/>
      <c r="QNC7" s="302"/>
      <c r="QND7" s="302"/>
      <c r="QNE7" s="302"/>
      <c r="QNF7" s="302"/>
      <c r="QNG7" s="302"/>
      <c r="QNH7" s="302"/>
      <c r="QNI7" s="302"/>
      <c r="QNJ7" s="302"/>
      <c r="QNK7" s="302"/>
      <c r="QNL7" s="302"/>
      <c r="QNM7" s="302"/>
      <c r="QNN7" s="302"/>
      <c r="QNO7" s="302"/>
      <c r="QNP7" s="302"/>
      <c r="QNQ7" s="302"/>
      <c r="QNR7" s="302"/>
      <c r="QNS7" s="302"/>
      <c r="QNT7" s="302"/>
      <c r="QNU7" s="302"/>
      <c r="QNV7" s="302"/>
      <c r="QNW7" s="302"/>
      <c r="QNX7" s="302"/>
      <c r="QNY7" s="302"/>
      <c r="QNZ7" s="302"/>
      <c r="QOA7" s="302"/>
      <c r="QOB7" s="302"/>
      <c r="QOC7" s="302"/>
      <c r="QOD7" s="302"/>
      <c r="QOE7" s="302"/>
      <c r="QOF7" s="302"/>
      <c r="QOG7" s="302"/>
      <c r="QOH7" s="302"/>
      <c r="QOI7" s="302"/>
      <c r="QOJ7" s="302"/>
      <c r="QOK7" s="302"/>
      <c r="QOL7" s="302"/>
      <c r="QOM7" s="302"/>
      <c r="QON7" s="302"/>
      <c r="QOO7" s="302"/>
      <c r="QOP7" s="302"/>
      <c r="QOQ7" s="302"/>
      <c r="QOR7" s="302"/>
      <c r="QOS7" s="302"/>
      <c r="QOT7" s="302"/>
      <c r="QOU7" s="302"/>
      <c r="QOV7" s="302"/>
      <c r="QOW7" s="302"/>
      <c r="QOX7" s="302"/>
      <c r="QOY7" s="302"/>
      <c r="QOZ7" s="302"/>
      <c r="QPA7" s="302"/>
      <c r="QPB7" s="302"/>
      <c r="QPC7" s="302"/>
      <c r="QPD7" s="302"/>
      <c r="QPE7" s="302"/>
      <c r="QPF7" s="302"/>
      <c r="QPG7" s="302"/>
      <c r="QPH7" s="302"/>
      <c r="QPI7" s="302"/>
      <c r="QPJ7" s="302"/>
      <c r="QPK7" s="302"/>
      <c r="QPL7" s="302"/>
      <c r="QPM7" s="302"/>
      <c r="QPN7" s="302"/>
      <c r="QPO7" s="302"/>
      <c r="QPP7" s="302"/>
      <c r="QPQ7" s="302"/>
      <c r="QPR7" s="302"/>
      <c r="QPS7" s="302"/>
      <c r="QPT7" s="302"/>
      <c r="QPU7" s="302"/>
      <c r="QPV7" s="302"/>
      <c r="QPW7" s="302"/>
      <c r="QPX7" s="302"/>
      <c r="QPY7" s="302"/>
      <c r="QPZ7" s="302"/>
      <c r="QQA7" s="302"/>
      <c r="QQB7" s="302"/>
      <c r="QQC7" s="302"/>
      <c r="QQD7" s="302"/>
      <c r="QQE7" s="302"/>
      <c r="QQF7" s="302"/>
      <c r="QQG7" s="302"/>
      <c r="QQH7" s="302"/>
      <c r="QQI7" s="302"/>
      <c r="QQJ7" s="302"/>
      <c r="QQK7" s="302"/>
      <c r="QQL7" s="302"/>
      <c r="QQM7" s="302"/>
      <c r="QQN7" s="302"/>
      <c r="QQO7" s="302"/>
      <c r="QQP7" s="302"/>
      <c r="QQQ7" s="302"/>
      <c r="QQR7" s="302"/>
      <c r="QQS7" s="302"/>
      <c r="QQT7" s="302"/>
      <c r="QQU7" s="302"/>
      <c r="QQV7" s="302"/>
      <c r="QQW7" s="302"/>
      <c r="QQX7" s="302"/>
      <c r="QQY7" s="302"/>
      <c r="QQZ7" s="302"/>
      <c r="QRA7" s="302"/>
      <c r="QRB7" s="302"/>
      <c r="QRC7" s="302"/>
      <c r="QRD7" s="302"/>
      <c r="QRE7" s="302"/>
      <c r="QRF7" s="302"/>
      <c r="QRG7" s="302"/>
      <c r="QRH7" s="302"/>
      <c r="QRI7" s="302"/>
      <c r="QRJ7" s="302"/>
      <c r="QRK7" s="302"/>
      <c r="QRL7" s="302"/>
      <c r="QRM7" s="302"/>
      <c r="QRN7" s="302"/>
      <c r="QRO7" s="302"/>
      <c r="QRP7" s="302"/>
      <c r="QRQ7" s="302"/>
      <c r="QRR7" s="302"/>
      <c r="QRS7" s="302"/>
      <c r="QRT7" s="302"/>
      <c r="QRU7" s="302"/>
      <c r="QRV7" s="302"/>
      <c r="QRW7" s="302"/>
      <c r="QRX7" s="302"/>
      <c r="QRY7" s="302"/>
      <c r="QRZ7" s="302"/>
      <c r="QSA7" s="302"/>
      <c r="QSB7" s="302"/>
      <c r="QSC7" s="302"/>
      <c r="QSD7" s="302"/>
      <c r="QSE7" s="302"/>
      <c r="QSF7" s="302"/>
      <c r="QSG7" s="302"/>
      <c r="QSH7" s="302"/>
      <c r="QSI7" s="302"/>
      <c r="QSJ7" s="302"/>
      <c r="QSK7" s="302"/>
      <c r="QSL7" s="302"/>
      <c r="QSM7" s="302"/>
      <c r="QSN7" s="302"/>
      <c r="QSO7" s="302"/>
      <c r="QSP7" s="302"/>
      <c r="QSQ7" s="302"/>
      <c r="QSR7" s="302"/>
      <c r="QSS7" s="302"/>
      <c r="QST7" s="302"/>
      <c r="QSU7" s="302"/>
      <c r="QSV7" s="302"/>
      <c r="QSW7" s="302"/>
      <c r="QSX7" s="302"/>
      <c r="QSY7" s="302"/>
      <c r="QSZ7" s="302"/>
      <c r="QTA7" s="302"/>
      <c r="QTB7" s="302"/>
      <c r="QTC7" s="302"/>
      <c r="QTD7" s="302"/>
      <c r="QTE7" s="302"/>
      <c r="QTF7" s="302"/>
      <c r="QTG7" s="302"/>
      <c r="QTH7" s="302"/>
      <c r="QTI7" s="302"/>
      <c r="QTJ7" s="302"/>
      <c r="QTK7" s="302"/>
      <c r="QTL7" s="302"/>
      <c r="QTM7" s="302"/>
      <c r="QTN7" s="302"/>
      <c r="QTO7" s="302"/>
      <c r="QTP7" s="302"/>
      <c r="QTQ7" s="302"/>
      <c r="QTR7" s="302"/>
      <c r="QTS7" s="302"/>
      <c r="QTT7" s="302"/>
      <c r="QTU7" s="302"/>
      <c r="QTV7" s="302"/>
      <c r="QTW7" s="302"/>
      <c r="QTX7" s="302"/>
      <c r="QTY7" s="302"/>
      <c r="QTZ7" s="302"/>
      <c r="QUA7" s="302"/>
      <c r="QUB7" s="302"/>
      <c r="QUC7" s="302"/>
      <c r="QUD7" s="302"/>
      <c r="QUE7" s="302"/>
      <c r="QUF7" s="302"/>
      <c r="QUG7" s="302"/>
      <c r="QUH7" s="302"/>
      <c r="QUI7" s="302"/>
      <c r="QUJ7" s="302"/>
      <c r="QUK7" s="302"/>
      <c r="QUL7" s="302"/>
      <c r="QUM7" s="302"/>
      <c r="QUN7" s="302"/>
      <c r="QUO7" s="302"/>
      <c r="QUP7" s="302"/>
      <c r="QUQ7" s="302"/>
      <c r="QUR7" s="302"/>
      <c r="QUS7" s="302"/>
      <c r="QUT7" s="302"/>
      <c r="QUU7" s="302"/>
      <c r="QUV7" s="302"/>
      <c r="QUW7" s="302"/>
      <c r="QUX7" s="302"/>
      <c r="QUY7" s="302"/>
      <c r="QUZ7" s="302"/>
      <c r="QVA7" s="302"/>
      <c r="QVB7" s="302"/>
      <c r="QVC7" s="302"/>
      <c r="QVD7" s="302"/>
      <c r="QVE7" s="302"/>
      <c r="QVF7" s="302"/>
      <c r="QVG7" s="302"/>
      <c r="QVH7" s="302"/>
      <c r="QVI7" s="302"/>
      <c r="QVJ7" s="302"/>
      <c r="QVK7" s="302"/>
      <c r="QVL7" s="302"/>
      <c r="QVM7" s="302"/>
      <c r="QVN7" s="302"/>
      <c r="QVO7" s="302"/>
      <c r="QVP7" s="302"/>
      <c r="QVQ7" s="302"/>
      <c r="QVR7" s="302"/>
      <c r="QVS7" s="302"/>
      <c r="QVT7" s="302"/>
      <c r="QVU7" s="302"/>
      <c r="QVV7" s="302"/>
      <c r="QVW7" s="302"/>
      <c r="QVX7" s="302"/>
      <c r="QVY7" s="302"/>
      <c r="QVZ7" s="302"/>
      <c r="QWA7" s="302"/>
      <c r="QWB7" s="302"/>
      <c r="QWC7" s="302"/>
      <c r="QWD7" s="302"/>
      <c r="QWE7" s="302"/>
      <c r="QWF7" s="302"/>
      <c r="QWG7" s="302"/>
      <c r="QWH7" s="302"/>
      <c r="QWI7" s="302"/>
      <c r="QWJ7" s="302"/>
      <c r="QWK7" s="302"/>
      <c r="QWL7" s="302"/>
      <c r="QWM7" s="302"/>
      <c r="QWN7" s="302"/>
      <c r="QWO7" s="302"/>
      <c r="QWP7" s="302"/>
      <c r="QWQ7" s="302"/>
      <c r="QWR7" s="302"/>
      <c r="QWS7" s="302"/>
      <c r="QWT7" s="302"/>
      <c r="QWU7" s="302"/>
      <c r="QWV7" s="302"/>
      <c r="QWW7" s="302"/>
      <c r="QWX7" s="302"/>
      <c r="QWY7" s="302"/>
      <c r="QWZ7" s="302"/>
      <c r="QXA7" s="302"/>
      <c r="QXB7" s="302"/>
      <c r="QXC7" s="302"/>
      <c r="QXD7" s="302"/>
      <c r="QXE7" s="302"/>
      <c r="QXF7" s="302"/>
      <c r="QXG7" s="302"/>
      <c r="QXH7" s="302"/>
      <c r="QXI7" s="302"/>
      <c r="QXJ7" s="302"/>
      <c r="QXK7" s="302"/>
      <c r="QXL7" s="302"/>
      <c r="QXM7" s="302"/>
      <c r="QXN7" s="302"/>
      <c r="QXO7" s="302"/>
      <c r="QXP7" s="302"/>
      <c r="QXQ7" s="302"/>
      <c r="QXR7" s="302"/>
      <c r="QXS7" s="302"/>
      <c r="QXT7" s="302"/>
      <c r="QXU7" s="302"/>
      <c r="QXV7" s="302"/>
      <c r="QXW7" s="302"/>
      <c r="QXX7" s="302"/>
      <c r="QXY7" s="302"/>
      <c r="QXZ7" s="302"/>
      <c r="QYA7" s="302"/>
      <c r="QYB7" s="302"/>
      <c r="QYC7" s="302"/>
      <c r="QYD7" s="302"/>
      <c r="QYE7" s="302"/>
      <c r="QYF7" s="302"/>
      <c r="QYG7" s="302"/>
      <c r="QYH7" s="302"/>
      <c r="QYI7" s="302"/>
      <c r="QYJ7" s="302"/>
      <c r="QYK7" s="302"/>
      <c r="QYL7" s="302"/>
      <c r="QYM7" s="302"/>
      <c r="QYN7" s="302"/>
      <c r="QYO7" s="302"/>
      <c r="QYP7" s="302"/>
      <c r="QYQ7" s="302"/>
      <c r="QYR7" s="302"/>
      <c r="QYS7" s="302"/>
      <c r="QYT7" s="302"/>
      <c r="QYU7" s="302"/>
      <c r="QYV7" s="302"/>
      <c r="QYW7" s="302"/>
      <c r="QYX7" s="302"/>
      <c r="QYY7" s="302"/>
      <c r="QYZ7" s="302"/>
      <c r="QZA7" s="302"/>
      <c r="QZB7" s="302"/>
      <c r="QZC7" s="302"/>
      <c r="QZD7" s="302"/>
      <c r="QZE7" s="302"/>
      <c r="QZF7" s="302"/>
      <c r="QZG7" s="302"/>
      <c r="QZH7" s="302"/>
      <c r="QZI7" s="302"/>
      <c r="QZJ7" s="302"/>
      <c r="QZK7" s="302"/>
      <c r="QZL7" s="302"/>
      <c r="QZM7" s="302"/>
      <c r="QZN7" s="302"/>
      <c r="QZO7" s="302"/>
      <c r="QZP7" s="302"/>
      <c r="QZQ7" s="302"/>
      <c r="QZR7" s="302"/>
      <c r="QZS7" s="302"/>
      <c r="QZT7" s="302"/>
      <c r="QZU7" s="302"/>
      <c r="QZV7" s="302"/>
      <c r="QZW7" s="302"/>
      <c r="QZX7" s="302"/>
      <c r="QZY7" s="302"/>
      <c r="QZZ7" s="302"/>
      <c r="RAA7" s="302"/>
      <c r="RAB7" s="302"/>
      <c r="RAC7" s="302"/>
      <c r="RAD7" s="302"/>
      <c r="RAE7" s="302"/>
      <c r="RAF7" s="302"/>
      <c r="RAG7" s="302"/>
      <c r="RAH7" s="302"/>
      <c r="RAI7" s="302"/>
      <c r="RAJ7" s="302"/>
      <c r="RAK7" s="302"/>
      <c r="RAL7" s="302"/>
      <c r="RAM7" s="302"/>
      <c r="RAN7" s="302"/>
      <c r="RAO7" s="302"/>
      <c r="RAP7" s="302"/>
      <c r="RAQ7" s="302"/>
      <c r="RAR7" s="302"/>
      <c r="RAS7" s="302"/>
      <c r="RAT7" s="302"/>
      <c r="RAU7" s="302"/>
      <c r="RAV7" s="302"/>
      <c r="RAW7" s="302"/>
      <c r="RAX7" s="302"/>
      <c r="RAY7" s="302"/>
      <c r="RAZ7" s="302"/>
      <c r="RBA7" s="302"/>
      <c r="RBB7" s="302"/>
      <c r="RBC7" s="302"/>
      <c r="RBD7" s="302"/>
      <c r="RBE7" s="302"/>
      <c r="RBF7" s="302"/>
      <c r="RBG7" s="302"/>
      <c r="RBH7" s="302"/>
      <c r="RBI7" s="302"/>
      <c r="RBJ7" s="302"/>
      <c r="RBK7" s="302"/>
      <c r="RBL7" s="302"/>
      <c r="RBM7" s="302"/>
      <c r="RBN7" s="302"/>
      <c r="RBO7" s="302"/>
      <c r="RBP7" s="302"/>
      <c r="RBQ7" s="302"/>
      <c r="RBR7" s="302"/>
      <c r="RBS7" s="302"/>
      <c r="RBT7" s="302"/>
      <c r="RBU7" s="302"/>
      <c r="RBV7" s="302"/>
      <c r="RBW7" s="302"/>
      <c r="RBX7" s="302"/>
      <c r="RBY7" s="302"/>
      <c r="RBZ7" s="302"/>
      <c r="RCA7" s="302"/>
      <c r="RCB7" s="302"/>
      <c r="RCC7" s="302"/>
      <c r="RCD7" s="302"/>
      <c r="RCE7" s="302"/>
      <c r="RCF7" s="302"/>
      <c r="RCG7" s="302"/>
      <c r="RCH7" s="302"/>
      <c r="RCI7" s="302"/>
      <c r="RCJ7" s="302"/>
      <c r="RCK7" s="302"/>
      <c r="RCL7" s="302"/>
      <c r="RCM7" s="302"/>
      <c r="RCN7" s="302"/>
      <c r="RCO7" s="302"/>
      <c r="RCP7" s="302"/>
      <c r="RCQ7" s="302"/>
      <c r="RCR7" s="302"/>
      <c r="RCS7" s="302"/>
      <c r="RCT7" s="302"/>
      <c r="RCU7" s="302"/>
      <c r="RCV7" s="302"/>
      <c r="RCW7" s="302"/>
      <c r="RCX7" s="302"/>
      <c r="RCY7" s="302"/>
      <c r="RCZ7" s="302"/>
      <c r="RDA7" s="302"/>
      <c r="RDB7" s="302"/>
      <c r="RDC7" s="302"/>
      <c r="RDD7" s="302"/>
      <c r="RDE7" s="302"/>
      <c r="RDF7" s="302"/>
      <c r="RDG7" s="302"/>
      <c r="RDH7" s="302"/>
      <c r="RDI7" s="302"/>
      <c r="RDJ7" s="302"/>
      <c r="RDK7" s="302"/>
      <c r="RDL7" s="302"/>
      <c r="RDM7" s="302"/>
      <c r="RDN7" s="302"/>
      <c r="RDO7" s="302"/>
      <c r="RDP7" s="302"/>
      <c r="RDQ7" s="302"/>
      <c r="RDR7" s="302"/>
      <c r="RDS7" s="302"/>
      <c r="RDT7" s="302"/>
      <c r="RDU7" s="302"/>
      <c r="RDV7" s="302"/>
      <c r="RDW7" s="302"/>
      <c r="RDX7" s="302"/>
      <c r="RDY7" s="302"/>
      <c r="RDZ7" s="302"/>
      <c r="REA7" s="302"/>
      <c r="REB7" s="302"/>
      <c r="REC7" s="302"/>
      <c r="RED7" s="302"/>
      <c r="REE7" s="302"/>
      <c r="REF7" s="302"/>
      <c r="REG7" s="302"/>
      <c r="REH7" s="302"/>
      <c r="REI7" s="302"/>
      <c r="REJ7" s="302"/>
      <c r="REK7" s="302"/>
      <c r="REL7" s="302"/>
      <c r="REM7" s="302"/>
      <c r="REN7" s="302"/>
      <c r="REO7" s="302"/>
      <c r="REP7" s="302"/>
      <c r="REQ7" s="302"/>
      <c r="RER7" s="302"/>
      <c r="RES7" s="302"/>
      <c r="RET7" s="302"/>
      <c r="REU7" s="302"/>
      <c r="REV7" s="302"/>
      <c r="REW7" s="302"/>
      <c r="REX7" s="302"/>
      <c r="REY7" s="302"/>
      <c r="REZ7" s="302"/>
      <c r="RFA7" s="302"/>
      <c r="RFB7" s="302"/>
      <c r="RFC7" s="302"/>
      <c r="RFD7" s="302"/>
      <c r="RFE7" s="302"/>
      <c r="RFF7" s="302"/>
      <c r="RFG7" s="302"/>
      <c r="RFH7" s="302"/>
      <c r="RFI7" s="302"/>
      <c r="RFJ7" s="302"/>
      <c r="RFK7" s="302"/>
      <c r="RFL7" s="302"/>
      <c r="RFM7" s="302"/>
      <c r="RFN7" s="302"/>
      <c r="RFO7" s="302"/>
      <c r="RFP7" s="302"/>
      <c r="RFQ7" s="302"/>
      <c r="RFR7" s="302"/>
      <c r="RFS7" s="302"/>
      <c r="RFT7" s="302"/>
      <c r="RFU7" s="302"/>
      <c r="RFV7" s="302"/>
      <c r="RFW7" s="302"/>
      <c r="RFX7" s="302"/>
      <c r="RFY7" s="302"/>
      <c r="RFZ7" s="302"/>
      <c r="RGA7" s="302"/>
      <c r="RGB7" s="302"/>
      <c r="RGC7" s="302"/>
      <c r="RGD7" s="302"/>
      <c r="RGE7" s="302"/>
      <c r="RGF7" s="302"/>
      <c r="RGG7" s="302"/>
      <c r="RGH7" s="302"/>
      <c r="RGI7" s="302"/>
      <c r="RGJ7" s="302"/>
      <c r="RGK7" s="302"/>
      <c r="RGL7" s="302"/>
      <c r="RGM7" s="302"/>
      <c r="RGN7" s="302"/>
      <c r="RGO7" s="302"/>
      <c r="RGP7" s="302"/>
      <c r="RGQ7" s="302"/>
      <c r="RGR7" s="302"/>
      <c r="RGS7" s="302"/>
      <c r="RGT7" s="302"/>
      <c r="RGU7" s="302"/>
      <c r="RGV7" s="302"/>
      <c r="RGW7" s="302"/>
      <c r="RGX7" s="302"/>
      <c r="RGY7" s="302"/>
      <c r="RGZ7" s="302"/>
      <c r="RHA7" s="302"/>
      <c r="RHB7" s="302"/>
      <c r="RHC7" s="302"/>
      <c r="RHD7" s="302"/>
      <c r="RHE7" s="302"/>
      <c r="RHF7" s="302"/>
      <c r="RHG7" s="302"/>
      <c r="RHH7" s="302"/>
      <c r="RHI7" s="302"/>
      <c r="RHJ7" s="302"/>
      <c r="RHK7" s="302"/>
      <c r="RHL7" s="302"/>
      <c r="RHM7" s="302"/>
      <c r="RHN7" s="302"/>
      <c r="RHO7" s="302"/>
      <c r="RHP7" s="302"/>
      <c r="RHQ7" s="302"/>
      <c r="RHR7" s="302"/>
      <c r="RHS7" s="302"/>
      <c r="RHT7" s="302"/>
      <c r="RHU7" s="302"/>
      <c r="RHV7" s="302"/>
      <c r="RHW7" s="302"/>
      <c r="RHX7" s="302"/>
      <c r="RHY7" s="302"/>
      <c r="RHZ7" s="302"/>
      <c r="RIA7" s="302"/>
      <c r="RIB7" s="302"/>
      <c r="RIC7" s="302"/>
      <c r="RID7" s="302"/>
      <c r="RIE7" s="302"/>
      <c r="RIF7" s="302"/>
      <c r="RIG7" s="302"/>
      <c r="RIH7" s="302"/>
      <c r="RII7" s="302"/>
      <c r="RIJ7" s="302"/>
      <c r="RIK7" s="302"/>
      <c r="RIL7" s="302"/>
      <c r="RIM7" s="302"/>
      <c r="RIN7" s="302"/>
      <c r="RIO7" s="302"/>
      <c r="RIP7" s="302"/>
      <c r="RIQ7" s="302"/>
      <c r="RIR7" s="302"/>
      <c r="RIS7" s="302"/>
      <c r="RIT7" s="302"/>
      <c r="RIU7" s="302"/>
      <c r="RIV7" s="302"/>
      <c r="RIW7" s="302"/>
      <c r="RIX7" s="302"/>
      <c r="RIY7" s="302"/>
      <c r="RIZ7" s="302"/>
      <c r="RJA7" s="302"/>
      <c r="RJB7" s="302"/>
      <c r="RJC7" s="302"/>
      <c r="RJD7" s="302"/>
      <c r="RJE7" s="302"/>
      <c r="RJF7" s="302"/>
      <c r="RJG7" s="302"/>
      <c r="RJH7" s="302"/>
      <c r="RJI7" s="302"/>
      <c r="RJJ7" s="302"/>
      <c r="RJK7" s="302"/>
      <c r="RJL7" s="302"/>
      <c r="RJM7" s="302"/>
      <c r="RJN7" s="302"/>
      <c r="RJO7" s="302"/>
      <c r="RJP7" s="302"/>
      <c r="RJQ7" s="302"/>
      <c r="RJR7" s="302"/>
      <c r="RJS7" s="302"/>
      <c r="RJT7" s="302"/>
      <c r="RJU7" s="302"/>
      <c r="RJV7" s="302"/>
      <c r="RJW7" s="302"/>
      <c r="RJX7" s="302"/>
      <c r="RJY7" s="302"/>
      <c r="RJZ7" s="302"/>
      <c r="RKA7" s="302"/>
      <c r="RKB7" s="302"/>
      <c r="RKC7" s="302"/>
      <c r="RKD7" s="302"/>
      <c r="RKE7" s="302"/>
      <c r="RKF7" s="302"/>
      <c r="RKG7" s="302"/>
      <c r="RKH7" s="302"/>
      <c r="RKI7" s="302"/>
      <c r="RKJ7" s="302"/>
      <c r="RKK7" s="302"/>
      <c r="RKL7" s="302"/>
      <c r="RKM7" s="302"/>
      <c r="RKN7" s="302"/>
      <c r="RKO7" s="302"/>
      <c r="RKP7" s="302"/>
      <c r="RKQ7" s="302"/>
      <c r="RKR7" s="302"/>
      <c r="RKS7" s="302"/>
      <c r="RKT7" s="302"/>
      <c r="RKU7" s="302"/>
      <c r="RKV7" s="302"/>
      <c r="RKW7" s="302"/>
      <c r="RKX7" s="302"/>
      <c r="RKY7" s="302"/>
      <c r="RKZ7" s="302"/>
      <c r="RLA7" s="302"/>
      <c r="RLB7" s="302"/>
      <c r="RLC7" s="302"/>
      <c r="RLD7" s="302"/>
      <c r="RLE7" s="302"/>
      <c r="RLF7" s="302"/>
      <c r="RLG7" s="302"/>
      <c r="RLH7" s="302"/>
      <c r="RLI7" s="302"/>
      <c r="RLJ7" s="302"/>
      <c r="RLK7" s="302"/>
      <c r="RLL7" s="302"/>
      <c r="RLM7" s="302"/>
      <c r="RLN7" s="302"/>
      <c r="RLO7" s="302"/>
      <c r="RLP7" s="302"/>
      <c r="RLQ7" s="302"/>
      <c r="RLR7" s="302"/>
      <c r="RLS7" s="302"/>
      <c r="RLT7" s="302"/>
      <c r="RLU7" s="302"/>
      <c r="RLV7" s="302"/>
      <c r="RLW7" s="302"/>
      <c r="RLX7" s="302"/>
      <c r="RLY7" s="302"/>
      <c r="RLZ7" s="302"/>
      <c r="RMA7" s="302"/>
      <c r="RMB7" s="302"/>
      <c r="RMC7" s="302"/>
      <c r="RMD7" s="302"/>
      <c r="RME7" s="302"/>
      <c r="RMF7" s="302"/>
      <c r="RMG7" s="302"/>
      <c r="RMH7" s="302"/>
      <c r="RMI7" s="302"/>
      <c r="RMJ7" s="302"/>
      <c r="RMK7" s="302"/>
      <c r="RML7" s="302"/>
      <c r="RMM7" s="302"/>
      <c r="RMN7" s="302"/>
      <c r="RMO7" s="302"/>
      <c r="RMP7" s="302"/>
      <c r="RMQ7" s="302"/>
      <c r="RMR7" s="302"/>
      <c r="RMS7" s="302"/>
      <c r="RMT7" s="302"/>
      <c r="RMU7" s="302"/>
      <c r="RMV7" s="302"/>
      <c r="RMW7" s="302"/>
      <c r="RMX7" s="302"/>
      <c r="RMY7" s="302"/>
      <c r="RMZ7" s="302"/>
      <c r="RNA7" s="302"/>
      <c r="RNB7" s="302"/>
      <c r="RNC7" s="302"/>
      <c r="RND7" s="302"/>
      <c r="RNE7" s="302"/>
      <c r="RNF7" s="302"/>
      <c r="RNG7" s="302"/>
      <c r="RNH7" s="302"/>
      <c r="RNI7" s="302"/>
      <c r="RNJ7" s="302"/>
      <c r="RNK7" s="302"/>
      <c r="RNL7" s="302"/>
      <c r="RNM7" s="302"/>
      <c r="RNN7" s="302"/>
      <c r="RNO7" s="302"/>
      <c r="RNP7" s="302"/>
      <c r="RNQ7" s="302"/>
      <c r="RNR7" s="302"/>
      <c r="RNS7" s="302"/>
      <c r="RNT7" s="302"/>
      <c r="RNU7" s="302"/>
      <c r="RNV7" s="302"/>
      <c r="RNW7" s="302"/>
      <c r="RNX7" s="302"/>
      <c r="RNY7" s="302"/>
      <c r="RNZ7" s="302"/>
      <c r="ROA7" s="302"/>
      <c r="ROB7" s="302"/>
      <c r="ROC7" s="302"/>
      <c r="ROD7" s="302"/>
      <c r="ROE7" s="302"/>
      <c r="ROF7" s="302"/>
      <c r="ROG7" s="302"/>
      <c r="ROH7" s="302"/>
      <c r="ROI7" s="302"/>
      <c r="ROJ7" s="302"/>
      <c r="ROK7" s="302"/>
      <c r="ROL7" s="302"/>
      <c r="ROM7" s="302"/>
      <c r="RON7" s="302"/>
      <c r="ROO7" s="302"/>
      <c r="ROP7" s="302"/>
      <c r="ROQ7" s="302"/>
      <c r="ROR7" s="302"/>
      <c r="ROS7" s="302"/>
      <c r="ROT7" s="302"/>
      <c r="ROU7" s="302"/>
      <c r="ROV7" s="302"/>
      <c r="ROW7" s="302"/>
      <c r="ROX7" s="302"/>
      <c r="ROY7" s="302"/>
      <c r="ROZ7" s="302"/>
      <c r="RPA7" s="302"/>
      <c r="RPB7" s="302"/>
      <c r="RPC7" s="302"/>
      <c r="RPD7" s="302"/>
      <c r="RPE7" s="302"/>
      <c r="RPF7" s="302"/>
      <c r="RPG7" s="302"/>
      <c r="RPH7" s="302"/>
      <c r="RPI7" s="302"/>
      <c r="RPJ7" s="302"/>
      <c r="RPK7" s="302"/>
      <c r="RPL7" s="302"/>
      <c r="RPM7" s="302"/>
      <c r="RPN7" s="302"/>
      <c r="RPO7" s="302"/>
      <c r="RPP7" s="302"/>
      <c r="RPQ7" s="302"/>
      <c r="RPR7" s="302"/>
      <c r="RPS7" s="302"/>
      <c r="RPT7" s="302"/>
      <c r="RPU7" s="302"/>
      <c r="RPV7" s="302"/>
      <c r="RPW7" s="302"/>
      <c r="RPX7" s="302"/>
      <c r="RPY7" s="302"/>
      <c r="RPZ7" s="302"/>
      <c r="RQA7" s="302"/>
      <c r="RQB7" s="302"/>
      <c r="RQC7" s="302"/>
      <c r="RQD7" s="302"/>
      <c r="RQE7" s="302"/>
      <c r="RQF7" s="302"/>
      <c r="RQG7" s="302"/>
      <c r="RQH7" s="302"/>
      <c r="RQI7" s="302"/>
      <c r="RQJ7" s="302"/>
      <c r="RQK7" s="302"/>
      <c r="RQL7" s="302"/>
      <c r="RQM7" s="302"/>
      <c r="RQN7" s="302"/>
      <c r="RQO7" s="302"/>
      <c r="RQP7" s="302"/>
      <c r="RQQ7" s="302"/>
      <c r="RQR7" s="302"/>
      <c r="RQS7" s="302"/>
      <c r="RQT7" s="302"/>
      <c r="RQU7" s="302"/>
      <c r="RQV7" s="302"/>
      <c r="RQW7" s="302"/>
      <c r="RQX7" s="302"/>
      <c r="RQY7" s="302"/>
      <c r="RQZ7" s="302"/>
      <c r="RRA7" s="302"/>
      <c r="RRB7" s="302"/>
      <c r="RRC7" s="302"/>
      <c r="RRD7" s="302"/>
      <c r="RRE7" s="302"/>
      <c r="RRF7" s="302"/>
      <c r="RRG7" s="302"/>
      <c r="RRH7" s="302"/>
      <c r="RRI7" s="302"/>
      <c r="RRJ7" s="302"/>
      <c r="RRK7" s="302"/>
      <c r="RRL7" s="302"/>
      <c r="RRM7" s="302"/>
      <c r="RRN7" s="302"/>
      <c r="RRO7" s="302"/>
      <c r="RRP7" s="302"/>
      <c r="RRQ7" s="302"/>
      <c r="RRR7" s="302"/>
      <c r="RRS7" s="302"/>
      <c r="RRT7" s="302"/>
      <c r="RRU7" s="302"/>
      <c r="RRV7" s="302"/>
      <c r="RRW7" s="302"/>
      <c r="RRX7" s="302"/>
      <c r="RRY7" s="302"/>
      <c r="RRZ7" s="302"/>
      <c r="RSA7" s="302"/>
      <c r="RSB7" s="302"/>
      <c r="RSC7" s="302"/>
      <c r="RSD7" s="302"/>
      <c r="RSE7" s="302"/>
      <c r="RSF7" s="302"/>
      <c r="RSG7" s="302"/>
      <c r="RSH7" s="302"/>
      <c r="RSI7" s="302"/>
      <c r="RSJ7" s="302"/>
      <c r="RSK7" s="302"/>
      <c r="RSL7" s="302"/>
      <c r="RSM7" s="302"/>
      <c r="RSN7" s="302"/>
      <c r="RSO7" s="302"/>
      <c r="RSP7" s="302"/>
      <c r="RSQ7" s="302"/>
      <c r="RSR7" s="302"/>
      <c r="RSS7" s="302"/>
      <c r="RST7" s="302"/>
      <c r="RSU7" s="302"/>
      <c r="RSV7" s="302"/>
      <c r="RSW7" s="302"/>
      <c r="RSX7" s="302"/>
      <c r="RSY7" s="302"/>
      <c r="RSZ7" s="302"/>
      <c r="RTA7" s="302"/>
      <c r="RTB7" s="302"/>
      <c r="RTC7" s="302"/>
      <c r="RTD7" s="302"/>
      <c r="RTE7" s="302"/>
      <c r="RTF7" s="302"/>
      <c r="RTG7" s="302"/>
      <c r="RTH7" s="302"/>
      <c r="RTI7" s="302"/>
      <c r="RTJ7" s="302"/>
      <c r="RTK7" s="302"/>
      <c r="RTL7" s="302"/>
      <c r="RTM7" s="302"/>
      <c r="RTN7" s="302"/>
      <c r="RTO7" s="302"/>
      <c r="RTP7" s="302"/>
      <c r="RTQ7" s="302"/>
      <c r="RTR7" s="302"/>
      <c r="RTS7" s="302"/>
      <c r="RTT7" s="302"/>
      <c r="RTU7" s="302"/>
      <c r="RTV7" s="302"/>
      <c r="RTW7" s="302"/>
      <c r="RTX7" s="302"/>
      <c r="RTY7" s="302"/>
      <c r="RTZ7" s="302"/>
      <c r="RUA7" s="302"/>
      <c r="RUB7" s="302"/>
      <c r="RUC7" s="302"/>
      <c r="RUD7" s="302"/>
      <c r="RUE7" s="302"/>
      <c r="RUF7" s="302"/>
      <c r="RUG7" s="302"/>
      <c r="RUH7" s="302"/>
      <c r="RUI7" s="302"/>
      <c r="RUJ7" s="302"/>
      <c r="RUK7" s="302"/>
      <c r="RUL7" s="302"/>
      <c r="RUM7" s="302"/>
      <c r="RUN7" s="302"/>
      <c r="RUO7" s="302"/>
      <c r="RUP7" s="302"/>
      <c r="RUQ7" s="302"/>
      <c r="RUR7" s="302"/>
      <c r="RUS7" s="302"/>
      <c r="RUT7" s="302"/>
      <c r="RUU7" s="302"/>
      <c r="RUV7" s="302"/>
      <c r="RUW7" s="302"/>
      <c r="RUX7" s="302"/>
      <c r="RUY7" s="302"/>
      <c r="RUZ7" s="302"/>
      <c r="RVA7" s="302"/>
      <c r="RVB7" s="302"/>
      <c r="RVC7" s="302"/>
      <c r="RVD7" s="302"/>
      <c r="RVE7" s="302"/>
      <c r="RVF7" s="302"/>
      <c r="RVG7" s="302"/>
      <c r="RVH7" s="302"/>
      <c r="RVI7" s="302"/>
      <c r="RVJ7" s="302"/>
      <c r="RVK7" s="302"/>
      <c r="RVL7" s="302"/>
      <c r="RVM7" s="302"/>
      <c r="RVN7" s="302"/>
      <c r="RVO7" s="302"/>
      <c r="RVP7" s="302"/>
      <c r="RVQ7" s="302"/>
      <c r="RVR7" s="302"/>
      <c r="RVS7" s="302"/>
      <c r="RVT7" s="302"/>
      <c r="RVU7" s="302"/>
      <c r="RVV7" s="302"/>
      <c r="RVW7" s="302"/>
      <c r="RVX7" s="302"/>
      <c r="RVY7" s="302"/>
      <c r="RVZ7" s="302"/>
      <c r="RWA7" s="302"/>
      <c r="RWB7" s="302"/>
      <c r="RWC7" s="302"/>
      <c r="RWD7" s="302"/>
      <c r="RWE7" s="302"/>
      <c r="RWF7" s="302"/>
      <c r="RWG7" s="302"/>
      <c r="RWH7" s="302"/>
      <c r="RWI7" s="302"/>
      <c r="RWJ7" s="302"/>
      <c r="RWK7" s="302"/>
      <c r="RWL7" s="302"/>
      <c r="RWM7" s="302"/>
      <c r="RWN7" s="302"/>
      <c r="RWO7" s="302"/>
      <c r="RWP7" s="302"/>
      <c r="RWQ7" s="302"/>
      <c r="RWR7" s="302"/>
      <c r="RWS7" s="302"/>
      <c r="RWT7" s="302"/>
      <c r="RWU7" s="302"/>
      <c r="RWV7" s="302"/>
      <c r="RWW7" s="302"/>
      <c r="RWX7" s="302"/>
      <c r="RWY7" s="302"/>
      <c r="RWZ7" s="302"/>
      <c r="RXA7" s="302"/>
      <c r="RXB7" s="302"/>
      <c r="RXC7" s="302"/>
      <c r="RXD7" s="302"/>
      <c r="RXE7" s="302"/>
      <c r="RXF7" s="302"/>
      <c r="RXG7" s="302"/>
      <c r="RXH7" s="302"/>
      <c r="RXI7" s="302"/>
      <c r="RXJ7" s="302"/>
      <c r="RXK7" s="302"/>
      <c r="RXL7" s="302"/>
      <c r="RXM7" s="302"/>
      <c r="RXN7" s="302"/>
      <c r="RXO7" s="302"/>
      <c r="RXP7" s="302"/>
      <c r="RXQ7" s="302"/>
      <c r="RXR7" s="302"/>
      <c r="RXS7" s="302"/>
      <c r="RXT7" s="302"/>
      <c r="RXU7" s="302"/>
      <c r="RXV7" s="302"/>
      <c r="RXW7" s="302"/>
      <c r="RXX7" s="302"/>
      <c r="RXY7" s="302"/>
      <c r="RXZ7" s="302"/>
      <c r="RYA7" s="302"/>
      <c r="RYB7" s="302"/>
      <c r="RYC7" s="302"/>
      <c r="RYD7" s="302"/>
      <c r="RYE7" s="302"/>
      <c r="RYF7" s="302"/>
      <c r="RYG7" s="302"/>
      <c r="RYH7" s="302"/>
      <c r="RYI7" s="302"/>
      <c r="RYJ7" s="302"/>
      <c r="RYK7" s="302"/>
      <c r="RYL7" s="302"/>
      <c r="RYM7" s="302"/>
      <c r="RYN7" s="302"/>
      <c r="RYO7" s="302"/>
      <c r="RYP7" s="302"/>
      <c r="RYQ7" s="302"/>
      <c r="RYR7" s="302"/>
      <c r="RYS7" s="302"/>
      <c r="RYT7" s="302"/>
      <c r="RYU7" s="302"/>
      <c r="RYV7" s="302"/>
      <c r="RYW7" s="302"/>
      <c r="RYX7" s="302"/>
      <c r="RYY7" s="302"/>
      <c r="RYZ7" s="302"/>
      <c r="RZA7" s="302"/>
      <c r="RZB7" s="302"/>
      <c r="RZC7" s="302"/>
      <c r="RZD7" s="302"/>
      <c r="RZE7" s="302"/>
      <c r="RZF7" s="302"/>
      <c r="RZG7" s="302"/>
      <c r="RZH7" s="302"/>
      <c r="RZI7" s="302"/>
      <c r="RZJ7" s="302"/>
      <c r="RZK7" s="302"/>
      <c r="RZL7" s="302"/>
      <c r="RZM7" s="302"/>
      <c r="RZN7" s="302"/>
      <c r="RZO7" s="302"/>
      <c r="RZP7" s="302"/>
      <c r="RZQ7" s="302"/>
      <c r="RZR7" s="302"/>
      <c r="RZS7" s="302"/>
      <c r="RZT7" s="302"/>
      <c r="RZU7" s="302"/>
      <c r="RZV7" s="302"/>
      <c r="RZW7" s="302"/>
      <c r="RZX7" s="302"/>
      <c r="RZY7" s="302"/>
      <c r="RZZ7" s="302"/>
      <c r="SAA7" s="302"/>
      <c r="SAB7" s="302"/>
      <c r="SAC7" s="302"/>
      <c r="SAD7" s="302"/>
      <c r="SAE7" s="302"/>
      <c r="SAF7" s="302"/>
      <c r="SAG7" s="302"/>
      <c r="SAH7" s="302"/>
      <c r="SAI7" s="302"/>
      <c r="SAJ7" s="302"/>
      <c r="SAK7" s="302"/>
      <c r="SAL7" s="302"/>
      <c r="SAM7" s="302"/>
      <c r="SAN7" s="302"/>
      <c r="SAO7" s="302"/>
      <c r="SAP7" s="302"/>
      <c r="SAQ7" s="302"/>
      <c r="SAR7" s="302"/>
      <c r="SAS7" s="302"/>
      <c r="SAT7" s="302"/>
      <c r="SAU7" s="302"/>
      <c r="SAV7" s="302"/>
      <c r="SAW7" s="302"/>
      <c r="SAX7" s="302"/>
      <c r="SAY7" s="302"/>
      <c r="SAZ7" s="302"/>
      <c r="SBA7" s="302"/>
      <c r="SBB7" s="302"/>
      <c r="SBC7" s="302"/>
      <c r="SBD7" s="302"/>
      <c r="SBE7" s="302"/>
      <c r="SBF7" s="302"/>
      <c r="SBG7" s="302"/>
      <c r="SBH7" s="302"/>
      <c r="SBI7" s="302"/>
      <c r="SBJ7" s="302"/>
      <c r="SBK7" s="302"/>
      <c r="SBL7" s="302"/>
      <c r="SBM7" s="302"/>
      <c r="SBN7" s="302"/>
      <c r="SBO7" s="302"/>
      <c r="SBP7" s="302"/>
      <c r="SBQ7" s="302"/>
      <c r="SBR7" s="302"/>
      <c r="SBS7" s="302"/>
      <c r="SBT7" s="302"/>
      <c r="SBU7" s="302"/>
      <c r="SBV7" s="302"/>
      <c r="SBW7" s="302"/>
      <c r="SBX7" s="302"/>
      <c r="SBY7" s="302"/>
      <c r="SBZ7" s="302"/>
      <c r="SCA7" s="302"/>
      <c r="SCB7" s="302"/>
      <c r="SCC7" s="302"/>
      <c r="SCD7" s="302"/>
      <c r="SCE7" s="302"/>
      <c r="SCF7" s="302"/>
      <c r="SCG7" s="302"/>
      <c r="SCH7" s="302"/>
      <c r="SCI7" s="302"/>
      <c r="SCJ7" s="302"/>
      <c r="SCK7" s="302"/>
      <c r="SCL7" s="302"/>
      <c r="SCM7" s="302"/>
      <c r="SCN7" s="302"/>
      <c r="SCO7" s="302"/>
      <c r="SCP7" s="302"/>
      <c r="SCQ7" s="302"/>
      <c r="SCR7" s="302"/>
      <c r="SCS7" s="302"/>
      <c r="SCT7" s="302"/>
      <c r="SCU7" s="302"/>
      <c r="SCV7" s="302"/>
      <c r="SCW7" s="302"/>
      <c r="SCX7" s="302"/>
      <c r="SCY7" s="302"/>
      <c r="SCZ7" s="302"/>
      <c r="SDA7" s="302"/>
      <c r="SDB7" s="302"/>
      <c r="SDC7" s="302"/>
      <c r="SDD7" s="302"/>
      <c r="SDE7" s="302"/>
      <c r="SDF7" s="302"/>
      <c r="SDG7" s="302"/>
      <c r="SDH7" s="302"/>
      <c r="SDI7" s="302"/>
      <c r="SDJ7" s="302"/>
      <c r="SDK7" s="302"/>
      <c r="SDL7" s="302"/>
      <c r="SDM7" s="302"/>
      <c r="SDN7" s="302"/>
      <c r="SDO7" s="302"/>
      <c r="SDP7" s="302"/>
      <c r="SDQ7" s="302"/>
      <c r="SDR7" s="302"/>
      <c r="SDS7" s="302"/>
      <c r="SDT7" s="302"/>
      <c r="SDU7" s="302"/>
      <c r="SDV7" s="302"/>
      <c r="SDW7" s="302"/>
      <c r="SDX7" s="302"/>
      <c r="SDY7" s="302"/>
      <c r="SDZ7" s="302"/>
      <c r="SEA7" s="302"/>
      <c r="SEB7" s="302"/>
      <c r="SEC7" s="302"/>
      <c r="SED7" s="302"/>
      <c r="SEE7" s="302"/>
      <c r="SEF7" s="302"/>
      <c r="SEG7" s="302"/>
      <c r="SEH7" s="302"/>
      <c r="SEI7" s="302"/>
      <c r="SEJ7" s="302"/>
      <c r="SEK7" s="302"/>
      <c r="SEL7" s="302"/>
      <c r="SEM7" s="302"/>
      <c r="SEN7" s="302"/>
      <c r="SEO7" s="302"/>
      <c r="SEP7" s="302"/>
      <c r="SEQ7" s="302"/>
      <c r="SER7" s="302"/>
      <c r="SES7" s="302"/>
      <c r="SET7" s="302"/>
      <c r="SEU7" s="302"/>
      <c r="SEV7" s="302"/>
      <c r="SEW7" s="302"/>
      <c r="SEX7" s="302"/>
      <c r="SEY7" s="302"/>
      <c r="SEZ7" s="302"/>
      <c r="SFA7" s="302"/>
      <c r="SFB7" s="302"/>
      <c r="SFC7" s="302"/>
      <c r="SFD7" s="302"/>
      <c r="SFE7" s="302"/>
      <c r="SFF7" s="302"/>
      <c r="SFG7" s="302"/>
      <c r="SFH7" s="302"/>
      <c r="SFI7" s="302"/>
      <c r="SFJ7" s="302"/>
      <c r="SFK7" s="302"/>
      <c r="SFL7" s="302"/>
      <c r="SFM7" s="302"/>
      <c r="SFN7" s="302"/>
      <c r="SFO7" s="302"/>
      <c r="SFP7" s="302"/>
      <c r="SFQ7" s="302"/>
      <c r="SFR7" s="302"/>
      <c r="SFS7" s="302"/>
      <c r="SFT7" s="302"/>
      <c r="SFU7" s="302"/>
      <c r="SFV7" s="302"/>
      <c r="SFW7" s="302"/>
      <c r="SFX7" s="302"/>
      <c r="SFY7" s="302"/>
      <c r="SFZ7" s="302"/>
      <c r="SGA7" s="302"/>
      <c r="SGB7" s="302"/>
      <c r="SGC7" s="302"/>
      <c r="SGD7" s="302"/>
      <c r="SGE7" s="302"/>
      <c r="SGF7" s="302"/>
      <c r="SGG7" s="302"/>
      <c r="SGH7" s="302"/>
      <c r="SGI7" s="302"/>
      <c r="SGJ7" s="302"/>
      <c r="SGK7" s="302"/>
      <c r="SGL7" s="302"/>
      <c r="SGM7" s="302"/>
      <c r="SGN7" s="302"/>
      <c r="SGO7" s="302"/>
      <c r="SGP7" s="302"/>
      <c r="SGQ7" s="302"/>
      <c r="SGR7" s="302"/>
      <c r="SGS7" s="302"/>
      <c r="SGT7" s="302"/>
      <c r="SGU7" s="302"/>
      <c r="SGV7" s="302"/>
      <c r="SGW7" s="302"/>
      <c r="SGX7" s="302"/>
      <c r="SGY7" s="302"/>
      <c r="SGZ7" s="302"/>
      <c r="SHA7" s="302"/>
      <c r="SHB7" s="302"/>
      <c r="SHC7" s="302"/>
      <c r="SHD7" s="302"/>
      <c r="SHE7" s="302"/>
      <c r="SHF7" s="302"/>
      <c r="SHG7" s="302"/>
      <c r="SHH7" s="302"/>
      <c r="SHI7" s="302"/>
      <c r="SHJ7" s="302"/>
      <c r="SHK7" s="302"/>
      <c r="SHL7" s="302"/>
      <c r="SHM7" s="302"/>
      <c r="SHN7" s="302"/>
      <c r="SHO7" s="302"/>
      <c r="SHP7" s="302"/>
      <c r="SHQ7" s="302"/>
      <c r="SHR7" s="302"/>
      <c r="SHS7" s="302"/>
      <c r="SHT7" s="302"/>
      <c r="SHU7" s="302"/>
      <c r="SHV7" s="302"/>
      <c r="SHW7" s="302"/>
      <c r="SHX7" s="302"/>
      <c r="SHY7" s="302"/>
      <c r="SHZ7" s="302"/>
      <c r="SIA7" s="302"/>
      <c r="SIB7" s="302"/>
      <c r="SIC7" s="302"/>
      <c r="SID7" s="302"/>
      <c r="SIE7" s="302"/>
      <c r="SIF7" s="302"/>
      <c r="SIG7" s="302"/>
      <c r="SIH7" s="302"/>
      <c r="SII7" s="302"/>
      <c r="SIJ7" s="302"/>
      <c r="SIK7" s="302"/>
      <c r="SIL7" s="302"/>
      <c r="SIM7" s="302"/>
      <c r="SIN7" s="302"/>
      <c r="SIO7" s="302"/>
      <c r="SIP7" s="302"/>
      <c r="SIQ7" s="302"/>
      <c r="SIR7" s="302"/>
      <c r="SIS7" s="302"/>
      <c r="SIT7" s="302"/>
      <c r="SIU7" s="302"/>
      <c r="SIV7" s="302"/>
      <c r="SIW7" s="302"/>
      <c r="SIX7" s="302"/>
      <c r="SIY7" s="302"/>
      <c r="SIZ7" s="302"/>
      <c r="SJA7" s="302"/>
      <c r="SJB7" s="302"/>
      <c r="SJC7" s="302"/>
      <c r="SJD7" s="302"/>
      <c r="SJE7" s="302"/>
      <c r="SJF7" s="302"/>
      <c r="SJG7" s="302"/>
      <c r="SJH7" s="302"/>
      <c r="SJI7" s="302"/>
      <c r="SJJ7" s="302"/>
      <c r="SJK7" s="302"/>
      <c r="SJL7" s="302"/>
      <c r="SJM7" s="302"/>
      <c r="SJN7" s="302"/>
      <c r="SJO7" s="302"/>
      <c r="SJP7" s="302"/>
      <c r="SJQ7" s="302"/>
      <c r="SJR7" s="302"/>
      <c r="SJS7" s="302"/>
      <c r="SJT7" s="302"/>
      <c r="SJU7" s="302"/>
      <c r="SJV7" s="302"/>
      <c r="SJW7" s="302"/>
      <c r="SJX7" s="302"/>
      <c r="SJY7" s="302"/>
      <c r="SJZ7" s="302"/>
      <c r="SKA7" s="302"/>
      <c r="SKB7" s="302"/>
      <c r="SKC7" s="302"/>
      <c r="SKD7" s="302"/>
      <c r="SKE7" s="302"/>
      <c r="SKF7" s="302"/>
      <c r="SKG7" s="302"/>
      <c r="SKH7" s="302"/>
      <c r="SKI7" s="302"/>
      <c r="SKJ7" s="302"/>
      <c r="SKK7" s="302"/>
      <c r="SKL7" s="302"/>
      <c r="SKM7" s="302"/>
      <c r="SKN7" s="302"/>
      <c r="SKO7" s="302"/>
      <c r="SKP7" s="302"/>
      <c r="SKQ7" s="302"/>
      <c r="SKR7" s="302"/>
      <c r="SKS7" s="302"/>
      <c r="SKT7" s="302"/>
      <c r="SKU7" s="302"/>
      <c r="SKV7" s="302"/>
      <c r="SKW7" s="302"/>
      <c r="SKX7" s="302"/>
      <c r="SKY7" s="302"/>
      <c r="SKZ7" s="302"/>
      <c r="SLA7" s="302"/>
      <c r="SLB7" s="302"/>
      <c r="SLC7" s="302"/>
      <c r="SLD7" s="302"/>
      <c r="SLE7" s="302"/>
      <c r="SLF7" s="302"/>
      <c r="SLG7" s="302"/>
      <c r="SLH7" s="302"/>
      <c r="SLI7" s="302"/>
      <c r="SLJ7" s="302"/>
      <c r="SLK7" s="302"/>
      <c r="SLL7" s="302"/>
      <c r="SLM7" s="302"/>
      <c r="SLN7" s="302"/>
      <c r="SLO7" s="302"/>
      <c r="SLP7" s="302"/>
      <c r="SLQ7" s="302"/>
      <c r="SLR7" s="302"/>
      <c r="SLS7" s="302"/>
      <c r="SLT7" s="302"/>
      <c r="SLU7" s="302"/>
      <c r="SLV7" s="302"/>
      <c r="SLW7" s="302"/>
      <c r="SLX7" s="302"/>
      <c r="SLY7" s="302"/>
      <c r="SLZ7" s="302"/>
      <c r="SMA7" s="302"/>
      <c r="SMB7" s="302"/>
      <c r="SMC7" s="302"/>
      <c r="SMD7" s="302"/>
      <c r="SME7" s="302"/>
      <c r="SMF7" s="302"/>
      <c r="SMG7" s="302"/>
      <c r="SMH7" s="302"/>
      <c r="SMI7" s="302"/>
      <c r="SMJ7" s="302"/>
      <c r="SMK7" s="302"/>
      <c r="SML7" s="302"/>
      <c r="SMM7" s="302"/>
      <c r="SMN7" s="302"/>
      <c r="SMO7" s="302"/>
      <c r="SMP7" s="302"/>
      <c r="SMQ7" s="302"/>
      <c r="SMR7" s="302"/>
      <c r="SMS7" s="302"/>
      <c r="SMT7" s="302"/>
      <c r="SMU7" s="302"/>
      <c r="SMV7" s="302"/>
      <c r="SMW7" s="302"/>
      <c r="SMX7" s="302"/>
      <c r="SMY7" s="302"/>
      <c r="SMZ7" s="302"/>
      <c r="SNA7" s="302"/>
      <c r="SNB7" s="302"/>
      <c r="SNC7" s="302"/>
      <c r="SND7" s="302"/>
      <c r="SNE7" s="302"/>
      <c r="SNF7" s="302"/>
      <c r="SNG7" s="302"/>
      <c r="SNH7" s="302"/>
      <c r="SNI7" s="302"/>
      <c r="SNJ7" s="302"/>
      <c r="SNK7" s="302"/>
      <c r="SNL7" s="302"/>
      <c r="SNM7" s="302"/>
      <c r="SNN7" s="302"/>
      <c r="SNO7" s="302"/>
      <c r="SNP7" s="302"/>
      <c r="SNQ7" s="302"/>
      <c r="SNR7" s="302"/>
      <c r="SNS7" s="302"/>
      <c r="SNT7" s="302"/>
      <c r="SNU7" s="302"/>
      <c r="SNV7" s="302"/>
      <c r="SNW7" s="302"/>
      <c r="SNX7" s="302"/>
      <c r="SNY7" s="302"/>
      <c r="SNZ7" s="302"/>
      <c r="SOA7" s="302"/>
      <c r="SOB7" s="302"/>
      <c r="SOC7" s="302"/>
      <c r="SOD7" s="302"/>
      <c r="SOE7" s="302"/>
      <c r="SOF7" s="302"/>
      <c r="SOG7" s="302"/>
      <c r="SOH7" s="302"/>
      <c r="SOI7" s="302"/>
      <c r="SOJ7" s="302"/>
      <c r="SOK7" s="302"/>
      <c r="SOL7" s="302"/>
      <c r="SOM7" s="302"/>
      <c r="SON7" s="302"/>
      <c r="SOO7" s="302"/>
      <c r="SOP7" s="302"/>
      <c r="SOQ7" s="302"/>
      <c r="SOR7" s="302"/>
      <c r="SOS7" s="302"/>
      <c r="SOT7" s="302"/>
      <c r="SOU7" s="302"/>
      <c r="SOV7" s="302"/>
      <c r="SOW7" s="302"/>
      <c r="SOX7" s="302"/>
      <c r="SOY7" s="302"/>
      <c r="SOZ7" s="302"/>
      <c r="SPA7" s="302"/>
      <c r="SPB7" s="302"/>
      <c r="SPC7" s="302"/>
      <c r="SPD7" s="302"/>
      <c r="SPE7" s="302"/>
      <c r="SPF7" s="302"/>
      <c r="SPG7" s="302"/>
      <c r="SPH7" s="302"/>
      <c r="SPI7" s="302"/>
      <c r="SPJ7" s="302"/>
      <c r="SPK7" s="302"/>
      <c r="SPL7" s="302"/>
      <c r="SPM7" s="302"/>
      <c r="SPN7" s="302"/>
      <c r="SPO7" s="302"/>
      <c r="SPP7" s="302"/>
      <c r="SPQ7" s="302"/>
      <c r="SPR7" s="302"/>
      <c r="SPS7" s="302"/>
      <c r="SPT7" s="302"/>
      <c r="SPU7" s="302"/>
      <c r="SPV7" s="302"/>
      <c r="SPW7" s="302"/>
      <c r="SPX7" s="302"/>
      <c r="SPY7" s="302"/>
      <c r="SPZ7" s="302"/>
      <c r="SQA7" s="302"/>
      <c r="SQB7" s="302"/>
      <c r="SQC7" s="302"/>
      <c r="SQD7" s="302"/>
      <c r="SQE7" s="302"/>
      <c r="SQF7" s="302"/>
      <c r="SQG7" s="302"/>
      <c r="SQH7" s="302"/>
      <c r="SQI7" s="302"/>
      <c r="SQJ7" s="302"/>
      <c r="SQK7" s="302"/>
      <c r="SQL7" s="302"/>
      <c r="SQM7" s="302"/>
      <c r="SQN7" s="302"/>
      <c r="SQO7" s="302"/>
      <c r="SQP7" s="302"/>
      <c r="SQQ7" s="302"/>
      <c r="SQR7" s="302"/>
      <c r="SQS7" s="302"/>
      <c r="SQT7" s="302"/>
      <c r="SQU7" s="302"/>
      <c r="SQV7" s="302"/>
      <c r="SQW7" s="302"/>
      <c r="SQX7" s="302"/>
      <c r="SQY7" s="302"/>
      <c r="SQZ7" s="302"/>
      <c r="SRA7" s="302"/>
      <c r="SRB7" s="302"/>
      <c r="SRC7" s="302"/>
      <c r="SRD7" s="302"/>
      <c r="SRE7" s="302"/>
      <c r="SRF7" s="302"/>
      <c r="SRG7" s="302"/>
      <c r="SRH7" s="302"/>
      <c r="SRI7" s="302"/>
      <c r="SRJ7" s="302"/>
      <c r="SRK7" s="302"/>
      <c r="SRL7" s="302"/>
      <c r="SRM7" s="302"/>
      <c r="SRN7" s="302"/>
      <c r="SRO7" s="302"/>
      <c r="SRP7" s="302"/>
      <c r="SRQ7" s="302"/>
      <c r="SRR7" s="302"/>
      <c r="SRS7" s="302"/>
      <c r="SRT7" s="302"/>
      <c r="SRU7" s="302"/>
      <c r="SRV7" s="302"/>
      <c r="SRW7" s="302"/>
      <c r="SRX7" s="302"/>
      <c r="SRY7" s="302"/>
      <c r="SRZ7" s="302"/>
      <c r="SSA7" s="302"/>
      <c r="SSB7" s="302"/>
      <c r="SSC7" s="302"/>
      <c r="SSD7" s="302"/>
      <c r="SSE7" s="302"/>
      <c r="SSF7" s="302"/>
      <c r="SSG7" s="302"/>
      <c r="SSH7" s="302"/>
      <c r="SSI7" s="302"/>
      <c r="SSJ7" s="302"/>
      <c r="SSK7" s="302"/>
      <c r="SSL7" s="302"/>
      <c r="SSM7" s="302"/>
      <c r="SSN7" s="302"/>
      <c r="SSO7" s="302"/>
      <c r="SSP7" s="302"/>
      <c r="SSQ7" s="302"/>
      <c r="SSR7" s="302"/>
      <c r="SSS7" s="302"/>
      <c r="SST7" s="302"/>
      <c r="SSU7" s="302"/>
      <c r="SSV7" s="302"/>
      <c r="SSW7" s="302"/>
      <c r="SSX7" s="302"/>
      <c r="SSY7" s="302"/>
      <c r="SSZ7" s="302"/>
      <c r="STA7" s="302"/>
      <c r="STB7" s="302"/>
      <c r="STC7" s="302"/>
      <c r="STD7" s="302"/>
      <c r="STE7" s="302"/>
      <c r="STF7" s="302"/>
      <c r="STG7" s="302"/>
      <c r="STH7" s="302"/>
      <c r="STI7" s="302"/>
      <c r="STJ7" s="302"/>
      <c r="STK7" s="302"/>
      <c r="STL7" s="302"/>
      <c r="STM7" s="302"/>
      <c r="STN7" s="302"/>
      <c r="STO7" s="302"/>
      <c r="STP7" s="302"/>
      <c r="STQ7" s="302"/>
      <c r="STR7" s="302"/>
      <c r="STS7" s="302"/>
      <c r="STT7" s="302"/>
      <c r="STU7" s="302"/>
      <c r="STV7" s="302"/>
      <c r="STW7" s="302"/>
      <c r="STX7" s="302"/>
      <c r="STY7" s="302"/>
      <c r="STZ7" s="302"/>
      <c r="SUA7" s="302"/>
      <c r="SUB7" s="302"/>
      <c r="SUC7" s="302"/>
      <c r="SUD7" s="302"/>
      <c r="SUE7" s="302"/>
      <c r="SUF7" s="302"/>
      <c r="SUG7" s="302"/>
      <c r="SUH7" s="302"/>
      <c r="SUI7" s="302"/>
      <c r="SUJ7" s="302"/>
      <c r="SUK7" s="302"/>
      <c r="SUL7" s="302"/>
      <c r="SUM7" s="302"/>
      <c r="SUN7" s="302"/>
      <c r="SUO7" s="302"/>
      <c r="SUP7" s="302"/>
      <c r="SUQ7" s="302"/>
      <c r="SUR7" s="302"/>
      <c r="SUS7" s="302"/>
      <c r="SUT7" s="302"/>
      <c r="SUU7" s="302"/>
      <c r="SUV7" s="302"/>
      <c r="SUW7" s="302"/>
      <c r="SUX7" s="302"/>
      <c r="SUY7" s="302"/>
      <c r="SUZ7" s="302"/>
      <c r="SVA7" s="302"/>
      <c r="SVB7" s="302"/>
      <c r="SVC7" s="302"/>
      <c r="SVD7" s="302"/>
      <c r="SVE7" s="302"/>
      <c r="SVF7" s="302"/>
      <c r="SVG7" s="302"/>
      <c r="SVH7" s="302"/>
      <c r="SVI7" s="302"/>
      <c r="SVJ7" s="302"/>
      <c r="SVK7" s="302"/>
      <c r="SVL7" s="302"/>
      <c r="SVM7" s="302"/>
      <c r="SVN7" s="302"/>
      <c r="SVO7" s="302"/>
      <c r="SVP7" s="302"/>
      <c r="SVQ7" s="302"/>
      <c r="SVR7" s="302"/>
      <c r="SVS7" s="302"/>
      <c r="SVT7" s="302"/>
      <c r="SVU7" s="302"/>
      <c r="SVV7" s="302"/>
      <c r="SVW7" s="302"/>
      <c r="SVX7" s="302"/>
      <c r="SVY7" s="302"/>
      <c r="SVZ7" s="302"/>
      <c r="SWA7" s="302"/>
      <c r="SWB7" s="302"/>
      <c r="SWC7" s="302"/>
      <c r="SWD7" s="302"/>
      <c r="SWE7" s="302"/>
      <c r="SWF7" s="302"/>
      <c r="SWG7" s="302"/>
      <c r="SWH7" s="302"/>
      <c r="SWI7" s="302"/>
      <c r="SWJ7" s="302"/>
      <c r="SWK7" s="302"/>
      <c r="SWL7" s="302"/>
      <c r="SWM7" s="302"/>
      <c r="SWN7" s="302"/>
      <c r="SWO7" s="302"/>
      <c r="SWP7" s="302"/>
      <c r="SWQ7" s="302"/>
      <c r="SWR7" s="302"/>
      <c r="SWS7" s="302"/>
      <c r="SWT7" s="302"/>
      <c r="SWU7" s="302"/>
      <c r="SWV7" s="302"/>
      <c r="SWW7" s="302"/>
      <c r="SWX7" s="302"/>
      <c r="SWY7" s="302"/>
      <c r="SWZ7" s="302"/>
      <c r="SXA7" s="302"/>
      <c r="SXB7" s="302"/>
      <c r="SXC7" s="302"/>
      <c r="SXD7" s="302"/>
      <c r="SXE7" s="302"/>
      <c r="SXF7" s="302"/>
      <c r="SXG7" s="302"/>
      <c r="SXH7" s="302"/>
      <c r="SXI7" s="302"/>
      <c r="SXJ7" s="302"/>
      <c r="SXK7" s="302"/>
      <c r="SXL7" s="302"/>
      <c r="SXM7" s="302"/>
      <c r="SXN7" s="302"/>
      <c r="SXO7" s="302"/>
      <c r="SXP7" s="302"/>
      <c r="SXQ7" s="302"/>
      <c r="SXR7" s="302"/>
      <c r="SXS7" s="302"/>
      <c r="SXT7" s="302"/>
      <c r="SXU7" s="302"/>
      <c r="SXV7" s="302"/>
      <c r="SXW7" s="302"/>
      <c r="SXX7" s="302"/>
      <c r="SXY7" s="302"/>
      <c r="SXZ7" s="302"/>
      <c r="SYA7" s="302"/>
      <c r="SYB7" s="302"/>
      <c r="SYC7" s="302"/>
      <c r="SYD7" s="302"/>
      <c r="SYE7" s="302"/>
      <c r="SYF7" s="302"/>
      <c r="SYG7" s="302"/>
      <c r="SYH7" s="302"/>
      <c r="SYI7" s="302"/>
      <c r="SYJ7" s="302"/>
      <c r="SYK7" s="302"/>
      <c r="SYL7" s="302"/>
      <c r="SYM7" s="302"/>
      <c r="SYN7" s="302"/>
      <c r="SYO7" s="302"/>
      <c r="SYP7" s="302"/>
      <c r="SYQ7" s="302"/>
      <c r="SYR7" s="302"/>
      <c r="SYS7" s="302"/>
      <c r="SYT7" s="302"/>
      <c r="SYU7" s="302"/>
      <c r="SYV7" s="302"/>
      <c r="SYW7" s="302"/>
      <c r="SYX7" s="302"/>
      <c r="SYY7" s="302"/>
      <c r="SYZ7" s="302"/>
      <c r="SZA7" s="302"/>
      <c r="SZB7" s="302"/>
      <c r="SZC7" s="302"/>
      <c r="SZD7" s="302"/>
      <c r="SZE7" s="302"/>
      <c r="SZF7" s="302"/>
      <c r="SZG7" s="302"/>
      <c r="SZH7" s="302"/>
      <c r="SZI7" s="302"/>
      <c r="SZJ7" s="302"/>
      <c r="SZK7" s="302"/>
      <c r="SZL7" s="302"/>
      <c r="SZM7" s="302"/>
      <c r="SZN7" s="302"/>
      <c r="SZO7" s="302"/>
      <c r="SZP7" s="302"/>
      <c r="SZQ7" s="302"/>
      <c r="SZR7" s="302"/>
      <c r="SZS7" s="302"/>
      <c r="SZT7" s="302"/>
      <c r="SZU7" s="302"/>
      <c r="SZV7" s="302"/>
      <c r="SZW7" s="302"/>
      <c r="SZX7" s="302"/>
      <c r="SZY7" s="302"/>
      <c r="SZZ7" s="302"/>
      <c r="TAA7" s="302"/>
      <c r="TAB7" s="302"/>
      <c r="TAC7" s="302"/>
      <c r="TAD7" s="302"/>
      <c r="TAE7" s="302"/>
      <c r="TAF7" s="302"/>
      <c r="TAG7" s="302"/>
      <c r="TAH7" s="302"/>
      <c r="TAI7" s="302"/>
      <c r="TAJ7" s="302"/>
      <c r="TAK7" s="302"/>
      <c r="TAL7" s="302"/>
      <c r="TAM7" s="302"/>
      <c r="TAN7" s="302"/>
      <c r="TAO7" s="302"/>
      <c r="TAP7" s="302"/>
      <c r="TAQ7" s="302"/>
      <c r="TAR7" s="302"/>
      <c r="TAS7" s="302"/>
      <c r="TAT7" s="302"/>
      <c r="TAU7" s="302"/>
      <c r="TAV7" s="302"/>
      <c r="TAW7" s="302"/>
      <c r="TAX7" s="302"/>
      <c r="TAY7" s="302"/>
      <c r="TAZ7" s="302"/>
      <c r="TBA7" s="302"/>
      <c r="TBB7" s="302"/>
      <c r="TBC7" s="302"/>
      <c r="TBD7" s="302"/>
      <c r="TBE7" s="302"/>
      <c r="TBF7" s="302"/>
      <c r="TBG7" s="302"/>
      <c r="TBH7" s="302"/>
      <c r="TBI7" s="302"/>
      <c r="TBJ7" s="302"/>
      <c r="TBK7" s="302"/>
      <c r="TBL7" s="302"/>
      <c r="TBM7" s="302"/>
      <c r="TBN7" s="302"/>
      <c r="TBO7" s="302"/>
      <c r="TBP7" s="302"/>
      <c r="TBQ7" s="302"/>
      <c r="TBR7" s="302"/>
      <c r="TBS7" s="302"/>
      <c r="TBT7" s="302"/>
      <c r="TBU7" s="302"/>
      <c r="TBV7" s="302"/>
      <c r="TBW7" s="302"/>
      <c r="TBX7" s="302"/>
      <c r="TBY7" s="302"/>
      <c r="TBZ7" s="302"/>
      <c r="TCA7" s="302"/>
      <c r="TCB7" s="302"/>
      <c r="TCC7" s="302"/>
      <c r="TCD7" s="302"/>
      <c r="TCE7" s="302"/>
      <c r="TCF7" s="302"/>
      <c r="TCG7" s="302"/>
      <c r="TCH7" s="302"/>
      <c r="TCI7" s="302"/>
      <c r="TCJ7" s="302"/>
      <c r="TCK7" s="302"/>
      <c r="TCL7" s="302"/>
      <c r="TCM7" s="302"/>
      <c r="TCN7" s="302"/>
      <c r="TCO7" s="302"/>
      <c r="TCP7" s="302"/>
      <c r="TCQ7" s="302"/>
      <c r="TCR7" s="302"/>
      <c r="TCS7" s="302"/>
      <c r="TCT7" s="302"/>
      <c r="TCU7" s="302"/>
      <c r="TCV7" s="302"/>
      <c r="TCW7" s="302"/>
      <c r="TCX7" s="302"/>
      <c r="TCY7" s="302"/>
      <c r="TCZ7" s="302"/>
      <c r="TDA7" s="302"/>
      <c r="TDB7" s="302"/>
      <c r="TDC7" s="302"/>
      <c r="TDD7" s="302"/>
      <c r="TDE7" s="302"/>
      <c r="TDF7" s="302"/>
      <c r="TDG7" s="302"/>
      <c r="TDH7" s="302"/>
      <c r="TDI7" s="302"/>
      <c r="TDJ7" s="302"/>
      <c r="TDK7" s="302"/>
      <c r="TDL7" s="302"/>
      <c r="TDM7" s="302"/>
      <c r="TDN7" s="302"/>
      <c r="TDO7" s="302"/>
      <c r="TDP7" s="302"/>
      <c r="TDQ7" s="302"/>
      <c r="TDR7" s="302"/>
      <c r="TDS7" s="302"/>
      <c r="TDT7" s="302"/>
      <c r="TDU7" s="302"/>
      <c r="TDV7" s="302"/>
      <c r="TDW7" s="302"/>
      <c r="TDX7" s="302"/>
      <c r="TDY7" s="302"/>
      <c r="TDZ7" s="302"/>
      <c r="TEA7" s="302"/>
      <c r="TEB7" s="302"/>
      <c r="TEC7" s="302"/>
      <c r="TED7" s="302"/>
      <c r="TEE7" s="302"/>
      <c r="TEF7" s="302"/>
      <c r="TEG7" s="302"/>
      <c r="TEH7" s="302"/>
      <c r="TEI7" s="302"/>
      <c r="TEJ7" s="302"/>
      <c r="TEK7" s="302"/>
      <c r="TEL7" s="302"/>
      <c r="TEM7" s="302"/>
      <c r="TEN7" s="302"/>
      <c r="TEO7" s="302"/>
      <c r="TEP7" s="302"/>
      <c r="TEQ7" s="302"/>
      <c r="TER7" s="302"/>
      <c r="TES7" s="302"/>
      <c r="TET7" s="302"/>
      <c r="TEU7" s="302"/>
      <c r="TEV7" s="302"/>
      <c r="TEW7" s="302"/>
      <c r="TEX7" s="302"/>
      <c r="TEY7" s="302"/>
      <c r="TEZ7" s="302"/>
      <c r="TFA7" s="302"/>
      <c r="TFB7" s="302"/>
      <c r="TFC7" s="302"/>
      <c r="TFD7" s="302"/>
      <c r="TFE7" s="302"/>
      <c r="TFF7" s="302"/>
      <c r="TFG7" s="302"/>
      <c r="TFH7" s="302"/>
      <c r="TFI7" s="302"/>
      <c r="TFJ7" s="302"/>
      <c r="TFK7" s="302"/>
      <c r="TFL7" s="302"/>
      <c r="TFM7" s="302"/>
      <c r="TFN7" s="302"/>
      <c r="TFO7" s="302"/>
      <c r="TFP7" s="302"/>
      <c r="TFQ7" s="302"/>
      <c r="TFR7" s="302"/>
      <c r="TFS7" s="302"/>
      <c r="TFT7" s="302"/>
      <c r="TFU7" s="302"/>
      <c r="TFV7" s="302"/>
      <c r="TFW7" s="302"/>
      <c r="TFX7" s="302"/>
      <c r="TFY7" s="302"/>
      <c r="TFZ7" s="302"/>
      <c r="TGA7" s="302"/>
      <c r="TGB7" s="302"/>
      <c r="TGC7" s="302"/>
      <c r="TGD7" s="302"/>
      <c r="TGE7" s="302"/>
      <c r="TGF7" s="302"/>
      <c r="TGG7" s="302"/>
      <c r="TGH7" s="302"/>
      <c r="TGI7" s="302"/>
      <c r="TGJ7" s="302"/>
      <c r="TGK7" s="302"/>
      <c r="TGL7" s="302"/>
      <c r="TGM7" s="302"/>
      <c r="TGN7" s="302"/>
      <c r="TGO7" s="302"/>
      <c r="TGP7" s="302"/>
      <c r="TGQ7" s="302"/>
      <c r="TGR7" s="302"/>
      <c r="TGS7" s="302"/>
      <c r="TGT7" s="302"/>
      <c r="TGU7" s="302"/>
      <c r="TGV7" s="302"/>
      <c r="TGW7" s="302"/>
      <c r="TGX7" s="302"/>
      <c r="TGY7" s="302"/>
      <c r="TGZ7" s="302"/>
      <c r="THA7" s="302"/>
      <c r="THB7" s="302"/>
      <c r="THC7" s="302"/>
      <c r="THD7" s="302"/>
      <c r="THE7" s="302"/>
      <c r="THF7" s="302"/>
      <c r="THG7" s="302"/>
      <c r="THH7" s="302"/>
      <c r="THI7" s="302"/>
      <c r="THJ7" s="302"/>
      <c r="THK7" s="302"/>
      <c r="THL7" s="302"/>
      <c r="THM7" s="302"/>
      <c r="THN7" s="302"/>
      <c r="THO7" s="302"/>
      <c r="THP7" s="302"/>
      <c r="THQ7" s="302"/>
      <c r="THR7" s="302"/>
      <c r="THS7" s="302"/>
      <c r="THT7" s="302"/>
      <c r="THU7" s="302"/>
      <c r="THV7" s="302"/>
      <c r="THW7" s="302"/>
      <c r="THX7" s="302"/>
      <c r="THY7" s="302"/>
      <c r="THZ7" s="302"/>
      <c r="TIA7" s="302"/>
      <c r="TIB7" s="302"/>
      <c r="TIC7" s="302"/>
      <c r="TID7" s="302"/>
      <c r="TIE7" s="302"/>
      <c r="TIF7" s="302"/>
      <c r="TIG7" s="302"/>
      <c r="TIH7" s="302"/>
      <c r="TII7" s="302"/>
      <c r="TIJ7" s="302"/>
      <c r="TIK7" s="302"/>
      <c r="TIL7" s="302"/>
      <c r="TIM7" s="302"/>
      <c r="TIN7" s="302"/>
      <c r="TIO7" s="302"/>
      <c r="TIP7" s="302"/>
      <c r="TIQ7" s="302"/>
      <c r="TIR7" s="302"/>
      <c r="TIS7" s="302"/>
      <c r="TIT7" s="302"/>
      <c r="TIU7" s="302"/>
      <c r="TIV7" s="302"/>
      <c r="TIW7" s="302"/>
      <c r="TIX7" s="302"/>
      <c r="TIY7" s="302"/>
      <c r="TIZ7" s="302"/>
      <c r="TJA7" s="302"/>
      <c r="TJB7" s="302"/>
      <c r="TJC7" s="302"/>
      <c r="TJD7" s="302"/>
      <c r="TJE7" s="302"/>
      <c r="TJF7" s="302"/>
      <c r="TJG7" s="302"/>
      <c r="TJH7" s="302"/>
      <c r="TJI7" s="302"/>
      <c r="TJJ7" s="302"/>
      <c r="TJK7" s="302"/>
      <c r="TJL7" s="302"/>
      <c r="TJM7" s="302"/>
      <c r="TJN7" s="302"/>
      <c r="TJO7" s="302"/>
      <c r="TJP7" s="302"/>
      <c r="TJQ7" s="302"/>
      <c r="TJR7" s="302"/>
      <c r="TJS7" s="302"/>
      <c r="TJT7" s="302"/>
      <c r="TJU7" s="302"/>
      <c r="TJV7" s="302"/>
      <c r="TJW7" s="302"/>
      <c r="TJX7" s="302"/>
      <c r="TJY7" s="302"/>
      <c r="TJZ7" s="302"/>
      <c r="TKA7" s="302"/>
      <c r="TKB7" s="302"/>
      <c r="TKC7" s="302"/>
      <c r="TKD7" s="302"/>
      <c r="TKE7" s="302"/>
      <c r="TKF7" s="302"/>
      <c r="TKG7" s="302"/>
      <c r="TKH7" s="302"/>
      <c r="TKI7" s="302"/>
      <c r="TKJ7" s="302"/>
      <c r="TKK7" s="302"/>
      <c r="TKL7" s="302"/>
      <c r="TKM7" s="302"/>
      <c r="TKN7" s="302"/>
      <c r="TKO7" s="302"/>
      <c r="TKP7" s="302"/>
      <c r="TKQ7" s="302"/>
      <c r="TKR7" s="302"/>
      <c r="TKS7" s="302"/>
      <c r="TKT7" s="302"/>
      <c r="TKU7" s="302"/>
      <c r="TKV7" s="302"/>
      <c r="TKW7" s="302"/>
      <c r="TKX7" s="302"/>
      <c r="TKY7" s="302"/>
      <c r="TKZ7" s="302"/>
      <c r="TLA7" s="302"/>
      <c r="TLB7" s="302"/>
      <c r="TLC7" s="302"/>
      <c r="TLD7" s="302"/>
      <c r="TLE7" s="302"/>
      <c r="TLF7" s="302"/>
      <c r="TLG7" s="302"/>
      <c r="TLH7" s="302"/>
      <c r="TLI7" s="302"/>
      <c r="TLJ7" s="302"/>
      <c r="TLK7" s="302"/>
      <c r="TLL7" s="302"/>
      <c r="TLM7" s="302"/>
      <c r="TLN7" s="302"/>
      <c r="TLO7" s="302"/>
      <c r="TLP7" s="302"/>
      <c r="TLQ7" s="302"/>
      <c r="TLR7" s="302"/>
      <c r="TLS7" s="302"/>
      <c r="TLT7" s="302"/>
      <c r="TLU7" s="302"/>
      <c r="TLV7" s="302"/>
      <c r="TLW7" s="302"/>
      <c r="TLX7" s="302"/>
      <c r="TLY7" s="302"/>
      <c r="TLZ7" s="302"/>
      <c r="TMA7" s="302"/>
      <c r="TMB7" s="302"/>
      <c r="TMC7" s="302"/>
      <c r="TMD7" s="302"/>
      <c r="TME7" s="302"/>
      <c r="TMF7" s="302"/>
      <c r="TMG7" s="302"/>
      <c r="TMH7" s="302"/>
      <c r="TMI7" s="302"/>
      <c r="TMJ7" s="302"/>
      <c r="TMK7" s="302"/>
      <c r="TML7" s="302"/>
      <c r="TMM7" s="302"/>
      <c r="TMN7" s="302"/>
      <c r="TMO7" s="302"/>
      <c r="TMP7" s="302"/>
      <c r="TMQ7" s="302"/>
      <c r="TMR7" s="302"/>
      <c r="TMS7" s="302"/>
      <c r="TMT7" s="302"/>
      <c r="TMU7" s="302"/>
      <c r="TMV7" s="302"/>
      <c r="TMW7" s="302"/>
      <c r="TMX7" s="302"/>
      <c r="TMY7" s="302"/>
      <c r="TMZ7" s="302"/>
      <c r="TNA7" s="302"/>
      <c r="TNB7" s="302"/>
      <c r="TNC7" s="302"/>
      <c r="TND7" s="302"/>
      <c r="TNE7" s="302"/>
      <c r="TNF7" s="302"/>
      <c r="TNG7" s="302"/>
      <c r="TNH7" s="302"/>
      <c r="TNI7" s="302"/>
      <c r="TNJ7" s="302"/>
      <c r="TNK7" s="302"/>
      <c r="TNL7" s="302"/>
      <c r="TNM7" s="302"/>
      <c r="TNN7" s="302"/>
      <c r="TNO7" s="302"/>
      <c r="TNP7" s="302"/>
      <c r="TNQ7" s="302"/>
      <c r="TNR7" s="302"/>
      <c r="TNS7" s="302"/>
      <c r="TNT7" s="302"/>
      <c r="TNU7" s="302"/>
      <c r="TNV7" s="302"/>
      <c r="TNW7" s="302"/>
      <c r="TNX7" s="302"/>
      <c r="TNY7" s="302"/>
      <c r="TNZ7" s="302"/>
      <c r="TOA7" s="302"/>
      <c r="TOB7" s="302"/>
      <c r="TOC7" s="302"/>
      <c r="TOD7" s="302"/>
      <c r="TOE7" s="302"/>
      <c r="TOF7" s="302"/>
      <c r="TOG7" s="302"/>
      <c r="TOH7" s="302"/>
      <c r="TOI7" s="302"/>
      <c r="TOJ7" s="302"/>
      <c r="TOK7" s="302"/>
      <c r="TOL7" s="302"/>
      <c r="TOM7" s="302"/>
      <c r="TON7" s="302"/>
      <c r="TOO7" s="302"/>
      <c r="TOP7" s="302"/>
      <c r="TOQ7" s="302"/>
      <c r="TOR7" s="302"/>
      <c r="TOS7" s="302"/>
      <c r="TOT7" s="302"/>
      <c r="TOU7" s="302"/>
      <c r="TOV7" s="302"/>
      <c r="TOW7" s="302"/>
      <c r="TOX7" s="302"/>
      <c r="TOY7" s="302"/>
      <c r="TOZ7" s="302"/>
      <c r="TPA7" s="302"/>
      <c r="TPB7" s="302"/>
      <c r="TPC7" s="302"/>
      <c r="TPD7" s="302"/>
      <c r="TPE7" s="302"/>
      <c r="TPF7" s="302"/>
      <c r="TPG7" s="302"/>
      <c r="TPH7" s="302"/>
      <c r="TPI7" s="302"/>
      <c r="TPJ7" s="302"/>
      <c r="TPK7" s="302"/>
      <c r="TPL7" s="302"/>
      <c r="TPM7" s="302"/>
      <c r="TPN7" s="302"/>
      <c r="TPO7" s="302"/>
      <c r="TPP7" s="302"/>
      <c r="TPQ7" s="302"/>
      <c r="TPR7" s="302"/>
      <c r="TPS7" s="302"/>
      <c r="TPT7" s="302"/>
      <c r="TPU7" s="302"/>
      <c r="TPV7" s="302"/>
      <c r="TPW7" s="302"/>
      <c r="TPX7" s="302"/>
      <c r="TPY7" s="302"/>
      <c r="TPZ7" s="302"/>
      <c r="TQA7" s="302"/>
      <c r="TQB7" s="302"/>
      <c r="TQC7" s="302"/>
      <c r="TQD7" s="302"/>
      <c r="TQE7" s="302"/>
      <c r="TQF7" s="302"/>
      <c r="TQG7" s="302"/>
      <c r="TQH7" s="302"/>
      <c r="TQI7" s="302"/>
      <c r="TQJ7" s="302"/>
      <c r="TQK7" s="302"/>
      <c r="TQL7" s="302"/>
      <c r="TQM7" s="302"/>
      <c r="TQN7" s="302"/>
      <c r="TQO7" s="302"/>
      <c r="TQP7" s="302"/>
      <c r="TQQ7" s="302"/>
      <c r="TQR7" s="302"/>
      <c r="TQS7" s="302"/>
      <c r="TQT7" s="302"/>
      <c r="TQU7" s="302"/>
      <c r="TQV7" s="302"/>
      <c r="TQW7" s="302"/>
      <c r="TQX7" s="302"/>
      <c r="TQY7" s="302"/>
      <c r="TQZ7" s="302"/>
      <c r="TRA7" s="302"/>
      <c r="TRB7" s="302"/>
      <c r="TRC7" s="302"/>
      <c r="TRD7" s="302"/>
      <c r="TRE7" s="302"/>
      <c r="TRF7" s="302"/>
      <c r="TRG7" s="302"/>
      <c r="TRH7" s="302"/>
      <c r="TRI7" s="302"/>
      <c r="TRJ7" s="302"/>
      <c r="TRK7" s="302"/>
      <c r="TRL7" s="302"/>
      <c r="TRM7" s="302"/>
      <c r="TRN7" s="302"/>
      <c r="TRO7" s="302"/>
      <c r="TRP7" s="302"/>
      <c r="TRQ7" s="302"/>
      <c r="TRR7" s="302"/>
      <c r="TRS7" s="302"/>
      <c r="TRT7" s="302"/>
      <c r="TRU7" s="302"/>
      <c r="TRV7" s="302"/>
      <c r="TRW7" s="302"/>
      <c r="TRX7" s="302"/>
      <c r="TRY7" s="302"/>
      <c r="TRZ7" s="302"/>
      <c r="TSA7" s="302"/>
      <c r="TSB7" s="302"/>
      <c r="TSC7" s="302"/>
      <c r="TSD7" s="302"/>
      <c r="TSE7" s="302"/>
      <c r="TSF7" s="302"/>
      <c r="TSG7" s="302"/>
      <c r="TSH7" s="302"/>
      <c r="TSI7" s="302"/>
      <c r="TSJ7" s="302"/>
      <c r="TSK7" s="302"/>
      <c r="TSL7" s="302"/>
      <c r="TSM7" s="302"/>
      <c r="TSN7" s="302"/>
      <c r="TSO7" s="302"/>
      <c r="TSP7" s="302"/>
      <c r="TSQ7" s="302"/>
      <c r="TSR7" s="302"/>
      <c r="TSS7" s="302"/>
      <c r="TST7" s="302"/>
      <c r="TSU7" s="302"/>
      <c r="TSV7" s="302"/>
      <c r="TSW7" s="302"/>
      <c r="TSX7" s="302"/>
      <c r="TSY7" s="302"/>
      <c r="TSZ7" s="302"/>
      <c r="TTA7" s="302"/>
      <c r="TTB7" s="302"/>
      <c r="TTC7" s="302"/>
      <c r="TTD7" s="302"/>
      <c r="TTE7" s="302"/>
      <c r="TTF7" s="302"/>
      <c r="TTG7" s="302"/>
      <c r="TTH7" s="302"/>
      <c r="TTI7" s="302"/>
      <c r="TTJ7" s="302"/>
      <c r="TTK7" s="302"/>
      <c r="TTL7" s="302"/>
      <c r="TTM7" s="302"/>
      <c r="TTN7" s="302"/>
      <c r="TTO7" s="302"/>
      <c r="TTP7" s="302"/>
      <c r="TTQ7" s="302"/>
      <c r="TTR7" s="302"/>
      <c r="TTS7" s="302"/>
      <c r="TTT7" s="302"/>
      <c r="TTU7" s="302"/>
      <c r="TTV7" s="302"/>
      <c r="TTW7" s="302"/>
      <c r="TTX7" s="302"/>
      <c r="TTY7" s="302"/>
      <c r="TTZ7" s="302"/>
      <c r="TUA7" s="302"/>
      <c r="TUB7" s="302"/>
      <c r="TUC7" s="302"/>
      <c r="TUD7" s="302"/>
      <c r="TUE7" s="302"/>
      <c r="TUF7" s="302"/>
      <c r="TUG7" s="302"/>
      <c r="TUH7" s="302"/>
      <c r="TUI7" s="302"/>
      <c r="TUJ7" s="302"/>
      <c r="TUK7" s="302"/>
      <c r="TUL7" s="302"/>
      <c r="TUM7" s="302"/>
      <c r="TUN7" s="302"/>
      <c r="TUO7" s="302"/>
      <c r="TUP7" s="302"/>
      <c r="TUQ7" s="302"/>
      <c r="TUR7" s="302"/>
      <c r="TUS7" s="302"/>
      <c r="TUT7" s="302"/>
      <c r="TUU7" s="302"/>
      <c r="TUV7" s="302"/>
      <c r="TUW7" s="302"/>
      <c r="TUX7" s="302"/>
      <c r="TUY7" s="302"/>
      <c r="TUZ7" s="302"/>
      <c r="TVA7" s="302"/>
      <c r="TVB7" s="302"/>
      <c r="TVC7" s="302"/>
      <c r="TVD7" s="302"/>
      <c r="TVE7" s="302"/>
      <c r="TVF7" s="302"/>
      <c r="TVG7" s="302"/>
      <c r="TVH7" s="302"/>
      <c r="TVI7" s="302"/>
      <c r="TVJ7" s="302"/>
      <c r="TVK7" s="302"/>
      <c r="TVL7" s="302"/>
      <c r="TVM7" s="302"/>
      <c r="TVN7" s="302"/>
      <c r="TVO7" s="302"/>
      <c r="TVP7" s="302"/>
      <c r="TVQ7" s="302"/>
      <c r="TVR7" s="302"/>
      <c r="TVS7" s="302"/>
      <c r="TVT7" s="302"/>
      <c r="TVU7" s="302"/>
      <c r="TVV7" s="302"/>
      <c r="TVW7" s="302"/>
      <c r="TVX7" s="302"/>
      <c r="TVY7" s="302"/>
      <c r="TVZ7" s="302"/>
      <c r="TWA7" s="302"/>
      <c r="TWB7" s="302"/>
      <c r="TWC7" s="302"/>
      <c r="TWD7" s="302"/>
      <c r="TWE7" s="302"/>
      <c r="TWF7" s="302"/>
      <c r="TWG7" s="302"/>
      <c r="TWH7" s="302"/>
      <c r="TWI7" s="302"/>
      <c r="TWJ7" s="302"/>
      <c r="TWK7" s="302"/>
      <c r="TWL7" s="302"/>
      <c r="TWM7" s="302"/>
      <c r="TWN7" s="302"/>
      <c r="TWO7" s="302"/>
      <c r="TWP7" s="302"/>
      <c r="TWQ7" s="302"/>
      <c r="TWR7" s="302"/>
      <c r="TWS7" s="302"/>
      <c r="TWT7" s="302"/>
      <c r="TWU7" s="302"/>
      <c r="TWV7" s="302"/>
      <c r="TWW7" s="302"/>
      <c r="TWX7" s="302"/>
      <c r="TWY7" s="302"/>
      <c r="TWZ7" s="302"/>
      <c r="TXA7" s="302"/>
      <c r="TXB7" s="302"/>
      <c r="TXC7" s="302"/>
      <c r="TXD7" s="302"/>
      <c r="TXE7" s="302"/>
      <c r="TXF7" s="302"/>
      <c r="TXG7" s="302"/>
      <c r="TXH7" s="302"/>
      <c r="TXI7" s="302"/>
      <c r="TXJ7" s="302"/>
      <c r="TXK7" s="302"/>
      <c r="TXL7" s="302"/>
      <c r="TXM7" s="302"/>
      <c r="TXN7" s="302"/>
      <c r="TXO7" s="302"/>
      <c r="TXP7" s="302"/>
      <c r="TXQ7" s="302"/>
      <c r="TXR7" s="302"/>
      <c r="TXS7" s="302"/>
      <c r="TXT7" s="302"/>
      <c r="TXU7" s="302"/>
      <c r="TXV7" s="302"/>
      <c r="TXW7" s="302"/>
      <c r="TXX7" s="302"/>
      <c r="TXY7" s="302"/>
      <c r="TXZ7" s="302"/>
      <c r="TYA7" s="302"/>
      <c r="TYB7" s="302"/>
      <c r="TYC7" s="302"/>
      <c r="TYD7" s="302"/>
      <c r="TYE7" s="302"/>
      <c r="TYF7" s="302"/>
      <c r="TYG7" s="302"/>
      <c r="TYH7" s="302"/>
      <c r="TYI7" s="302"/>
      <c r="TYJ7" s="302"/>
      <c r="TYK7" s="302"/>
      <c r="TYL7" s="302"/>
      <c r="TYM7" s="302"/>
      <c r="TYN7" s="302"/>
      <c r="TYO7" s="302"/>
      <c r="TYP7" s="302"/>
      <c r="TYQ7" s="302"/>
      <c r="TYR7" s="302"/>
      <c r="TYS7" s="302"/>
      <c r="TYT7" s="302"/>
      <c r="TYU7" s="302"/>
      <c r="TYV7" s="302"/>
      <c r="TYW7" s="302"/>
      <c r="TYX7" s="302"/>
      <c r="TYY7" s="302"/>
      <c r="TYZ7" s="302"/>
      <c r="TZA7" s="302"/>
      <c r="TZB7" s="302"/>
      <c r="TZC7" s="302"/>
      <c r="TZD7" s="302"/>
      <c r="TZE7" s="302"/>
      <c r="TZF7" s="302"/>
      <c r="TZG7" s="302"/>
      <c r="TZH7" s="302"/>
      <c r="TZI7" s="302"/>
      <c r="TZJ7" s="302"/>
      <c r="TZK7" s="302"/>
      <c r="TZL7" s="302"/>
      <c r="TZM7" s="302"/>
      <c r="TZN7" s="302"/>
      <c r="TZO7" s="302"/>
      <c r="TZP7" s="302"/>
      <c r="TZQ7" s="302"/>
      <c r="TZR7" s="302"/>
      <c r="TZS7" s="302"/>
      <c r="TZT7" s="302"/>
      <c r="TZU7" s="302"/>
      <c r="TZV7" s="302"/>
      <c r="TZW7" s="302"/>
      <c r="TZX7" s="302"/>
      <c r="TZY7" s="302"/>
      <c r="TZZ7" s="302"/>
      <c r="UAA7" s="302"/>
      <c r="UAB7" s="302"/>
      <c r="UAC7" s="302"/>
      <c r="UAD7" s="302"/>
      <c r="UAE7" s="302"/>
      <c r="UAF7" s="302"/>
      <c r="UAG7" s="302"/>
      <c r="UAH7" s="302"/>
      <c r="UAI7" s="302"/>
      <c r="UAJ7" s="302"/>
      <c r="UAK7" s="302"/>
      <c r="UAL7" s="302"/>
      <c r="UAM7" s="302"/>
      <c r="UAN7" s="302"/>
      <c r="UAO7" s="302"/>
      <c r="UAP7" s="302"/>
      <c r="UAQ7" s="302"/>
      <c r="UAR7" s="302"/>
      <c r="UAS7" s="302"/>
      <c r="UAT7" s="302"/>
      <c r="UAU7" s="302"/>
      <c r="UAV7" s="302"/>
      <c r="UAW7" s="302"/>
      <c r="UAX7" s="302"/>
      <c r="UAY7" s="302"/>
      <c r="UAZ7" s="302"/>
      <c r="UBA7" s="302"/>
      <c r="UBB7" s="302"/>
      <c r="UBC7" s="302"/>
      <c r="UBD7" s="302"/>
      <c r="UBE7" s="302"/>
      <c r="UBF7" s="302"/>
      <c r="UBG7" s="302"/>
      <c r="UBH7" s="302"/>
      <c r="UBI7" s="302"/>
      <c r="UBJ7" s="302"/>
      <c r="UBK7" s="302"/>
      <c r="UBL7" s="302"/>
      <c r="UBM7" s="302"/>
      <c r="UBN7" s="302"/>
      <c r="UBO7" s="302"/>
      <c r="UBP7" s="302"/>
      <c r="UBQ7" s="302"/>
      <c r="UBR7" s="302"/>
      <c r="UBS7" s="302"/>
      <c r="UBT7" s="302"/>
      <c r="UBU7" s="302"/>
      <c r="UBV7" s="302"/>
      <c r="UBW7" s="302"/>
      <c r="UBX7" s="302"/>
      <c r="UBY7" s="302"/>
      <c r="UBZ7" s="302"/>
      <c r="UCA7" s="302"/>
      <c r="UCB7" s="302"/>
      <c r="UCC7" s="302"/>
      <c r="UCD7" s="302"/>
      <c r="UCE7" s="302"/>
      <c r="UCF7" s="302"/>
      <c r="UCG7" s="302"/>
      <c r="UCH7" s="302"/>
      <c r="UCI7" s="302"/>
      <c r="UCJ7" s="302"/>
      <c r="UCK7" s="302"/>
      <c r="UCL7" s="302"/>
      <c r="UCM7" s="302"/>
      <c r="UCN7" s="302"/>
      <c r="UCO7" s="302"/>
      <c r="UCP7" s="302"/>
      <c r="UCQ7" s="302"/>
      <c r="UCR7" s="302"/>
      <c r="UCS7" s="302"/>
      <c r="UCT7" s="302"/>
      <c r="UCU7" s="302"/>
      <c r="UCV7" s="302"/>
      <c r="UCW7" s="302"/>
      <c r="UCX7" s="302"/>
      <c r="UCY7" s="302"/>
      <c r="UCZ7" s="302"/>
      <c r="UDA7" s="302"/>
      <c r="UDB7" s="302"/>
      <c r="UDC7" s="302"/>
      <c r="UDD7" s="302"/>
      <c r="UDE7" s="302"/>
      <c r="UDF7" s="302"/>
      <c r="UDG7" s="302"/>
      <c r="UDH7" s="302"/>
      <c r="UDI7" s="302"/>
      <c r="UDJ7" s="302"/>
      <c r="UDK7" s="302"/>
      <c r="UDL7" s="302"/>
      <c r="UDM7" s="302"/>
      <c r="UDN7" s="302"/>
      <c r="UDO7" s="302"/>
      <c r="UDP7" s="302"/>
      <c r="UDQ7" s="302"/>
      <c r="UDR7" s="302"/>
      <c r="UDS7" s="302"/>
      <c r="UDT7" s="302"/>
      <c r="UDU7" s="302"/>
      <c r="UDV7" s="302"/>
      <c r="UDW7" s="302"/>
      <c r="UDX7" s="302"/>
      <c r="UDY7" s="302"/>
      <c r="UDZ7" s="302"/>
      <c r="UEA7" s="302"/>
      <c r="UEB7" s="302"/>
      <c r="UEC7" s="302"/>
      <c r="UED7" s="302"/>
      <c r="UEE7" s="302"/>
      <c r="UEF7" s="302"/>
      <c r="UEG7" s="302"/>
      <c r="UEH7" s="302"/>
      <c r="UEI7" s="302"/>
      <c r="UEJ7" s="302"/>
      <c r="UEK7" s="302"/>
      <c r="UEL7" s="302"/>
      <c r="UEM7" s="302"/>
      <c r="UEN7" s="302"/>
      <c r="UEO7" s="302"/>
      <c r="UEP7" s="302"/>
      <c r="UEQ7" s="302"/>
      <c r="UER7" s="302"/>
      <c r="UES7" s="302"/>
      <c r="UET7" s="302"/>
      <c r="UEU7" s="302"/>
      <c r="UEV7" s="302"/>
      <c r="UEW7" s="302"/>
      <c r="UEX7" s="302"/>
      <c r="UEY7" s="302"/>
      <c r="UEZ7" s="302"/>
      <c r="UFA7" s="302"/>
      <c r="UFB7" s="302"/>
      <c r="UFC7" s="302"/>
      <c r="UFD7" s="302"/>
      <c r="UFE7" s="302"/>
      <c r="UFF7" s="302"/>
      <c r="UFG7" s="302"/>
      <c r="UFH7" s="302"/>
      <c r="UFI7" s="302"/>
      <c r="UFJ7" s="302"/>
      <c r="UFK7" s="302"/>
      <c r="UFL7" s="302"/>
      <c r="UFM7" s="302"/>
      <c r="UFN7" s="302"/>
      <c r="UFO7" s="302"/>
      <c r="UFP7" s="302"/>
      <c r="UFQ7" s="302"/>
      <c r="UFR7" s="302"/>
      <c r="UFS7" s="302"/>
      <c r="UFT7" s="302"/>
      <c r="UFU7" s="302"/>
      <c r="UFV7" s="302"/>
      <c r="UFW7" s="302"/>
      <c r="UFX7" s="302"/>
      <c r="UFY7" s="302"/>
      <c r="UFZ7" s="302"/>
      <c r="UGA7" s="302"/>
      <c r="UGB7" s="302"/>
      <c r="UGC7" s="302"/>
      <c r="UGD7" s="302"/>
      <c r="UGE7" s="302"/>
      <c r="UGF7" s="302"/>
      <c r="UGG7" s="302"/>
      <c r="UGH7" s="302"/>
      <c r="UGI7" s="302"/>
      <c r="UGJ7" s="302"/>
      <c r="UGK7" s="302"/>
      <c r="UGL7" s="302"/>
      <c r="UGM7" s="302"/>
      <c r="UGN7" s="302"/>
      <c r="UGO7" s="302"/>
      <c r="UGP7" s="302"/>
      <c r="UGQ7" s="302"/>
      <c r="UGR7" s="302"/>
      <c r="UGS7" s="302"/>
      <c r="UGT7" s="302"/>
      <c r="UGU7" s="302"/>
      <c r="UGV7" s="302"/>
      <c r="UGW7" s="302"/>
      <c r="UGX7" s="302"/>
      <c r="UGY7" s="302"/>
      <c r="UGZ7" s="302"/>
      <c r="UHA7" s="302"/>
      <c r="UHB7" s="302"/>
      <c r="UHC7" s="302"/>
      <c r="UHD7" s="302"/>
      <c r="UHE7" s="302"/>
      <c r="UHF7" s="302"/>
      <c r="UHG7" s="302"/>
      <c r="UHH7" s="302"/>
      <c r="UHI7" s="302"/>
      <c r="UHJ7" s="302"/>
      <c r="UHK7" s="302"/>
      <c r="UHL7" s="302"/>
      <c r="UHM7" s="302"/>
      <c r="UHN7" s="302"/>
      <c r="UHO7" s="302"/>
      <c r="UHP7" s="302"/>
      <c r="UHQ7" s="302"/>
      <c r="UHR7" s="302"/>
      <c r="UHS7" s="302"/>
      <c r="UHT7" s="302"/>
      <c r="UHU7" s="302"/>
      <c r="UHV7" s="302"/>
      <c r="UHW7" s="302"/>
      <c r="UHX7" s="302"/>
      <c r="UHY7" s="302"/>
      <c r="UHZ7" s="302"/>
      <c r="UIA7" s="302"/>
      <c r="UIB7" s="302"/>
      <c r="UIC7" s="302"/>
      <c r="UID7" s="302"/>
      <c r="UIE7" s="302"/>
      <c r="UIF7" s="302"/>
      <c r="UIG7" s="302"/>
      <c r="UIH7" s="302"/>
      <c r="UII7" s="302"/>
      <c r="UIJ7" s="302"/>
      <c r="UIK7" s="302"/>
      <c r="UIL7" s="302"/>
      <c r="UIM7" s="302"/>
      <c r="UIN7" s="302"/>
      <c r="UIO7" s="302"/>
      <c r="UIP7" s="302"/>
      <c r="UIQ7" s="302"/>
      <c r="UIR7" s="302"/>
      <c r="UIS7" s="302"/>
      <c r="UIT7" s="302"/>
      <c r="UIU7" s="302"/>
      <c r="UIV7" s="302"/>
      <c r="UIW7" s="302"/>
      <c r="UIX7" s="302"/>
      <c r="UIY7" s="302"/>
      <c r="UIZ7" s="302"/>
      <c r="UJA7" s="302"/>
      <c r="UJB7" s="302"/>
      <c r="UJC7" s="302"/>
      <c r="UJD7" s="302"/>
      <c r="UJE7" s="302"/>
      <c r="UJF7" s="302"/>
      <c r="UJG7" s="302"/>
      <c r="UJH7" s="302"/>
      <c r="UJI7" s="302"/>
      <c r="UJJ7" s="302"/>
      <c r="UJK7" s="302"/>
      <c r="UJL7" s="302"/>
      <c r="UJM7" s="302"/>
      <c r="UJN7" s="302"/>
      <c r="UJO7" s="302"/>
      <c r="UJP7" s="302"/>
      <c r="UJQ7" s="302"/>
      <c r="UJR7" s="302"/>
      <c r="UJS7" s="302"/>
      <c r="UJT7" s="302"/>
      <c r="UJU7" s="302"/>
      <c r="UJV7" s="302"/>
      <c r="UJW7" s="302"/>
      <c r="UJX7" s="302"/>
      <c r="UJY7" s="302"/>
      <c r="UJZ7" s="302"/>
      <c r="UKA7" s="302"/>
      <c r="UKB7" s="302"/>
      <c r="UKC7" s="302"/>
      <c r="UKD7" s="302"/>
      <c r="UKE7" s="302"/>
      <c r="UKF7" s="302"/>
      <c r="UKG7" s="302"/>
      <c r="UKH7" s="302"/>
      <c r="UKI7" s="302"/>
      <c r="UKJ7" s="302"/>
      <c r="UKK7" s="302"/>
      <c r="UKL7" s="302"/>
      <c r="UKM7" s="302"/>
      <c r="UKN7" s="302"/>
      <c r="UKO7" s="302"/>
      <c r="UKP7" s="302"/>
      <c r="UKQ7" s="302"/>
      <c r="UKR7" s="302"/>
      <c r="UKS7" s="302"/>
      <c r="UKT7" s="302"/>
      <c r="UKU7" s="302"/>
      <c r="UKV7" s="302"/>
      <c r="UKW7" s="302"/>
      <c r="UKX7" s="302"/>
      <c r="UKY7" s="302"/>
      <c r="UKZ7" s="302"/>
      <c r="ULA7" s="302"/>
      <c r="ULB7" s="302"/>
      <c r="ULC7" s="302"/>
      <c r="ULD7" s="302"/>
      <c r="ULE7" s="302"/>
      <c r="ULF7" s="302"/>
      <c r="ULG7" s="302"/>
      <c r="ULH7" s="302"/>
      <c r="ULI7" s="302"/>
      <c r="ULJ7" s="302"/>
      <c r="ULK7" s="302"/>
      <c r="ULL7" s="302"/>
      <c r="ULM7" s="302"/>
      <c r="ULN7" s="302"/>
      <c r="ULO7" s="302"/>
      <c r="ULP7" s="302"/>
      <c r="ULQ7" s="302"/>
      <c r="ULR7" s="302"/>
      <c r="ULS7" s="302"/>
      <c r="ULT7" s="302"/>
      <c r="ULU7" s="302"/>
      <c r="ULV7" s="302"/>
      <c r="ULW7" s="302"/>
      <c r="ULX7" s="302"/>
      <c r="ULY7" s="302"/>
      <c r="ULZ7" s="302"/>
      <c r="UMA7" s="302"/>
      <c r="UMB7" s="302"/>
      <c r="UMC7" s="302"/>
      <c r="UMD7" s="302"/>
      <c r="UME7" s="302"/>
      <c r="UMF7" s="302"/>
      <c r="UMG7" s="302"/>
      <c r="UMH7" s="302"/>
      <c r="UMI7" s="302"/>
      <c r="UMJ7" s="302"/>
      <c r="UMK7" s="302"/>
      <c r="UML7" s="302"/>
      <c r="UMM7" s="302"/>
      <c r="UMN7" s="302"/>
      <c r="UMO7" s="302"/>
      <c r="UMP7" s="302"/>
      <c r="UMQ7" s="302"/>
      <c r="UMR7" s="302"/>
      <c r="UMS7" s="302"/>
      <c r="UMT7" s="302"/>
      <c r="UMU7" s="302"/>
      <c r="UMV7" s="302"/>
      <c r="UMW7" s="302"/>
      <c r="UMX7" s="302"/>
      <c r="UMY7" s="302"/>
      <c r="UMZ7" s="302"/>
      <c r="UNA7" s="302"/>
      <c r="UNB7" s="302"/>
      <c r="UNC7" s="302"/>
      <c r="UND7" s="302"/>
      <c r="UNE7" s="302"/>
      <c r="UNF7" s="302"/>
      <c r="UNG7" s="302"/>
      <c r="UNH7" s="302"/>
      <c r="UNI7" s="302"/>
      <c r="UNJ7" s="302"/>
      <c r="UNK7" s="302"/>
      <c r="UNL7" s="302"/>
      <c r="UNM7" s="302"/>
      <c r="UNN7" s="302"/>
      <c r="UNO7" s="302"/>
      <c r="UNP7" s="302"/>
      <c r="UNQ7" s="302"/>
      <c r="UNR7" s="302"/>
      <c r="UNS7" s="302"/>
      <c r="UNT7" s="302"/>
      <c r="UNU7" s="302"/>
      <c r="UNV7" s="302"/>
      <c r="UNW7" s="302"/>
      <c r="UNX7" s="302"/>
      <c r="UNY7" s="302"/>
      <c r="UNZ7" s="302"/>
      <c r="UOA7" s="302"/>
      <c r="UOB7" s="302"/>
      <c r="UOC7" s="302"/>
      <c r="UOD7" s="302"/>
      <c r="UOE7" s="302"/>
      <c r="UOF7" s="302"/>
      <c r="UOG7" s="302"/>
      <c r="UOH7" s="302"/>
      <c r="UOI7" s="302"/>
      <c r="UOJ7" s="302"/>
      <c r="UOK7" s="302"/>
      <c r="UOL7" s="302"/>
      <c r="UOM7" s="302"/>
      <c r="UON7" s="302"/>
      <c r="UOO7" s="302"/>
      <c r="UOP7" s="302"/>
      <c r="UOQ7" s="302"/>
      <c r="UOR7" s="302"/>
      <c r="UOS7" s="302"/>
      <c r="UOT7" s="302"/>
      <c r="UOU7" s="302"/>
      <c r="UOV7" s="302"/>
      <c r="UOW7" s="302"/>
      <c r="UOX7" s="302"/>
      <c r="UOY7" s="302"/>
      <c r="UOZ7" s="302"/>
      <c r="UPA7" s="302"/>
      <c r="UPB7" s="302"/>
      <c r="UPC7" s="302"/>
      <c r="UPD7" s="302"/>
      <c r="UPE7" s="302"/>
      <c r="UPF7" s="302"/>
      <c r="UPG7" s="302"/>
      <c r="UPH7" s="302"/>
      <c r="UPI7" s="302"/>
      <c r="UPJ7" s="302"/>
      <c r="UPK7" s="302"/>
      <c r="UPL7" s="302"/>
      <c r="UPM7" s="302"/>
      <c r="UPN7" s="302"/>
      <c r="UPO7" s="302"/>
      <c r="UPP7" s="302"/>
      <c r="UPQ7" s="302"/>
      <c r="UPR7" s="302"/>
      <c r="UPS7" s="302"/>
      <c r="UPT7" s="302"/>
      <c r="UPU7" s="302"/>
      <c r="UPV7" s="302"/>
      <c r="UPW7" s="302"/>
      <c r="UPX7" s="302"/>
      <c r="UPY7" s="302"/>
      <c r="UPZ7" s="302"/>
      <c r="UQA7" s="302"/>
      <c r="UQB7" s="302"/>
      <c r="UQC7" s="302"/>
      <c r="UQD7" s="302"/>
      <c r="UQE7" s="302"/>
      <c r="UQF7" s="302"/>
      <c r="UQG7" s="302"/>
      <c r="UQH7" s="302"/>
      <c r="UQI7" s="302"/>
      <c r="UQJ7" s="302"/>
      <c r="UQK7" s="302"/>
      <c r="UQL7" s="302"/>
      <c r="UQM7" s="302"/>
      <c r="UQN7" s="302"/>
      <c r="UQO7" s="302"/>
      <c r="UQP7" s="302"/>
      <c r="UQQ7" s="302"/>
      <c r="UQR7" s="302"/>
      <c r="UQS7" s="302"/>
      <c r="UQT7" s="302"/>
      <c r="UQU7" s="302"/>
      <c r="UQV7" s="302"/>
      <c r="UQW7" s="302"/>
      <c r="UQX7" s="302"/>
      <c r="UQY7" s="302"/>
      <c r="UQZ7" s="302"/>
      <c r="URA7" s="302"/>
      <c r="URB7" s="302"/>
      <c r="URC7" s="302"/>
      <c r="URD7" s="302"/>
      <c r="URE7" s="302"/>
      <c r="URF7" s="302"/>
      <c r="URG7" s="302"/>
      <c r="URH7" s="302"/>
      <c r="URI7" s="302"/>
      <c r="URJ7" s="302"/>
      <c r="URK7" s="302"/>
      <c r="URL7" s="302"/>
      <c r="URM7" s="302"/>
      <c r="URN7" s="302"/>
      <c r="URO7" s="302"/>
      <c r="URP7" s="302"/>
      <c r="URQ7" s="302"/>
      <c r="URR7" s="302"/>
      <c r="URS7" s="302"/>
      <c r="URT7" s="302"/>
      <c r="URU7" s="302"/>
      <c r="URV7" s="302"/>
      <c r="URW7" s="302"/>
      <c r="URX7" s="302"/>
      <c r="URY7" s="302"/>
      <c r="URZ7" s="302"/>
      <c r="USA7" s="302"/>
      <c r="USB7" s="302"/>
      <c r="USC7" s="302"/>
      <c r="USD7" s="302"/>
      <c r="USE7" s="302"/>
      <c r="USF7" s="302"/>
      <c r="USG7" s="302"/>
      <c r="USH7" s="302"/>
      <c r="USI7" s="302"/>
      <c r="USJ7" s="302"/>
      <c r="USK7" s="302"/>
      <c r="USL7" s="302"/>
      <c r="USM7" s="302"/>
      <c r="USN7" s="302"/>
      <c r="USO7" s="302"/>
      <c r="USP7" s="302"/>
      <c r="USQ7" s="302"/>
      <c r="USR7" s="302"/>
      <c r="USS7" s="302"/>
      <c r="UST7" s="302"/>
      <c r="USU7" s="302"/>
      <c r="USV7" s="302"/>
      <c r="USW7" s="302"/>
      <c r="USX7" s="302"/>
      <c r="USY7" s="302"/>
      <c r="USZ7" s="302"/>
      <c r="UTA7" s="302"/>
      <c r="UTB7" s="302"/>
      <c r="UTC7" s="302"/>
      <c r="UTD7" s="302"/>
      <c r="UTE7" s="302"/>
      <c r="UTF7" s="302"/>
      <c r="UTG7" s="302"/>
      <c r="UTH7" s="302"/>
      <c r="UTI7" s="302"/>
      <c r="UTJ7" s="302"/>
      <c r="UTK7" s="302"/>
      <c r="UTL7" s="302"/>
      <c r="UTM7" s="302"/>
      <c r="UTN7" s="302"/>
      <c r="UTO7" s="302"/>
      <c r="UTP7" s="302"/>
      <c r="UTQ7" s="302"/>
      <c r="UTR7" s="302"/>
      <c r="UTS7" s="302"/>
      <c r="UTT7" s="302"/>
      <c r="UTU7" s="302"/>
      <c r="UTV7" s="302"/>
      <c r="UTW7" s="302"/>
      <c r="UTX7" s="302"/>
      <c r="UTY7" s="302"/>
      <c r="UTZ7" s="302"/>
      <c r="UUA7" s="302"/>
      <c r="UUB7" s="302"/>
      <c r="UUC7" s="302"/>
      <c r="UUD7" s="302"/>
      <c r="UUE7" s="302"/>
      <c r="UUF7" s="302"/>
      <c r="UUG7" s="302"/>
      <c r="UUH7" s="302"/>
      <c r="UUI7" s="302"/>
      <c r="UUJ7" s="302"/>
      <c r="UUK7" s="302"/>
      <c r="UUL7" s="302"/>
      <c r="UUM7" s="302"/>
      <c r="UUN7" s="302"/>
      <c r="UUO7" s="302"/>
      <c r="UUP7" s="302"/>
      <c r="UUQ7" s="302"/>
      <c r="UUR7" s="302"/>
      <c r="UUS7" s="302"/>
      <c r="UUT7" s="302"/>
      <c r="UUU7" s="302"/>
      <c r="UUV7" s="302"/>
      <c r="UUW7" s="302"/>
      <c r="UUX7" s="302"/>
      <c r="UUY7" s="302"/>
      <c r="UUZ7" s="302"/>
      <c r="UVA7" s="302"/>
      <c r="UVB7" s="302"/>
      <c r="UVC7" s="302"/>
      <c r="UVD7" s="302"/>
      <c r="UVE7" s="302"/>
      <c r="UVF7" s="302"/>
      <c r="UVG7" s="302"/>
      <c r="UVH7" s="302"/>
      <c r="UVI7" s="302"/>
      <c r="UVJ7" s="302"/>
      <c r="UVK7" s="302"/>
      <c r="UVL7" s="302"/>
      <c r="UVM7" s="302"/>
      <c r="UVN7" s="302"/>
      <c r="UVO7" s="302"/>
      <c r="UVP7" s="302"/>
      <c r="UVQ7" s="302"/>
      <c r="UVR7" s="302"/>
      <c r="UVS7" s="302"/>
      <c r="UVT7" s="302"/>
      <c r="UVU7" s="302"/>
      <c r="UVV7" s="302"/>
      <c r="UVW7" s="302"/>
      <c r="UVX7" s="302"/>
      <c r="UVY7" s="302"/>
      <c r="UVZ7" s="302"/>
      <c r="UWA7" s="302"/>
      <c r="UWB7" s="302"/>
      <c r="UWC7" s="302"/>
      <c r="UWD7" s="302"/>
      <c r="UWE7" s="302"/>
      <c r="UWF7" s="302"/>
      <c r="UWG7" s="302"/>
      <c r="UWH7" s="302"/>
      <c r="UWI7" s="302"/>
      <c r="UWJ7" s="302"/>
      <c r="UWK7" s="302"/>
      <c r="UWL7" s="302"/>
      <c r="UWM7" s="302"/>
      <c r="UWN7" s="302"/>
      <c r="UWO7" s="302"/>
      <c r="UWP7" s="302"/>
      <c r="UWQ7" s="302"/>
      <c r="UWR7" s="302"/>
      <c r="UWS7" s="302"/>
      <c r="UWT7" s="302"/>
      <c r="UWU7" s="302"/>
      <c r="UWV7" s="302"/>
      <c r="UWW7" s="302"/>
      <c r="UWX7" s="302"/>
      <c r="UWY7" s="302"/>
      <c r="UWZ7" s="302"/>
      <c r="UXA7" s="302"/>
      <c r="UXB7" s="302"/>
      <c r="UXC7" s="302"/>
      <c r="UXD7" s="302"/>
      <c r="UXE7" s="302"/>
      <c r="UXF7" s="302"/>
      <c r="UXG7" s="302"/>
      <c r="UXH7" s="302"/>
      <c r="UXI7" s="302"/>
      <c r="UXJ7" s="302"/>
      <c r="UXK7" s="302"/>
      <c r="UXL7" s="302"/>
      <c r="UXM7" s="302"/>
      <c r="UXN7" s="302"/>
      <c r="UXO7" s="302"/>
      <c r="UXP7" s="302"/>
      <c r="UXQ7" s="302"/>
      <c r="UXR7" s="302"/>
      <c r="UXS7" s="302"/>
      <c r="UXT7" s="302"/>
      <c r="UXU7" s="302"/>
      <c r="UXV7" s="302"/>
      <c r="UXW7" s="302"/>
      <c r="UXX7" s="302"/>
      <c r="UXY7" s="302"/>
      <c r="UXZ7" s="302"/>
      <c r="UYA7" s="302"/>
      <c r="UYB7" s="302"/>
      <c r="UYC7" s="302"/>
      <c r="UYD7" s="302"/>
      <c r="UYE7" s="302"/>
      <c r="UYF7" s="302"/>
      <c r="UYG7" s="302"/>
      <c r="UYH7" s="302"/>
      <c r="UYI7" s="302"/>
      <c r="UYJ7" s="302"/>
      <c r="UYK7" s="302"/>
      <c r="UYL7" s="302"/>
      <c r="UYM7" s="302"/>
      <c r="UYN7" s="302"/>
      <c r="UYO7" s="302"/>
      <c r="UYP7" s="302"/>
      <c r="UYQ7" s="302"/>
      <c r="UYR7" s="302"/>
      <c r="UYS7" s="302"/>
      <c r="UYT7" s="302"/>
      <c r="UYU7" s="302"/>
      <c r="UYV7" s="302"/>
      <c r="UYW7" s="302"/>
      <c r="UYX7" s="302"/>
      <c r="UYY7" s="302"/>
      <c r="UYZ7" s="302"/>
      <c r="UZA7" s="302"/>
      <c r="UZB7" s="302"/>
      <c r="UZC7" s="302"/>
      <c r="UZD7" s="302"/>
      <c r="UZE7" s="302"/>
      <c r="UZF7" s="302"/>
      <c r="UZG7" s="302"/>
      <c r="UZH7" s="302"/>
      <c r="UZI7" s="302"/>
      <c r="UZJ7" s="302"/>
      <c r="UZK7" s="302"/>
      <c r="UZL7" s="302"/>
      <c r="UZM7" s="302"/>
      <c r="UZN7" s="302"/>
      <c r="UZO7" s="302"/>
      <c r="UZP7" s="302"/>
      <c r="UZQ7" s="302"/>
      <c r="UZR7" s="302"/>
      <c r="UZS7" s="302"/>
      <c r="UZT7" s="302"/>
      <c r="UZU7" s="302"/>
      <c r="UZV7" s="302"/>
      <c r="UZW7" s="302"/>
      <c r="UZX7" s="302"/>
      <c r="UZY7" s="302"/>
      <c r="UZZ7" s="302"/>
      <c r="VAA7" s="302"/>
      <c r="VAB7" s="302"/>
      <c r="VAC7" s="302"/>
      <c r="VAD7" s="302"/>
      <c r="VAE7" s="302"/>
      <c r="VAF7" s="302"/>
      <c r="VAG7" s="302"/>
      <c r="VAH7" s="302"/>
      <c r="VAI7" s="302"/>
      <c r="VAJ7" s="302"/>
      <c r="VAK7" s="302"/>
      <c r="VAL7" s="302"/>
      <c r="VAM7" s="302"/>
      <c r="VAN7" s="302"/>
      <c r="VAO7" s="302"/>
      <c r="VAP7" s="302"/>
      <c r="VAQ7" s="302"/>
      <c r="VAR7" s="302"/>
      <c r="VAS7" s="302"/>
      <c r="VAT7" s="302"/>
      <c r="VAU7" s="302"/>
      <c r="VAV7" s="302"/>
      <c r="VAW7" s="302"/>
      <c r="VAX7" s="302"/>
      <c r="VAY7" s="302"/>
      <c r="VAZ7" s="302"/>
      <c r="VBA7" s="302"/>
      <c r="VBB7" s="302"/>
      <c r="VBC7" s="302"/>
      <c r="VBD7" s="302"/>
      <c r="VBE7" s="302"/>
      <c r="VBF7" s="302"/>
      <c r="VBG7" s="302"/>
      <c r="VBH7" s="302"/>
      <c r="VBI7" s="302"/>
      <c r="VBJ7" s="302"/>
      <c r="VBK7" s="302"/>
      <c r="VBL7" s="302"/>
      <c r="VBM7" s="302"/>
      <c r="VBN7" s="302"/>
      <c r="VBO7" s="302"/>
      <c r="VBP7" s="302"/>
      <c r="VBQ7" s="302"/>
      <c r="VBR7" s="302"/>
      <c r="VBS7" s="302"/>
      <c r="VBT7" s="302"/>
      <c r="VBU7" s="302"/>
      <c r="VBV7" s="302"/>
      <c r="VBW7" s="302"/>
      <c r="VBX7" s="302"/>
      <c r="VBY7" s="302"/>
      <c r="VBZ7" s="302"/>
      <c r="VCA7" s="302"/>
      <c r="VCB7" s="302"/>
      <c r="VCC7" s="302"/>
      <c r="VCD7" s="302"/>
      <c r="VCE7" s="302"/>
      <c r="VCF7" s="302"/>
      <c r="VCG7" s="302"/>
      <c r="VCH7" s="302"/>
      <c r="VCI7" s="302"/>
      <c r="VCJ7" s="302"/>
      <c r="VCK7" s="302"/>
      <c r="VCL7" s="302"/>
      <c r="VCM7" s="302"/>
      <c r="VCN7" s="302"/>
      <c r="VCO7" s="302"/>
      <c r="VCP7" s="302"/>
      <c r="VCQ7" s="302"/>
      <c r="VCR7" s="302"/>
      <c r="VCS7" s="302"/>
      <c r="VCT7" s="302"/>
      <c r="VCU7" s="302"/>
      <c r="VCV7" s="302"/>
      <c r="VCW7" s="302"/>
      <c r="VCX7" s="302"/>
      <c r="VCY7" s="302"/>
      <c r="VCZ7" s="302"/>
      <c r="VDA7" s="302"/>
      <c r="VDB7" s="302"/>
      <c r="VDC7" s="302"/>
      <c r="VDD7" s="302"/>
      <c r="VDE7" s="302"/>
      <c r="VDF7" s="302"/>
      <c r="VDG7" s="302"/>
      <c r="VDH7" s="302"/>
      <c r="VDI7" s="302"/>
      <c r="VDJ7" s="302"/>
      <c r="VDK7" s="302"/>
      <c r="VDL7" s="302"/>
      <c r="VDM7" s="302"/>
      <c r="VDN7" s="302"/>
      <c r="VDO7" s="302"/>
      <c r="VDP7" s="302"/>
      <c r="VDQ7" s="302"/>
      <c r="VDR7" s="302"/>
      <c r="VDS7" s="302"/>
      <c r="VDT7" s="302"/>
      <c r="VDU7" s="302"/>
      <c r="VDV7" s="302"/>
      <c r="VDW7" s="302"/>
      <c r="VDX7" s="302"/>
      <c r="VDY7" s="302"/>
      <c r="VDZ7" s="302"/>
      <c r="VEA7" s="302"/>
      <c r="VEB7" s="302"/>
      <c r="VEC7" s="302"/>
      <c r="VED7" s="302"/>
      <c r="VEE7" s="302"/>
      <c r="VEF7" s="302"/>
      <c r="VEG7" s="302"/>
      <c r="VEH7" s="302"/>
      <c r="VEI7" s="302"/>
      <c r="VEJ7" s="302"/>
      <c r="VEK7" s="302"/>
      <c r="VEL7" s="302"/>
      <c r="VEM7" s="302"/>
      <c r="VEN7" s="302"/>
      <c r="VEO7" s="302"/>
      <c r="VEP7" s="302"/>
      <c r="VEQ7" s="302"/>
      <c r="VER7" s="302"/>
      <c r="VES7" s="302"/>
      <c r="VET7" s="302"/>
      <c r="VEU7" s="302"/>
      <c r="VEV7" s="302"/>
      <c r="VEW7" s="302"/>
      <c r="VEX7" s="302"/>
      <c r="VEY7" s="302"/>
      <c r="VEZ7" s="302"/>
      <c r="VFA7" s="302"/>
      <c r="VFB7" s="302"/>
      <c r="VFC7" s="302"/>
      <c r="VFD7" s="302"/>
      <c r="VFE7" s="302"/>
      <c r="VFF7" s="302"/>
      <c r="VFG7" s="302"/>
      <c r="VFH7" s="302"/>
      <c r="VFI7" s="302"/>
      <c r="VFJ7" s="302"/>
      <c r="VFK7" s="302"/>
      <c r="VFL7" s="302"/>
      <c r="VFM7" s="302"/>
      <c r="VFN7" s="302"/>
      <c r="VFO7" s="302"/>
      <c r="VFP7" s="302"/>
      <c r="VFQ7" s="302"/>
      <c r="VFR7" s="302"/>
      <c r="VFS7" s="302"/>
      <c r="VFT7" s="302"/>
      <c r="VFU7" s="302"/>
      <c r="VFV7" s="302"/>
      <c r="VFW7" s="302"/>
      <c r="VFX7" s="302"/>
      <c r="VFY7" s="302"/>
      <c r="VFZ7" s="302"/>
      <c r="VGA7" s="302"/>
      <c r="VGB7" s="302"/>
      <c r="VGC7" s="302"/>
      <c r="VGD7" s="302"/>
      <c r="VGE7" s="302"/>
      <c r="VGF7" s="302"/>
      <c r="VGG7" s="302"/>
      <c r="VGH7" s="302"/>
      <c r="VGI7" s="302"/>
      <c r="VGJ7" s="302"/>
      <c r="VGK7" s="302"/>
      <c r="VGL7" s="302"/>
      <c r="VGM7" s="302"/>
      <c r="VGN7" s="302"/>
      <c r="VGO7" s="302"/>
      <c r="VGP7" s="302"/>
      <c r="VGQ7" s="302"/>
      <c r="VGR7" s="302"/>
      <c r="VGS7" s="302"/>
      <c r="VGT7" s="302"/>
      <c r="VGU7" s="302"/>
      <c r="VGV7" s="302"/>
      <c r="VGW7" s="302"/>
      <c r="VGX7" s="302"/>
      <c r="VGY7" s="302"/>
      <c r="VGZ7" s="302"/>
      <c r="VHA7" s="302"/>
      <c r="VHB7" s="302"/>
      <c r="VHC7" s="302"/>
      <c r="VHD7" s="302"/>
      <c r="VHE7" s="302"/>
      <c r="VHF7" s="302"/>
      <c r="VHG7" s="302"/>
      <c r="VHH7" s="302"/>
      <c r="VHI7" s="302"/>
      <c r="VHJ7" s="302"/>
      <c r="VHK7" s="302"/>
      <c r="VHL7" s="302"/>
      <c r="VHM7" s="302"/>
      <c r="VHN7" s="302"/>
      <c r="VHO7" s="302"/>
      <c r="VHP7" s="302"/>
      <c r="VHQ7" s="302"/>
      <c r="VHR7" s="302"/>
      <c r="VHS7" s="302"/>
      <c r="VHT7" s="302"/>
      <c r="VHU7" s="302"/>
      <c r="VHV7" s="302"/>
      <c r="VHW7" s="302"/>
      <c r="VHX7" s="302"/>
      <c r="VHY7" s="302"/>
      <c r="VHZ7" s="302"/>
      <c r="VIA7" s="302"/>
      <c r="VIB7" s="302"/>
      <c r="VIC7" s="302"/>
      <c r="VID7" s="302"/>
      <c r="VIE7" s="302"/>
      <c r="VIF7" s="302"/>
      <c r="VIG7" s="302"/>
      <c r="VIH7" s="302"/>
      <c r="VII7" s="302"/>
      <c r="VIJ7" s="302"/>
      <c r="VIK7" s="302"/>
      <c r="VIL7" s="302"/>
      <c r="VIM7" s="302"/>
      <c r="VIN7" s="302"/>
      <c r="VIO7" s="302"/>
      <c r="VIP7" s="302"/>
      <c r="VIQ7" s="302"/>
      <c r="VIR7" s="302"/>
      <c r="VIS7" s="302"/>
      <c r="VIT7" s="302"/>
      <c r="VIU7" s="302"/>
      <c r="VIV7" s="302"/>
      <c r="VIW7" s="302"/>
      <c r="VIX7" s="302"/>
      <c r="VIY7" s="302"/>
      <c r="VIZ7" s="302"/>
      <c r="VJA7" s="302"/>
      <c r="VJB7" s="302"/>
      <c r="VJC7" s="302"/>
      <c r="VJD7" s="302"/>
      <c r="VJE7" s="302"/>
      <c r="VJF7" s="302"/>
      <c r="VJG7" s="302"/>
      <c r="VJH7" s="302"/>
      <c r="VJI7" s="302"/>
      <c r="VJJ7" s="302"/>
      <c r="VJK7" s="302"/>
      <c r="VJL7" s="302"/>
      <c r="VJM7" s="302"/>
      <c r="VJN7" s="302"/>
      <c r="VJO7" s="302"/>
      <c r="VJP7" s="302"/>
      <c r="VJQ7" s="302"/>
      <c r="VJR7" s="302"/>
      <c r="VJS7" s="302"/>
      <c r="VJT7" s="302"/>
      <c r="VJU7" s="302"/>
      <c r="VJV7" s="302"/>
      <c r="VJW7" s="302"/>
      <c r="VJX7" s="302"/>
      <c r="VJY7" s="302"/>
      <c r="VJZ7" s="302"/>
      <c r="VKA7" s="302"/>
      <c r="VKB7" s="302"/>
      <c r="VKC7" s="302"/>
      <c r="VKD7" s="302"/>
      <c r="VKE7" s="302"/>
      <c r="VKF7" s="302"/>
      <c r="VKG7" s="302"/>
      <c r="VKH7" s="302"/>
      <c r="VKI7" s="302"/>
      <c r="VKJ7" s="302"/>
      <c r="VKK7" s="302"/>
      <c r="VKL7" s="302"/>
      <c r="VKM7" s="302"/>
      <c r="VKN7" s="302"/>
      <c r="VKO7" s="302"/>
      <c r="VKP7" s="302"/>
      <c r="VKQ7" s="302"/>
      <c r="VKR7" s="302"/>
      <c r="VKS7" s="302"/>
      <c r="VKT7" s="302"/>
      <c r="VKU7" s="302"/>
      <c r="VKV7" s="302"/>
      <c r="VKW7" s="302"/>
      <c r="VKX7" s="302"/>
      <c r="VKY7" s="302"/>
      <c r="VKZ7" s="302"/>
      <c r="VLA7" s="302"/>
      <c r="VLB7" s="302"/>
      <c r="VLC7" s="302"/>
      <c r="VLD7" s="302"/>
      <c r="VLE7" s="302"/>
      <c r="VLF7" s="302"/>
      <c r="VLG7" s="302"/>
      <c r="VLH7" s="302"/>
      <c r="VLI7" s="302"/>
      <c r="VLJ7" s="302"/>
      <c r="VLK7" s="302"/>
      <c r="VLL7" s="302"/>
      <c r="VLM7" s="302"/>
      <c r="VLN7" s="302"/>
      <c r="VLO7" s="302"/>
      <c r="VLP7" s="302"/>
      <c r="VLQ7" s="302"/>
      <c r="VLR7" s="302"/>
      <c r="VLS7" s="302"/>
      <c r="VLT7" s="302"/>
      <c r="VLU7" s="302"/>
      <c r="VLV7" s="302"/>
      <c r="VLW7" s="302"/>
      <c r="VLX7" s="302"/>
      <c r="VLY7" s="302"/>
      <c r="VLZ7" s="302"/>
      <c r="VMA7" s="302"/>
      <c r="VMB7" s="302"/>
      <c r="VMC7" s="302"/>
      <c r="VMD7" s="302"/>
      <c r="VME7" s="302"/>
      <c r="VMF7" s="302"/>
      <c r="VMG7" s="302"/>
      <c r="VMH7" s="302"/>
      <c r="VMI7" s="302"/>
      <c r="VMJ7" s="302"/>
      <c r="VMK7" s="302"/>
      <c r="VML7" s="302"/>
      <c r="VMM7" s="302"/>
      <c r="VMN7" s="302"/>
      <c r="VMO7" s="302"/>
      <c r="VMP7" s="302"/>
      <c r="VMQ7" s="302"/>
      <c r="VMR7" s="302"/>
      <c r="VMS7" s="302"/>
      <c r="VMT7" s="302"/>
      <c r="VMU7" s="302"/>
      <c r="VMV7" s="302"/>
      <c r="VMW7" s="302"/>
      <c r="VMX7" s="302"/>
      <c r="VMY7" s="302"/>
      <c r="VMZ7" s="302"/>
      <c r="VNA7" s="302"/>
      <c r="VNB7" s="302"/>
      <c r="VNC7" s="302"/>
      <c r="VND7" s="302"/>
      <c r="VNE7" s="302"/>
      <c r="VNF7" s="302"/>
      <c r="VNG7" s="302"/>
      <c r="VNH7" s="302"/>
      <c r="VNI7" s="302"/>
      <c r="VNJ7" s="302"/>
      <c r="VNK7" s="302"/>
      <c r="VNL7" s="302"/>
      <c r="VNM7" s="302"/>
      <c r="VNN7" s="302"/>
      <c r="VNO7" s="302"/>
      <c r="VNP7" s="302"/>
      <c r="VNQ7" s="302"/>
      <c r="VNR7" s="302"/>
      <c r="VNS7" s="302"/>
      <c r="VNT7" s="302"/>
      <c r="VNU7" s="302"/>
      <c r="VNV7" s="302"/>
      <c r="VNW7" s="302"/>
      <c r="VNX7" s="302"/>
      <c r="VNY7" s="302"/>
      <c r="VNZ7" s="302"/>
      <c r="VOA7" s="302"/>
      <c r="VOB7" s="302"/>
      <c r="VOC7" s="302"/>
      <c r="VOD7" s="302"/>
      <c r="VOE7" s="302"/>
      <c r="VOF7" s="302"/>
      <c r="VOG7" s="302"/>
      <c r="VOH7" s="302"/>
      <c r="VOI7" s="302"/>
      <c r="VOJ7" s="302"/>
      <c r="VOK7" s="302"/>
      <c r="VOL7" s="302"/>
      <c r="VOM7" s="302"/>
      <c r="VON7" s="302"/>
      <c r="VOO7" s="302"/>
      <c r="VOP7" s="302"/>
      <c r="VOQ7" s="302"/>
      <c r="VOR7" s="302"/>
      <c r="VOS7" s="302"/>
      <c r="VOT7" s="302"/>
      <c r="VOU7" s="302"/>
      <c r="VOV7" s="302"/>
      <c r="VOW7" s="302"/>
      <c r="VOX7" s="302"/>
      <c r="VOY7" s="302"/>
      <c r="VOZ7" s="302"/>
      <c r="VPA7" s="302"/>
      <c r="VPB7" s="302"/>
      <c r="VPC7" s="302"/>
      <c r="VPD7" s="302"/>
      <c r="VPE7" s="302"/>
      <c r="VPF7" s="302"/>
      <c r="VPG7" s="302"/>
      <c r="VPH7" s="302"/>
      <c r="VPI7" s="302"/>
      <c r="VPJ7" s="302"/>
      <c r="VPK7" s="302"/>
      <c r="VPL7" s="302"/>
      <c r="VPM7" s="302"/>
      <c r="VPN7" s="302"/>
      <c r="VPO7" s="302"/>
      <c r="VPP7" s="302"/>
      <c r="VPQ7" s="302"/>
      <c r="VPR7" s="302"/>
      <c r="VPS7" s="302"/>
      <c r="VPT7" s="302"/>
      <c r="VPU7" s="302"/>
      <c r="VPV7" s="302"/>
      <c r="VPW7" s="302"/>
      <c r="VPX7" s="302"/>
      <c r="VPY7" s="302"/>
      <c r="VPZ7" s="302"/>
      <c r="VQA7" s="302"/>
      <c r="VQB7" s="302"/>
      <c r="VQC7" s="302"/>
      <c r="VQD7" s="302"/>
      <c r="VQE7" s="302"/>
      <c r="VQF7" s="302"/>
      <c r="VQG7" s="302"/>
      <c r="VQH7" s="302"/>
      <c r="VQI7" s="302"/>
      <c r="VQJ7" s="302"/>
      <c r="VQK7" s="302"/>
      <c r="VQL7" s="302"/>
      <c r="VQM7" s="302"/>
      <c r="VQN7" s="302"/>
      <c r="VQO7" s="302"/>
      <c r="VQP7" s="302"/>
      <c r="VQQ7" s="302"/>
      <c r="VQR7" s="302"/>
      <c r="VQS7" s="302"/>
      <c r="VQT7" s="302"/>
      <c r="VQU7" s="302"/>
      <c r="VQV7" s="302"/>
      <c r="VQW7" s="302"/>
      <c r="VQX7" s="302"/>
      <c r="VQY7" s="302"/>
      <c r="VQZ7" s="302"/>
      <c r="VRA7" s="302"/>
      <c r="VRB7" s="302"/>
      <c r="VRC7" s="302"/>
      <c r="VRD7" s="302"/>
      <c r="VRE7" s="302"/>
      <c r="VRF7" s="302"/>
      <c r="VRG7" s="302"/>
      <c r="VRH7" s="302"/>
      <c r="VRI7" s="302"/>
      <c r="VRJ7" s="302"/>
      <c r="VRK7" s="302"/>
      <c r="VRL7" s="302"/>
      <c r="VRM7" s="302"/>
      <c r="VRN7" s="302"/>
      <c r="VRO7" s="302"/>
      <c r="VRP7" s="302"/>
      <c r="VRQ7" s="302"/>
      <c r="VRR7" s="302"/>
      <c r="VRS7" s="302"/>
      <c r="VRT7" s="302"/>
      <c r="VRU7" s="302"/>
      <c r="VRV7" s="302"/>
      <c r="VRW7" s="302"/>
      <c r="VRX7" s="302"/>
      <c r="VRY7" s="302"/>
      <c r="VRZ7" s="302"/>
      <c r="VSA7" s="302"/>
      <c r="VSB7" s="302"/>
      <c r="VSC7" s="302"/>
      <c r="VSD7" s="302"/>
      <c r="VSE7" s="302"/>
      <c r="VSF7" s="302"/>
      <c r="VSG7" s="302"/>
      <c r="VSH7" s="302"/>
      <c r="VSI7" s="302"/>
      <c r="VSJ7" s="302"/>
      <c r="VSK7" s="302"/>
      <c r="VSL7" s="302"/>
      <c r="VSM7" s="302"/>
      <c r="VSN7" s="302"/>
      <c r="VSO7" s="302"/>
      <c r="VSP7" s="302"/>
      <c r="VSQ7" s="302"/>
      <c r="VSR7" s="302"/>
      <c r="VSS7" s="302"/>
      <c r="VST7" s="302"/>
      <c r="VSU7" s="302"/>
      <c r="VSV7" s="302"/>
      <c r="VSW7" s="302"/>
      <c r="VSX7" s="302"/>
      <c r="VSY7" s="302"/>
      <c r="VSZ7" s="302"/>
      <c r="VTA7" s="302"/>
      <c r="VTB7" s="302"/>
      <c r="VTC7" s="302"/>
      <c r="VTD7" s="302"/>
      <c r="VTE7" s="302"/>
      <c r="VTF7" s="302"/>
      <c r="VTG7" s="302"/>
      <c r="VTH7" s="302"/>
      <c r="VTI7" s="302"/>
      <c r="VTJ7" s="302"/>
      <c r="VTK7" s="302"/>
      <c r="VTL7" s="302"/>
      <c r="VTM7" s="302"/>
      <c r="VTN7" s="302"/>
      <c r="VTO7" s="302"/>
      <c r="VTP7" s="302"/>
      <c r="VTQ7" s="302"/>
      <c r="VTR7" s="302"/>
      <c r="VTS7" s="302"/>
      <c r="VTT7" s="302"/>
      <c r="VTU7" s="302"/>
      <c r="VTV7" s="302"/>
      <c r="VTW7" s="302"/>
      <c r="VTX7" s="302"/>
      <c r="VTY7" s="302"/>
      <c r="VTZ7" s="302"/>
      <c r="VUA7" s="302"/>
      <c r="VUB7" s="302"/>
      <c r="VUC7" s="302"/>
      <c r="VUD7" s="302"/>
      <c r="VUE7" s="302"/>
      <c r="VUF7" s="302"/>
      <c r="VUG7" s="302"/>
      <c r="VUH7" s="302"/>
      <c r="VUI7" s="302"/>
      <c r="VUJ7" s="302"/>
      <c r="VUK7" s="302"/>
      <c r="VUL7" s="302"/>
      <c r="VUM7" s="302"/>
      <c r="VUN7" s="302"/>
      <c r="VUO7" s="302"/>
      <c r="VUP7" s="302"/>
      <c r="VUQ7" s="302"/>
      <c r="VUR7" s="302"/>
      <c r="VUS7" s="302"/>
      <c r="VUT7" s="302"/>
      <c r="VUU7" s="302"/>
      <c r="VUV7" s="302"/>
      <c r="VUW7" s="302"/>
      <c r="VUX7" s="302"/>
      <c r="VUY7" s="302"/>
      <c r="VUZ7" s="302"/>
      <c r="VVA7" s="302"/>
      <c r="VVB7" s="302"/>
      <c r="VVC7" s="302"/>
      <c r="VVD7" s="302"/>
      <c r="VVE7" s="302"/>
      <c r="VVF7" s="302"/>
      <c r="VVG7" s="302"/>
      <c r="VVH7" s="302"/>
      <c r="VVI7" s="302"/>
      <c r="VVJ7" s="302"/>
      <c r="VVK7" s="302"/>
      <c r="VVL7" s="302"/>
      <c r="VVM7" s="302"/>
      <c r="VVN7" s="302"/>
      <c r="VVO7" s="302"/>
      <c r="VVP7" s="302"/>
      <c r="VVQ7" s="302"/>
      <c r="VVR7" s="302"/>
      <c r="VVS7" s="302"/>
      <c r="VVT7" s="302"/>
      <c r="VVU7" s="302"/>
      <c r="VVV7" s="302"/>
      <c r="VVW7" s="302"/>
      <c r="VVX7" s="302"/>
      <c r="VVY7" s="302"/>
      <c r="VVZ7" s="302"/>
      <c r="VWA7" s="302"/>
      <c r="VWB7" s="302"/>
      <c r="VWC7" s="302"/>
      <c r="VWD7" s="302"/>
      <c r="VWE7" s="302"/>
      <c r="VWF7" s="302"/>
      <c r="VWG7" s="302"/>
      <c r="VWH7" s="302"/>
      <c r="VWI7" s="302"/>
      <c r="VWJ7" s="302"/>
      <c r="VWK7" s="302"/>
      <c r="VWL7" s="302"/>
      <c r="VWM7" s="302"/>
      <c r="VWN7" s="302"/>
      <c r="VWO7" s="302"/>
      <c r="VWP7" s="302"/>
      <c r="VWQ7" s="302"/>
      <c r="VWR7" s="302"/>
      <c r="VWS7" s="302"/>
      <c r="VWT7" s="302"/>
      <c r="VWU7" s="302"/>
      <c r="VWV7" s="302"/>
      <c r="VWW7" s="302"/>
      <c r="VWX7" s="302"/>
      <c r="VWY7" s="302"/>
      <c r="VWZ7" s="302"/>
      <c r="VXA7" s="302"/>
      <c r="VXB7" s="302"/>
      <c r="VXC7" s="302"/>
      <c r="VXD7" s="302"/>
      <c r="VXE7" s="302"/>
      <c r="VXF7" s="302"/>
      <c r="VXG7" s="302"/>
      <c r="VXH7" s="302"/>
      <c r="VXI7" s="302"/>
      <c r="VXJ7" s="302"/>
      <c r="VXK7" s="302"/>
      <c r="VXL7" s="302"/>
      <c r="VXM7" s="302"/>
      <c r="VXN7" s="302"/>
      <c r="VXO7" s="302"/>
      <c r="VXP7" s="302"/>
      <c r="VXQ7" s="302"/>
      <c r="VXR7" s="302"/>
      <c r="VXS7" s="302"/>
      <c r="VXT7" s="302"/>
      <c r="VXU7" s="302"/>
      <c r="VXV7" s="302"/>
      <c r="VXW7" s="302"/>
      <c r="VXX7" s="302"/>
      <c r="VXY7" s="302"/>
      <c r="VXZ7" s="302"/>
      <c r="VYA7" s="302"/>
      <c r="VYB7" s="302"/>
      <c r="VYC7" s="302"/>
      <c r="VYD7" s="302"/>
      <c r="VYE7" s="302"/>
      <c r="VYF7" s="302"/>
      <c r="VYG7" s="302"/>
      <c r="VYH7" s="302"/>
      <c r="VYI7" s="302"/>
      <c r="VYJ7" s="302"/>
      <c r="VYK7" s="302"/>
      <c r="VYL7" s="302"/>
      <c r="VYM7" s="302"/>
      <c r="VYN7" s="302"/>
      <c r="VYO7" s="302"/>
      <c r="VYP7" s="302"/>
      <c r="VYQ7" s="302"/>
      <c r="VYR7" s="302"/>
      <c r="VYS7" s="302"/>
      <c r="VYT7" s="302"/>
      <c r="VYU7" s="302"/>
      <c r="VYV7" s="302"/>
      <c r="VYW7" s="302"/>
      <c r="VYX7" s="302"/>
      <c r="VYY7" s="302"/>
      <c r="VYZ7" s="302"/>
      <c r="VZA7" s="302"/>
      <c r="VZB7" s="302"/>
      <c r="VZC7" s="302"/>
      <c r="VZD7" s="302"/>
      <c r="VZE7" s="302"/>
      <c r="VZF7" s="302"/>
      <c r="VZG7" s="302"/>
      <c r="VZH7" s="302"/>
      <c r="VZI7" s="302"/>
      <c r="VZJ7" s="302"/>
      <c r="VZK7" s="302"/>
      <c r="VZL7" s="302"/>
      <c r="VZM7" s="302"/>
      <c r="VZN7" s="302"/>
      <c r="VZO7" s="302"/>
      <c r="VZP7" s="302"/>
      <c r="VZQ7" s="302"/>
      <c r="VZR7" s="302"/>
      <c r="VZS7" s="302"/>
      <c r="VZT7" s="302"/>
      <c r="VZU7" s="302"/>
      <c r="VZV7" s="302"/>
      <c r="VZW7" s="302"/>
      <c r="VZX7" s="302"/>
      <c r="VZY7" s="302"/>
      <c r="VZZ7" s="302"/>
      <c r="WAA7" s="302"/>
      <c r="WAB7" s="302"/>
      <c r="WAC7" s="302"/>
      <c r="WAD7" s="302"/>
      <c r="WAE7" s="302"/>
      <c r="WAF7" s="302"/>
      <c r="WAG7" s="302"/>
      <c r="WAH7" s="302"/>
      <c r="WAI7" s="302"/>
      <c r="WAJ7" s="302"/>
      <c r="WAK7" s="302"/>
      <c r="WAL7" s="302"/>
      <c r="WAM7" s="302"/>
      <c r="WAN7" s="302"/>
      <c r="WAO7" s="302"/>
      <c r="WAP7" s="302"/>
      <c r="WAQ7" s="302"/>
      <c r="WAR7" s="302"/>
      <c r="WAS7" s="302"/>
      <c r="WAT7" s="302"/>
      <c r="WAU7" s="302"/>
      <c r="WAV7" s="302"/>
      <c r="WAW7" s="302"/>
      <c r="WAX7" s="302"/>
      <c r="WAY7" s="302"/>
      <c r="WAZ7" s="302"/>
      <c r="WBA7" s="302"/>
      <c r="WBB7" s="302"/>
      <c r="WBC7" s="302"/>
      <c r="WBD7" s="302"/>
      <c r="WBE7" s="302"/>
      <c r="WBF7" s="302"/>
      <c r="WBG7" s="302"/>
      <c r="WBH7" s="302"/>
      <c r="WBI7" s="302"/>
      <c r="WBJ7" s="302"/>
      <c r="WBK7" s="302"/>
      <c r="WBL7" s="302"/>
      <c r="WBM7" s="302"/>
      <c r="WBN7" s="302"/>
      <c r="WBO7" s="302"/>
      <c r="WBP7" s="302"/>
      <c r="WBQ7" s="302"/>
      <c r="WBR7" s="302"/>
      <c r="WBS7" s="302"/>
      <c r="WBT7" s="302"/>
      <c r="WBU7" s="302"/>
      <c r="WBV7" s="302"/>
      <c r="WBW7" s="302"/>
      <c r="WBX7" s="302"/>
      <c r="WBY7" s="302"/>
      <c r="WBZ7" s="302"/>
      <c r="WCA7" s="302"/>
      <c r="WCB7" s="302"/>
      <c r="WCC7" s="302"/>
      <c r="WCD7" s="302"/>
      <c r="WCE7" s="302"/>
      <c r="WCF7" s="302"/>
      <c r="WCG7" s="302"/>
      <c r="WCH7" s="302"/>
      <c r="WCI7" s="302"/>
      <c r="WCJ7" s="302"/>
      <c r="WCK7" s="302"/>
      <c r="WCL7" s="302"/>
      <c r="WCM7" s="302"/>
      <c r="WCN7" s="302"/>
      <c r="WCO7" s="302"/>
      <c r="WCP7" s="302"/>
      <c r="WCQ7" s="302"/>
      <c r="WCR7" s="302"/>
      <c r="WCS7" s="302"/>
      <c r="WCT7" s="302"/>
      <c r="WCU7" s="302"/>
      <c r="WCV7" s="302"/>
      <c r="WCW7" s="302"/>
      <c r="WCX7" s="302"/>
      <c r="WCY7" s="302"/>
      <c r="WCZ7" s="302"/>
      <c r="WDA7" s="302"/>
      <c r="WDB7" s="302"/>
      <c r="WDC7" s="302"/>
      <c r="WDD7" s="302"/>
      <c r="WDE7" s="302"/>
      <c r="WDF7" s="302"/>
      <c r="WDG7" s="302"/>
      <c r="WDH7" s="302"/>
      <c r="WDI7" s="302"/>
      <c r="WDJ7" s="302"/>
      <c r="WDK7" s="302"/>
      <c r="WDL7" s="302"/>
      <c r="WDM7" s="302"/>
      <c r="WDN7" s="302"/>
      <c r="WDO7" s="302"/>
      <c r="WDP7" s="302"/>
      <c r="WDQ7" s="302"/>
      <c r="WDR7" s="302"/>
      <c r="WDS7" s="302"/>
      <c r="WDT7" s="302"/>
      <c r="WDU7" s="302"/>
      <c r="WDV7" s="302"/>
      <c r="WDW7" s="302"/>
      <c r="WDX7" s="302"/>
      <c r="WDY7" s="302"/>
      <c r="WDZ7" s="302"/>
      <c r="WEA7" s="302"/>
      <c r="WEB7" s="302"/>
      <c r="WEC7" s="302"/>
      <c r="WED7" s="302"/>
      <c r="WEE7" s="302"/>
      <c r="WEF7" s="302"/>
      <c r="WEG7" s="302"/>
      <c r="WEH7" s="302"/>
      <c r="WEI7" s="302"/>
      <c r="WEJ7" s="302"/>
      <c r="WEK7" s="302"/>
      <c r="WEL7" s="302"/>
      <c r="WEM7" s="302"/>
      <c r="WEN7" s="302"/>
      <c r="WEO7" s="302"/>
      <c r="WEP7" s="302"/>
      <c r="WEQ7" s="302"/>
      <c r="WER7" s="302"/>
      <c r="WES7" s="302"/>
      <c r="WET7" s="302"/>
      <c r="WEU7" s="302"/>
      <c r="WEV7" s="302"/>
      <c r="WEW7" s="302"/>
      <c r="WEX7" s="302"/>
      <c r="WEY7" s="302"/>
      <c r="WEZ7" s="302"/>
      <c r="WFA7" s="302"/>
      <c r="WFB7" s="302"/>
      <c r="WFC7" s="302"/>
      <c r="WFD7" s="302"/>
      <c r="WFE7" s="302"/>
      <c r="WFF7" s="302"/>
      <c r="WFG7" s="302"/>
      <c r="WFH7" s="302"/>
      <c r="WFI7" s="302"/>
      <c r="WFJ7" s="302"/>
      <c r="WFK7" s="302"/>
      <c r="WFL7" s="302"/>
      <c r="WFM7" s="302"/>
      <c r="WFN7" s="302"/>
      <c r="WFO7" s="302"/>
      <c r="WFP7" s="302"/>
      <c r="WFQ7" s="302"/>
      <c r="WFR7" s="302"/>
      <c r="WFS7" s="302"/>
      <c r="WFT7" s="302"/>
      <c r="WFU7" s="302"/>
      <c r="WFV7" s="302"/>
      <c r="WFW7" s="302"/>
      <c r="WFX7" s="302"/>
      <c r="WFY7" s="302"/>
      <c r="WFZ7" s="302"/>
      <c r="WGA7" s="302"/>
      <c r="WGB7" s="302"/>
      <c r="WGC7" s="302"/>
      <c r="WGD7" s="302"/>
      <c r="WGE7" s="302"/>
      <c r="WGF7" s="302"/>
      <c r="WGG7" s="302"/>
      <c r="WGH7" s="302"/>
      <c r="WGI7" s="302"/>
      <c r="WGJ7" s="302"/>
      <c r="WGK7" s="302"/>
      <c r="WGL7" s="302"/>
      <c r="WGM7" s="302"/>
      <c r="WGN7" s="302"/>
      <c r="WGO7" s="302"/>
      <c r="WGP7" s="302"/>
      <c r="WGQ7" s="302"/>
      <c r="WGR7" s="302"/>
      <c r="WGS7" s="302"/>
      <c r="WGT7" s="302"/>
      <c r="WGU7" s="302"/>
      <c r="WGV7" s="302"/>
      <c r="WGW7" s="302"/>
      <c r="WGX7" s="302"/>
      <c r="WGY7" s="302"/>
      <c r="WGZ7" s="302"/>
      <c r="WHA7" s="302"/>
      <c r="WHB7" s="302"/>
      <c r="WHC7" s="302"/>
      <c r="WHD7" s="302"/>
      <c r="WHE7" s="302"/>
      <c r="WHF7" s="302"/>
      <c r="WHG7" s="302"/>
      <c r="WHH7" s="302"/>
      <c r="WHI7" s="302"/>
      <c r="WHJ7" s="302"/>
      <c r="WHK7" s="302"/>
      <c r="WHL7" s="302"/>
      <c r="WHM7" s="302"/>
      <c r="WHN7" s="302"/>
      <c r="WHO7" s="302"/>
      <c r="WHP7" s="302"/>
      <c r="WHQ7" s="302"/>
      <c r="WHR7" s="302"/>
      <c r="WHS7" s="302"/>
      <c r="WHT7" s="302"/>
      <c r="WHU7" s="302"/>
      <c r="WHV7" s="302"/>
      <c r="WHW7" s="302"/>
      <c r="WHX7" s="302"/>
      <c r="WHY7" s="302"/>
      <c r="WHZ7" s="302"/>
      <c r="WIA7" s="302"/>
      <c r="WIB7" s="302"/>
      <c r="WIC7" s="302"/>
      <c r="WID7" s="302"/>
      <c r="WIE7" s="302"/>
      <c r="WIF7" s="302"/>
      <c r="WIG7" s="302"/>
      <c r="WIH7" s="302"/>
      <c r="WII7" s="302"/>
      <c r="WIJ7" s="302"/>
      <c r="WIK7" s="302"/>
      <c r="WIL7" s="302"/>
      <c r="WIM7" s="302"/>
      <c r="WIN7" s="302"/>
      <c r="WIO7" s="302"/>
      <c r="WIP7" s="302"/>
      <c r="WIQ7" s="302"/>
      <c r="WIR7" s="302"/>
      <c r="WIS7" s="302"/>
      <c r="WIT7" s="302"/>
      <c r="WIU7" s="302"/>
      <c r="WIV7" s="302"/>
      <c r="WIW7" s="302"/>
      <c r="WIX7" s="302"/>
      <c r="WIY7" s="302"/>
      <c r="WIZ7" s="302"/>
      <c r="WJA7" s="302"/>
      <c r="WJB7" s="302"/>
      <c r="WJC7" s="302"/>
      <c r="WJD7" s="302"/>
      <c r="WJE7" s="302"/>
      <c r="WJF7" s="302"/>
      <c r="WJG7" s="302"/>
      <c r="WJH7" s="302"/>
      <c r="WJI7" s="302"/>
      <c r="WJJ7" s="302"/>
      <c r="WJK7" s="302"/>
      <c r="WJL7" s="302"/>
      <c r="WJM7" s="302"/>
      <c r="WJN7" s="302"/>
      <c r="WJO7" s="302"/>
      <c r="WJP7" s="302"/>
      <c r="WJQ7" s="302"/>
      <c r="WJR7" s="302"/>
      <c r="WJS7" s="302"/>
      <c r="WJT7" s="302"/>
      <c r="WJU7" s="302"/>
      <c r="WJV7" s="302"/>
      <c r="WJW7" s="302"/>
      <c r="WJX7" s="302"/>
      <c r="WJY7" s="302"/>
      <c r="WJZ7" s="302"/>
      <c r="WKA7" s="302"/>
      <c r="WKB7" s="302"/>
      <c r="WKC7" s="302"/>
      <c r="WKD7" s="302"/>
      <c r="WKE7" s="302"/>
      <c r="WKF7" s="302"/>
      <c r="WKG7" s="302"/>
      <c r="WKH7" s="302"/>
      <c r="WKI7" s="302"/>
      <c r="WKJ7" s="302"/>
      <c r="WKK7" s="302"/>
      <c r="WKL7" s="302"/>
      <c r="WKM7" s="302"/>
      <c r="WKN7" s="302"/>
      <c r="WKO7" s="302"/>
      <c r="WKP7" s="302"/>
      <c r="WKQ7" s="302"/>
      <c r="WKR7" s="302"/>
      <c r="WKS7" s="302"/>
      <c r="WKT7" s="302"/>
      <c r="WKU7" s="302"/>
      <c r="WKV7" s="302"/>
      <c r="WKW7" s="302"/>
      <c r="WKX7" s="302"/>
      <c r="WKY7" s="302"/>
      <c r="WKZ7" s="302"/>
      <c r="WLA7" s="302"/>
      <c r="WLB7" s="302"/>
      <c r="WLC7" s="302"/>
      <c r="WLD7" s="302"/>
      <c r="WLE7" s="302"/>
      <c r="WLF7" s="302"/>
      <c r="WLG7" s="302"/>
      <c r="WLH7" s="302"/>
      <c r="WLI7" s="302"/>
      <c r="WLJ7" s="302"/>
      <c r="WLK7" s="302"/>
      <c r="WLL7" s="302"/>
      <c r="WLM7" s="302"/>
      <c r="WLN7" s="302"/>
      <c r="WLO7" s="302"/>
      <c r="WLP7" s="302"/>
      <c r="WLQ7" s="302"/>
      <c r="WLR7" s="302"/>
      <c r="WLS7" s="302"/>
      <c r="WLT7" s="302"/>
      <c r="WLU7" s="302"/>
      <c r="WLV7" s="302"/>
      <c r="WLW7" s="302"/>
      <c r="WLX7" s="302"/>
      <c r="WLY7" s="302"/>
      <c r="WLZ7" s="302"/>
      <c r="WMA7" s="302"/>
      <c r="WMB7" s="302"/>
      <c r="WMC7" s="302"/>
      <c r="WMD7" s="302"/>
      <c r="WME7" s="302"/>
      <c r="WMF7" s="302"/>
      <c r="WMG7" s="302"/>
      <c r="WMH7" s="302"/>
      <c r="WMI7" s="302"/>
      <c r="WMJ7" s="302"/>
      <c r="WMK7" s="302"/>
      <c r="WML7" s="302"/>
      <c r="WMM7" s="302"/>
      <c r="WMN7" s="302"/>
      <c r="WMO7" s="302"/>
      <c r="WMP7" s="302"/>
      <c r="WMQ7" s="302"/>
      <c r="WMR7" s="302"/>
      <c r="WMS7" s="302"/>
      <c r="WMT7" s="302"/>
      <c r="WMU7" s="302"/>
      <c r="WMV7" s="302"/>
      <c r="WMW7" s="302"/>
      <c r="WMX7" s="302"/>
      <c r="WMY7" s="302"/>
      <c r="WMZ7" s="302"/>
      <c r="WNA7" s="302"/>
      <c r="WNB7" s="302"/>
      <c r="WNC7" s="302"/>
      <c r="WND7" s="302"/>
      <c r="WNE7" s="302"/>
      <c r="WNF7" s="302"/>
      <c r="WNG7" s="302"/>
      <c r="WNH7" s="302"/>
      <c r="WNI7" s="302"/>
      <c r="WNJ7" s="302"/>
      <c r="WNK7" s="302"/>
      <c r="WNL7" s="302"/>
      <c r="WNM7" s="302"/>
      <c r="WNN7" s="302"/>
      <c r="WNO7" s="302"/>
      <c r="WNP7" s="302"/>
      <c r="WNQ7" s="302"/>
      <c r="WNR7" s="302"/>
      <c r="WNS7" s="302"/>
      <c r="WNT7" s="302"/>
      <c r="WNU7" s="302"/>
      <c r="WNV7" s="302"/>
      <c r="WNW7" s="302"/>
      <c r="WNX7" s="302"/>
      <c r="WNY7" s="302"/>
      <c r="WNZ7" s="302"/>
      <c r="WOA7" s="302"/>
      <c r="WOB7" s="302"/>
      <c r="WOC7" s="302"/>
      <c r="WOD7" s="302"/>
      <c r="WOE7" s="302"/>
      <c r="WOF7" s="302"/>
      <c r="WOG7" s="302"/>
      <c r="WOH7" s="302"/>
      <c r="WOI7" s="302"/>
      <c r="WOJ7" s="302"/>
      <c r="WOK7" s="302"/>
      <c r="WOL7" s="302"/>
      <c r="WOM7" s="302"/>
      <c r="WON7" s="302"/>
      <c r="WOO7" s="302"/>
      <c r="WOP7" s="302"/>
      <c r="WOQ7" s="302"/>
      <c r="WOR7" s="302"/>
      <c r="WOS7" s="302"/>
      <c r="WOT7" s="302"/>
      <c r="WOU7" s="302"/>
      <c r="WOV7" s="302"/>
      <c r="WOW7" s="302"/>
      <c r="WOX7" s="302"/>
      <c r="WOY7" s="302"/>
      <c r="WOZ7" s="302"/>
      <c r="WPA7" s="302"/>
      <c r="WPB7" s="302"/>
      <c r="WPC7" s="302"/>
      <c r="WPD7" s="302"/>
      <c r="WPE7" s="302"/>
      <c r="WPF7" s="302"/>
      <c r="WPG7" s="302"/>
      <c r="WPH7" s="302"/>
      <c r="WPI7" s="302"/>
      <c r="WPJ7" s="302"/>
      <c r="WPK7" s="302"/>
      <c r="WPL7" s="302"/>
      <c r="WPM7" s="302"/>
      <c r="WPN7" s="302"/>
      <c r="WPO7" s="302"/>
      <c r="WPP7" s="302"/>
      <c r="WPQ7" s="302"/>
      <c r="WPR7" s="302"/>
      <c r="WPS7" s="302"/>
      <c r="WPT7" s="302"/>
      <c r="WPU7" s="302"/>
      <c r="WPV7" s="302"/>
      <c r="WPW7" s="302"/>
      <c r="WPX7" s="302"/>
      <c r="WPY7" s="302"/>
      <c r="WPZ7" s="302"/>
      <c r="WQA7" s="302"/>
      <c r="WQB7" s="302"/>
      <c r="WQC7" s="302"/>
      <c r="WQD7" s="302"/>
      <c r="WQE7" s="302"/>
      <c r="WQF7" s="302"/>
      <c r="WQG7" s="302"/>
      <c r="WQH7" s="302"/>
      <c r="WQI7" s="302"/>
      <c r="WQJ7" s="302"/>
      <c r="WQK7" s="302"/>
      <c r="WQL7" s="302"/>
      <c r="WQM7" s="302"/>
      <c r="WQN7" s="302"/>
      <c r="WQO7" s="302"/>
      <c r="WQP7" s="302"/>
      <c r="WQQ7" s="302"/>
      <c r="WQR7" s="302"/>
      <c r="WQS7" s="302"/>
      <c r="WQT7" s="302"/>
      <c r="WQU7" s="302"/>
      <c r="WQV7" s="302"/>
      <c r="WQW7" s="302"/>
      <c r="WQX7" s="302"/>
      <c r="WQY7" s="302"/>
      <c r="WQZ7" s="302"/>
      <c r="WRA7" s="302"/>
      <c r="WRB7" s="302"/>
      <c r="WRC7" s="302"/>
      <c r="WRD7" s="302"/>
      <c r="WRE7" s="302"/>
      <c r="WRF7" s="302"/>
      <c r="WRG7" s="302"/>
      <c r="WRH7" s="302"/>
      <c r="WRI7" s="302"/>
      <c r="WRJ7" s="302"/>
      <c r="WRK7" s="302"/>
      <c r="WRL7" s="302"/>
      <c r="WRM7" s="302"/>
      <c r="WRN7" s="302"/>
      <c r="WRO7" s="302"/>
      <c r="WRP7" s="302"/>
      <c r="WRQ7" s="302"/>
      <c r="WRR7" s="302"/>
      <c r="WRS7" s="302"/>
      <c r="WRT7" s="302"/>
      <c r="WRU7" s="302"/>
      <c r="WRV7" s="302"/>
      <c r="WRW7" s="302"/>
      <c r="WRX7" s="302"/>
      <c r="WRY7" s="302"/>
      <c r="WRZ7" s="302"/>
      <c r="WSA7" s="302"/>
      <c r="WSB7" s="302"/>
      <c r="WSC7" s="302"/>
      <c r="WSD7" s="302"/>
      <c r="WSE7" s="302"/>
      <c r="WSF7" s="302"/>
      <c r="WSG7" s="302"/>
      <c r="WSH7" s="302"/>
      <c r="WSI7" s="302"/>
      <c r="WSJ7" s="302"/>
      <c r="WSK7" s="302"/>
      <c r="WSL7" s="302"/>
      <c r="WSM7" s="302"/>
      <c r="WSN7" s="302"/>
      <c r="WSO7" s="302"/>
      <c r="WSP7" s="302"/>
      <c r="WSQ7" s="302"/>
      <c r="WSR7" s="302"/>
      <c r="WSS7" s="302"/>
      <c r="WST7" s="302"/>
      <c r="WSU7" s="302"/>
      <c r="WSV7" s="302"/>
      <c r="WSW7" s="302"/>
      <c r="WSX7" s="302"/>
      <c r="WSY7" s="302"/>
      <c r="WSZ7" s="302"/>
      <c r="WTA7" s="302"/>
      <c r="WTB7" s="302"/>
      <c r="WTC7" s="302"/>
      <c r="WTD7" s="302"/>
      <c r="WTE7" s="302"/>
      <c r="WTF7" s="302"/>
      <c r="WTG7" s="302"/>
      <c r="WTH7" s="302"/>
      <c r="WTI7" s="302"/>
      <c r="WTJ7" s="302"/>
      <c r="WTK7" s="302"/>
      <c r="WTL7" s="302"/>
      <c r="WTM7" s="302"/>
      <c r="WTN7" s="302"/>
      <c r="WTO7" s="302"/>
      <c r="WTP7" s="302"/>
      <c r="WTQ7" s="302"/>
      <c r="WTR7" s="302"/>
      <c r="WTS7" s="302"/>
      <c r="WTT7" s="302"/>
      <c r="WTU7" s="302"/>
      <c r="WTV7" s="302"/>
      <c r="WTW7" s="302"/>
      <c r="WTX7" s="302"/>
      <c r="WTY7" s="302"/>
      <c r="WTZ7" s="302"/>
      <c r="WUA7" s="302"/>
      <c r="WUB7" s="302"/>
      <c r="WUC7" s="302"/>
      <c r="WUD7" s="302"/>
      <c r="WUE7" s="302"/>
      <c r="WUF7" s="302"/>
      <c r="WUG7" s="302"/>
      <c r="WUH7" s="302"/>
      <c r="WUI7" s="302"/>
      <c r="WUJ7" s="302"/>
      <c r="WUK7" s="302"/>
      <c r="WUL7" s="302"/>
      <c r="WUM7" s="302"/>
      <c r="WUN7" s="302"/>
      <c r="WUO7" s="302"/>
      <c r="WUP7" s="302"/>
      <c r="WUQ7" s="302"/>
      <c r="WUR7" s="302"/>
      <c r="WUS7" s="302"/>
      <c r="WUT7" s="302"/>
      <c r="WUU7" s="302"/>
      <c r="WUV7" s="302"/>
      <c r="WUW7" s="302"/>
      <c r="WUX7" s="302"/>
      <c r="WUY7" s="302"/>
      <c r="WUZ7" s="302"/>
      <c r="WVA7" s="302"/>
      <c r="WVB7" s="302"/>
      <c r="WVC7" s="302"/>
      <c r="WVD7" s="302"/>
      <c r="WVE7" s="302"/>
      <c r="WVF7" s="302"/>
      <c r="WVG7" s="302"/>
      <c r="WVH7" s="302"/>
      <c r="WVI7" s="302"/>
      <c r="WVJ7" s="302"/>
      <c r="WVK7" s="302"/>
      <c r="WVL7" s="302"/>
      <c r="WVM7" s="302"/>
      <c r="WVN7" s="302"/>
      <c r="WVO7" s="302"/>
      <c r="WVP7" s="302"/>
      <c r="WVQ7" s="302"/>
      <c r="WVR7" s="302"/>
      <c r="WVS7" s="302"/>
      <c r="WVT7" s="302"/>
      <c r="WVU7" s="302"/>
      <c r="WVV7" s="302"/>
      <c r="WVW7" s="302"/>
      <c r="WVX7" s="302"/>
      <c r="WVY7" s="302"/>
      <c r="WVZ7" s="302"/>
      <c r="WWA7" s="302"/>
      <c r="WWB7" s="302"/>
      <c r="WWC7" s="302"/>
      <c r="WWD7" s="302"/>
      <c r="WWE7" s="302"/>
      <c r="WWF7" s="302"/>
      <c r="WWG7" s="302"/>
      <c r="WWH7" s="302"/>
      <c r="WWI7" s="302"/>
      <c r="WWJ7" s="302"/>
      <c r="WWK7" s="302"/>
      <c r="WWL7" s="302"/>
      <c r="WWM7" s="302"/>
      <c r="WWN7" s="302"/>
      <c r="WWO7" s="302"/>
      <c r="WWP7" s="302"/>
      <c r="WWQ7" s="302"/>
      <c r="WWR7" s="302"/>
      <c r="WWS7" s="302"/>
      <c r="WWT7" s="302"/>
      <c r="WWU7" s="302"/>
      <c r="WWV7" s="302"/>
      <c r="WWW7" s="302"/>
      <c r="WWX7" s="302"/>
      <c r="WWY7" s="302"/>
      <c r="WWZ7" s="302"/>
      <c r="WXA7" s="302"/>
      <c r="WXB7" s="302"/>
      <c r="WXC7" s="302"/>
      <c r="WXD7" s="302"/>
      <c r="WXE7" s="302"/>
      <c r="WXF7" s="302"/>
      <c r="WXG7" s="302"/>
      <c r="WXH7" s="302"/>
      <c r="WXI7" s="302"/>
      <c r="WXJ7" s="302"/>
      <c r="WXK7" s="302"/>
      <c r="WXL7" s="302"/>
      <c r="WXM7" s="302"/>
      <c r="WXN7" s="302"/>
      <c r="WXO7" s="302"/>
      <c r="WXP7" s="302"/>
      <c r="WXQ7" s="302"/>
      <c r="WXR7" s="302"/>
      <c r="WXS7" s="302"/>
      <c r="WXT7" s="302"/>
      <c r="WXU7" s="302"/>
      <c r="WXV7" s="302"/>
      <c r="WXW7" s="302"/>
      <c r="WXX7" s="302"/>
      <c r="WXY7" s="302"/>
      <c r="WXZ7" s="302"/>
      <c r="WYA7" s="302"/>
      <c r="WYB7" s="302"/>
      <c r="WYC7" s="302"/>
      <c r="WYD7" s="302"/>
      <c r="WYE7" s="302"/>
      <c r="WYF7" s="302"/>
      <c r="WYG7" s="302"/>
      <c r="WYH7" s="302"/>
      <c r="WYI7" s="302"/>
      <c r="WYJ7" s="302"/>
      <c r="WYK7" s="302"/>
      <c r="WYL7" s="302"/>
      <c r="WYM7" s="302"/>
      <c r="WYN7" s="302"/>
      <c r="WYO7" s="302"/>
      <c r="WYP7" s="302"/>
      <c r="WYQ7" s="302"/>
      <c r="WYR7" s="302"/>
      <c r="WYS7" s="302"/>
      <c r="WYT7" s="302"/>
      <c r="WYU7" s="302"/>
      <c r="WYV7" s="302"/>
      <c r="WYW7" s="302"/>
      <c r="WYX7" s="302"/>
      <c r="WYY7" s="302"/>
      <c r="WYZ7" s="302"/>
      <c r="WZA7" s="302"/>
      <c r="WZB7" s="302"/>
      <c r="WZC7" s="302"/>
      <c r="WZD7" s="302"/>
      <c r="WZE7" s="302"/>
      <c r="WZF7" s="302"/>
      <c r="WZG7" s="302"/>
      <c r="WZH7" s="302"/>
      <c r="WZI7" s="302"/>
      <c r="WZJ7" s="302"/>
      <c r="WZK7" s="302"/>
      <c r="WZL7" s="302"/>
      <c r="WZM7" s="302"/>
      <c r="WZN7" s="302"/>
      <c r="WZO7" s="302"/>
      <c r="WZP7" s="302"/>
      <c r="WZQ7" s="302"/>
      <c r="WZR7" s="302"/>
      <c r="WZS7" s="302"/>
      <c r="WZT7" s="302"/>
      <c r="WZU7" s="302"/>
      <c r="WZV7" s="302"/>
      <c r="WZW7" s="302"/>
      <c r="WZX7" s="302"/>
      <c r="WZY7" s="302"/>
      <c r="WZZ7" s="302"/>
      <c r="XAA7" s="302"/>
      <c r="XAB7" s="302"/>
      <c r="XAC7" s="302"/>
      <c r="XAD7" s="302"/>
      <c r="XAE7" s="302"/>
      <c r="XAF7" s="302"/>
      <c r="XAG7" s="302"/>
      <c r="XAH7" s="302"/>
      <c r="XAI7" s="302"/>
      <c r="XAJ7" s="302"/>
      <c r="XAK7" s="302"/>
      <c r="XAL7" s="302"/>
      <c r="XAM7" s="302"/>
      <c r="XAN7" s="302"/>
      <c r="XAO7" s="302"/>
      <c r="XAP7" s="302"/>
      <c r="XAQ7" s="302"/>
      <c r="XAR7" s="302"/>
      <c r="XAS7" s="302"/>
      <c r="XAT7" s="302"/>
      <c r="XAU7" s="302"/>
      <c r="XAV7" s="302"/>
      <c r="XAW7" s="302"/>
      <c r="XAX7" s="302"/>
      <c r="XAY7" s="302"/>
      <c r="XAZ7" s="302"/>
      <c r="XBA7" s="302"/>
      <c r="XBB7" s="302"/>
      <c r="XBC7" s="302"/>
      <c r="XBD7" s="302"/>
      <c r="XBE7" s="302"/>
      <c r="XBF7" s="302"/>
      <c r="XBG7" s="302"/>
      <c r="XBH7" s="302"/>
      <c r="XBI7" s="302"/>
      <c r="XBJ7" s="302"/>
      <c r="XBK7" s="302"/>
      <c r="XBL7" s="302"/>
      <c r="XBM7" s="302"/>
      <c r="XBN7" s="302"/>
      <c r="XBO7" s="302"/>
      <c r="XBP7" s="302"/>
      <c r="XBQ7" s="302"/>
      <c r="XBR7" s="302"/>
      <c r="XBS7" s="302"/>
      <c r="XBT7" s="302"/>
      <c r="XBU7" s="302"/>
      <c r="XBV7" s="302"/>
      <c r="XBW7" s="302"/>
      <c r="XBX7" s="302"/>
      <c r="XBY7" s="302"/>
      <c r="XBZ7" s="302"/>
      <c r="XCA7" s="302"/>
      <c r="XCB7" s="302"/>
      <c r="XCC7" s="302"/>
      <c r="XCD7" s="302"/>
      <c r="XCE7" s="302"/>
      <c r="XCF7" s="302"/>
      <c r="XCG7" s="302"/>
      <c r="XCH7" s="302"/>
      <c r="XCI7" s="302"/>
      <c r="XCJ7" s="302"/>
      <c r="XCK7" s="302"/>
      <c r="XCL7" s="302"/>
      <c r="XCM7" s="302"/>
      <c r="XCN7" s="302"/>
      <c r="XCO7" s="302"/>
      <c r="XCP7" s="302"/>
      <c r="XCQ7" s="302"/>
      <c r="XCR7" s="302"/>
      <c r="XCS7" s="302"/>
      <c r="XCT7" s="302"/>
      <c r="XCU7" s="302"/>
      <c r="XCV7" s="302"/>
      <c r="XCW7" s="302"/>
      <c r="XCX7" s="302"/>
      <c r="XCY7" s="302"/>
      <c r="XCZ7" s="302"/>
    </row>
    <row r="8" spans="1:16328" s="136" customFormat="1" ht="13.5">
      <c r="A8" s="207" t="s">
        <v>5041</v>
      </c>
      <c r="B8" s="308" t="s">
        <v>5148</v>
      </c>
      <c r="C8" s="207" t="s">
        <v>5131</v>
      </c>
      <c r="D8" s="208" t="s">
        <v>1181</v>
      </c>
      <c r="E8" s="209">
        <v>2</v>
      </c>
      <c r="F8" s="300" t="s">
        <v>6078</v>
      </c>
      <c r="G8" s="209">
        <f>3*10+7.66*88</f>
        <v>704.08</v>
      </c>
    </row>
    <row r="9" spans="1:16328" ht="15" customHeight="1">
      <c r="A9" s="211" t="s">
        <v>5042</v>
      </c>
      <c r="B9" s="308" t="s">
        <v>5148</v>
      </c>
      <c r="C9" s="207" t="s">
        <v>5131</v>
      </c>
      <c r="D9" s="210" t="s">
        <v>1818</v>
      </c>
      <c r="E9" s="209">
        <f>144-3-2-12-12-12-100</f>
        <v>3</v>
      </c>
      <c r="F9" s="299">
        <v>0</v>
      </c>
      <c r="G9" s="217"/>
    </row>
    <row r="10" spans="1:16328" ht="15" customHeight="1">
      <c r="A10" s="211" t="s">
        <v>5051</v>
      </c>
      <c r="B10" s="308" t="s">
        <v>5148</v>
      </c>
      <c r="C10" s="207" t="s">
        <v>5131</v>
      </c>
      <c r="D10" s="210" t="s">
        <v>5377</v>
      </c>
      <c r="E10" s="209">
        <f>144-24-12</f>
        <v>108</v>
      </c>
      <c r="F10" s="299">
        <v>0</v>
      </c>
      <c r="G10" s="209"/>
    </row>
    <row r="11" spans="1:16328" ht="15" customHeight="1">
      <c r="A11" s="207" t="s">
        <v>5057</v>
      </c>
      <c r="B11" s="308" t="s">
        <v>5148</v>
      </c>
      <c r="C11" s="207" t="s">
        <v>5132</v>
      </c>
      <c r="D11" s="210">
        <v>2245</v>
      </c>
      <c r="E11" s="209">
        <f>288-3-12-12</f>
        <v>261</v>
      </c>
      <c r="F11" s="299">
        <v>0</v>
      </c>
      <c r="G11" s="217"/>
    </row>
    <row r="12" spans="1:16328" ht="15" customHeight="1">
      <c r="A12" s="207" t="s">
        <v>5058</v>
      </c>
      <c r="B12" s="308" t="s">
        <v>5148</v>
      </c>
      <c r="C12" s="207" t="s">
        <v>5133</v>
      </c>
      <c r="D12" s="210">
        <v>3983</v>
      </c>
      <c r="E12" s="209">
        <f>250-3-10-10-10</f>
        <v>217</v>
      </c>
      <c r="F12" s="299">
        <v>0</v>
      </c>
      <c r="G12" s="217"/>
    </row>
    <row r="13" spans="1:16328" ht="15" customHeight="1">
      <c r="A13" s="211" t="s">
        <v>5044</v>
      </c>
      <c r="B13" s="308" t="s">
        <v>5148</v>
      </c>
      <c r="C13" s="207" t="s">
        <v>5133</v>
      </c>
      <c r="D13" s="210">
        <v>3985</v>
      </c>
      <c r="E13" s="209">
        <f>250-1-150</f>
        <v>99</v>
      </c>
      <c r="F13" s="299">
        <v>0</v>
      </c>
      <c r="G13" s="209"/>
    </row>
    <row r="14" spans="1:16328" ht="15" customHeight="1">
      <c r="A14" s="207" t="s">
        <v>5055</v>
      </c>
      <c r="B14" s="307"/>
      <c r="C14" s="207"/>
      <c r="D14" s="210" t="s">
        <v>5373</v>
      </c>
      <c r="E14" s="209">
        <v>0</v>
      </c>
      <c r="F14" s="209"/>
      <c r="G14" s="209"/>
    </row>
    <row r="15" spans="1:16328" ht="15" customHeight="1">
      <c r="A15" s="207" t="s">
        <v>5054</v>
      </c>
      <c r="B15" s="307"/>
      <c r="C15" s="207"/>
      <c r="D15" s="210" t="s">
        <v>5374</v>
      </c>
      <c r="E15" s="209">
        <v>0</v>
      </c>
      <c r="F15" s="209"/>
      <c r="G15" s="209"/>
    </row>
    <row r="16" spans="1:16328" ht="15" customHeight="1">
      <c r="A16" s="207" t="s">
        <v>5056</v>
      </c>
      <c r="B16" s="307"/>
      <c r="C16" s="207"/>
      <c r="D16" s="210" t="s">
        <v>5375</v>
      </c>
      <c r="E16" s="209">
        <v>0</v>
      </c>
      <c r="F16" s="209"/>
      <c r="G16" s="209"/>
    </row>
    <row r="17" spans="1:7" ht="15" customHeight="1">
      <c r="A17" s="207" t="s">
        <v>5053</v>
      </c>
      <c r="B17" s="307"/>
      <c r="C17" s="207"/>
      <c r="D17" s="210" t="s">
        <v>5376</v>
      </c>
      <c r="E17" s="209">
        <v>0</v>
      </c>
      <c r="F17" s="209"/>
      <c r="G17" s="209"/>
    </row>
    <row r="18" spans="1:7" ht="15" customHeight="1">
      <c r="A18" s="207" t="s">
        <v>5052</v>
      </c>
      <c r="B18" s="308" t="s">
        <v>5149</v>
      </c>
      <c r="C18" s="207" t="s">
        <v>5134</v>
      </c>
      <c r="D18" s="210" t="s">
        <v>1817</v>
      </c>
      <c r="E18" s="209">
        <f>288-3-12-12</f>
        <v>261</v>
      </c>
      <c r="F18" s="299">
        <v>0</v>
      </c>
      <c r="G18" s="217"/>
    </row>
    <row r="19" spans="1:7" ht="15" customHeight="1">
      <c r="A19" s="211" t="s">
        <v>5045</v>
      </c>
      <c r="B19" s="308" t="s">
        <v>5149</v>
      </c>
      <c r="C19" s="211" t="s">
        <v>5137</v>
      </c>
      <c r="D19" s="210" t="s">
        <v>1819</v>
      </c>
      <c r="E19" s="209">
        <f>288-3-1-12-12-12</f>
        <v>248</v>
      </c>
      <c r="F19" s="299">
        <v>0</v>
      </c>
      <c r="G19" s="217"/>
    </row>
    <row r="20" spans="1:7" ht="15" customHeight="1">
      <c r="A20" s="207" t="s">
        <v>5046</v>
      </c>
      <c r="B20" s="308" t="s">
        <v>5149</v>
      </c>
      <c r="C20" s="211" t="s">
        <v>5137</v>
      </c>
      <c r="D20" s="210" t="s">
        <v>1819</v>
      </c>
      <c r="E20" s="209">
        <v>288</v>
      </c>
      <c r="F20" s="299">
        <v>0</v>
      </c>
      <c r="G20" s="209"/>
    </row>
    <row r="21" spans="1:7" ht="15" customHeight="1">
      <c r="A21" s="207" t="s">
        <v>5045</v>
      </c>
      <c r="B21" s="308" t="s">
        <v>5149</v>
      </c>
      <c r="C21" s="211" t="s">
        <v>5136</v>
      </c>
      <c r="D21" s="210" t="s">
        <v>1820</v>
      </c>
      <c r="E21" s="209">
        <f>288-3-12-12</f>
        <v>261</v>
      </c>
      <c r="F21" s="299">
        <v>0</v>
      </c>
      <c r="G21" s="217"/>
    </row>
    <row r="22" spans="1:7" ht="15" customHeight="1">
      <c r="A22" s="207" t="s">
        <v>5046</v>
      </c>
      <c r="B22" s="308" t="s">
        <v>5149</v>
      </c>
      <c r="C22" s="207" t="s">
        <v>5135</v>
      </c>
      <c r="D22" s="210" t="s">
        <v>1820</v>
      </c>
      <c r="E22" s="209">
        <v>288</v>
      </c>
      <c r="F22" s="299">
        <v>0</v>
      </c>
      <c r="G22" s="209"/>
    </row>
    <row r="23" spans="1:7" ht="15" customHeight="1">
      <c r="A23" s="207" t="s">
        <v>5046</v>
      </c>
      <c r="B23" s="308" t="s">
        <v>5149</v>
      </c>
      <c r="C23" s="207" t="s">
        <v>5138</v>
      </c>
      <c r="D23" s="210" t="s">
        <v>1821</v>
      </c>
      <c r="E23" s="209">
        <f>576-3-12-12-12</f>
        <v>537</v>
      </c>
      <c r="F23" s="299">
        <v>0</v>
      </c>
      <c r="G23" s="217"/>
    </row>
    <row r="24" spans="1:7" ht="15" customHeight="1">
      <c r="A24" s="207" t="s">
        <v>5046</v>
      </c>
      <c r="B24" s="308" t="s">
        <v>5149</v>
      </c>
      <c r="C24" s="207" t="s">
        <v>5139</v>
      </c>
      <c r="D24" s="210" t="s">
        <v>1822</v>
      </c>
      <c r="E24" s="209">
        <f>720-3-12-12-12</f>
        <v>681</v>
      </c>
      <c r="F24" s="299">
        <v>0</v>
      </c>
      <c r="G24" s="217"/>
    </row>
    <row r="25" spans="1:7" ht="15" customHeight="1">
      <c r="A25" s="207" t="s">
        <v>5046</v>
      </c>
      <c r="B25" s="308" t="s">
        <v>5149</v>
      </c>
      <c r="C25" s="207" t="s">
        <v>5140</v>
      </c>
      <c r="D25" s="210" t="s">
        <v>1823</v>
      </c>
      <c r="E25" s="209">
        <f>576-3-10-4+3-12-12-12-1</f>
        <v>525</v>
      </c>
      <c r="F25" s="299">
        <v>0</v>
      </c>
      <c r="G25" s="217"/>
    </row>
    <row r="26" spans="1:7" ht="15" customHeight="1">
      <c r="A26" s="207" t="s">
        <v>5045</v>
      </c>
      <c r="B26" s="308" t="s">
        <v>5149</v>
      </c>
      <c r="C26" s="207" t="s">
        <v>5141</v>
      </c>
      <c r="D26" s="210" t="s">
        <v>1824</v>
      </c>
      <c r="E26" s="209">
        <f>288-3-12-12</f>
        <v>261</v>
      </c>
      <c r="F26" s="299">
        <v>0</v>
      </c>
      <c r="G26" s="217"/>
    </row>
    <row r="27" spans="1:7" ht="15" customHeight="1">
      <c r="A27" s="207" t="s">
        <v>5047</v>
      </c>
      <c r="B27" s="308" t="s">
        <v>5149</v>
      </c>
      <c r="C27" s="211" t="s">
        <v>5143</v>
      </c>
      <c r="D27" s="210" t="s">
        <v>1825</v>
      </c>
      <c r="E27" s="209">
        <f>144-60-12-12-12</f>
        <v>48</v>
      </c>
      <c r="F27" s="299">
        <v>0</v>
      </c>
      <c r="G27" s="217"/>
    </row>
    <row r="28" spans="1:7" ht="15" customHeight="1">
      <c r="A28" s="207" t="s">
        <v>5050</v>
      </c>
      <c r="B28" s="308" t="s">
        <v>5149</v>
      </c>
      <c r="C28" s="207" t="s">
        <v>5142</v>
      </c>
      <c r="D28" s="210" t="s">
        <v>1825</v>
      </c>
      <c r="E28" s="209">
        <f>144-3-140</f>
        <v>1</v>
      </c>
      <c r="F28" s="299">
        <v>0</v>
      </c>
      <c r="G28" s="209"/>
    </row>
    <row r="29" spans="1:7" ht="15" customHeight="1">
      <c r="A29" s="207" t="s">
        <v>5048</v>
      </c>
      <c r="B29" s="307"/>
      <c r="C29" s="207"/>
      <c r="D29" s="210" t="s">
        <v>5378</v>
      </c>
      <c r="E29" s="209">
        <v>0</v>
      </c>
      <c r="F29" s="209"/>
      <c r="G29" s="209"/>
    </row>
    <row r="30" spans="1:7" ht="15" customHeight="1">
      <c r="A30" s="207" t="s">
        <v>5050</v>
      </c>
      <c r="B30" s="307"/>
      <c r="C30" s="207"/>
      <c r="D30" s="210" t="s">
        <v>5378</v>
      </c>
      <c r="E30" s="209">
        <v>0</v>
      </c>
      <c r="F30" s="209"/>
      <c r="G30" s="209"/>
    </row>
    <row r="31" spans="1:7" ht="15" customHeight="1">
      <c r="A31" s="207" t="s">
        <v>5049</v>
      </c>
      <c r="B31" s="308" t="s">
        <v>5149</v>
      </c>
      <c r="C31" s="207" t="s">
        <v>5144</v>
      </c>
      <c r="D31" s="210" t="s">
        <v>1826</v>
      </c>
      <c r="E31" s="209">
        <f>288-3-12-12</f>
        <v>261</v>
      </c>
      <c r="F31" s="299">
        <v>0</v>
      </c>
      <c r="G31" s="209"/>
    </row>
    <row r="32" spans="1:7" ht="15" customHeight="1">
      <c r="A32" s="211" t="s">
        <v>5059</v>
      </c>
      <c r="B32" s="308" t="s">
        <v>5148</v>
      </c>
      <c r="C32" s="211" t="s">
        <v>5145</v>
      </c>
      <c r="D32" s="210" t="s">
        <v>1827</v>
      </c>
      <c r="E32" s="209">
        <f>288-2-1-12-12-12-50</f>
        <v>199</v>
      </c>
      <c r="F32" s="299">
        <v>0</v>
      </c>
      <c r="G32" s="217"/>
    </row>
    <row r="33" spans="1:7" ht="15" customHeight="1">
      <c r="A33" s="211" t="s">
        <v>5062</v>
      </c>
      <c r="B33" s="307" t="s">
        <v>5148</v>
      </c>
      <c r="C33" s="207" t="s">
        <v>5145</v>
      </c>
      <c r="D33" s="210" t="s">
        <v>1827</v>
      </c>
      <c r="E33" s="209">
        <f>288-3-1-10</f>
        <v>274</v>
      </c>
      <c r="F33" s="299">
        <v>0</v>
      </c>
      <c r="G33" s="209"/>
    </row>
    <row r="34" spans="1:7" ht="15" customHeight="1">
      <c r="A34" s="211" t="s">
        <v>5411</v>
      </c>
      <c r="B34" s="307" t="s">
        <v>5148</v>
      </c>
      <c r="C34" s="207" t="s">
        <v>5146</v>
      </c>
      <c r="D34" s="210" t="s">
        <v>1828</v>
      </c>
      <c r="E34" s="209">
        <f>144-3-12-12-12</f>
        <v>105</v>
      </c>
      <c r="F34" s="299">
        <v>0</v>
      </c>
      <c r="G34" s="217"/>
    </row>
    <row r="35" spans="1:7" ht="15" customHeight="1">
      <c r="A35" s="211" t="s">
        <v>5410</v>
      </c>
      <c r="B35" s="307" t="s">
        <v>5148</v>
      </c>
      <c r="C35" s="207" t="s">
        <v>5146</v>
      </c>
      <c r="D35" s="210" t="s">
        <v>1828</v>
      </c>
      <c r="E35" s="209">
        <v>144</v>
      </c>
      <c r="F35" s="299">
        <v>0</v>
      </c>
      <c r="G35" s="209"/>
    </row>
    <row r="36" spans="1:7" ht="15" customHeight="1">
      <c r="A36" s="207" t="s">
        <v>5060</v>
      </c>
      <c r="B36" s="307" t="s">
        <v>5148</v>
      </c>
      <c r="C36" s="207" t="s">
        <v>5409</v>
      </c>
      <c r="D36" s="210" t="s">
        <v>5379</v>
      </c>
      <c r="E36" s="323">
        <v>400</v>
      </c>
      <c r="F36" s="299">
        <v>0</v>
      </c>
      <c r="G36" s="217"/>
    </row>
    <row r="37" spans="1:7" ht="15" customHeight="1">
      <c r="A37" s="207" t="s">
        <v>5060</v>
      </c>
      <c r="B37" s="307" t="s">
        <v>5148</v>
      </c>
      <c r="C37" s="207" t="s">
        <v>5409</v>
      </c>
      <c r="D37" s="210" t="s">
        <v>5379</v>
      </c>
      <c r="E37" s="323">
        <v>500</v>
      </c>
      <c r="F37" s="374">
        <v>1.32</v>
      </c>
      <c r="G37" s="374">
        <f>F37*E37</f>
        <v>660</v>
      </c>
    </row>
    <row r="38" spans="1:7" ht="15" customHeight="1">
      <c r="A38" s="207" t="s">
        <v>5061</v>
      </c>
      <c r="B38" s="307"/>
      <c r="C38" s="207"/>
      <c r="D38" s="210" t="s">
        <v>5380</v>
      </c>
      <c r="E38" s="209">
        <v>0</v>
      </c>
      <c r="F38" s="209"/>
      <c r="G38" s="209"/>
    </row>
    <row r="39" spans="1:7" ht="15" customHeight="1">
      <c r="A39" s="211" t="s">
        <v>1848</v>
      </c>
      <c r="B39" s="308"/>
      <c r="C39" s="211"/>
      <c r="D39" s="208"/>
      <c r="E39" s="300">
        <f>398-1</f>
        <v>397</v>
      </c>
      <c r="F39" s="299">
        <v>0</v>
      </c>
      <c r="G39" s="209"/>
    </row>
    <row r="40" spans="1:7" ht="15" customHeight="1">
      <c r="A40" s="216" t="s">
        <v>1850</v>
      </c>
      <c r="B40" s="216"/>
      <c r="C40" s="216"/>
      <c r="D40" s="218"/>
      <c r="E40" s="217"/>
      <c r="F40" s="217"/>
      <c r="G40" s="217">
        <f>SUM(G2:G39)</f>
        <v>2903.08</v>
      </c>
    </row>
  </sheetData>
  <autoFilter ref="A1:G40">
    <filterColumn colId="0"/>
    <filterColumn colId="1"/>
    <filterColumn colId="2"/>
  </autoFilter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0"/>
  <sheetViews>
    <sheetView zoomScaleSheetLayoutView="100" workbookViewId="0">
      <pane ySplit="1" topLeftCell="A2" activePane="bottomLeft" state="frozen"/>
      <selection pane="bottomLeft" activeCell="I249" sqref="I249"/>
    </sheetView>
  </sheetViews>
  <sheetFormatPr defaultRowHeight="13.5" customHeight="1"/>
  <cols>
    <col min="1" max="1" width="13.375" style="6" customWidth="1"/>
    <col min="2" max="2" width="28.75" style="3" customWidth="1"/>
    <col min="3" max="3" width="12.375" style="3" customWidth="1"/>
    <col min="4" max="4" width="9.375" style="3" customWidth="1"/>
    <col min="5" max="5" width="7.375" style="3" customWidth="1"/>
    <col min="6" max="6" width="19.75" style="3" customWidth="1"/>
    <col min="7" max="7" width="8" style="3" customWidth="1"/>
    <col min="8" max="8" width="11" style="3" customWidth="1"/>
    <col min="9" max="9" width="18.5" style="3" customWidth="1"/>
    <col min="10" max="16384" width="9" style="3"/>
  </cols>
  <sheetData>
    <row r="1" spans="1:9" ht="13.5" customHeight="1">
      <c r="A1" s="6" t="s">
        <v>216</v>
      </c>
      <c r="B1" s="3" t="s">
        <v>218</v>
      </c>
      <c r="C1" s="3" t="s">
        <v>648</v>
      </c>
      <c r="D1" s="3" t="s">
        <v>219</v>
      </c>
      <c r="E1" s="3" t="s">
        <v>220</v>
      </c>
      <c r="F1" s="10" t="s">
        <v>1666</v>
      </c>
      <c r="G1" s="3" t="s">
        <v>228</v>
      </c>
      <c r="H1" s="3" t="s">
        <v>377</v>
      </c>
      <c r="I1" s="10" t="s">
        <v>1628</v>
      </c>
    </row>
    <row r="2" spans="1:9" ht="13.5" customHeight="1">
      <c r="A2" s="4">
        <v>40969</v>
      </c>
      <c r="B2" s="3" t="s">
        <v>307</v>
      </c>
      <c r="C2" s="3">
        <v>1270</v>
      </c>
      <c r="D2" s="3">
        <v>2</v>
      </c>
      <c r="E2" s="3" t="s">
        <v>692</v>
      </c>
      <c r="G2" s="2" t="s">
        <v>705</v>
      </c>
      <c r="H2" s="2" t="s">
        <v>685</v>
      </c>
    </row>
    <row r="3" spans="1:9" ht="13.5" customHeight="1">
      <c r="A3" s="4">
        <v>40969</v>
      </c>
      <c r="B3" s="3" t="s">
        <v>702</v>
      </c>
      <c r="C3" s="3" t="s">
        <v>381</v>
      </c>
      <c r="D3" s="3">
        <v>1</v>
      </c>
      <c r="E3" s="3" t="s">
        <v>686</v>
      </c>
      <c r="G3" s="2" t="s">
        <v>705</v>
      </c>
      <c r="H3" s="2" t="s">
        <v>685</v>
      </c>
    </row>
    <row r="4" spans="1:9" ht="13.5" customHeight="1">
      <c r="A4" s="4">
        <v>40969</v>
      </c>
      <c r="B4" s="2" t="s">
        <v>706</v>
      </c>
      <c r="C4" s="2">
        <v>10436</v>
      </c>
      <c r="D4" s="2" t="s">
        <v>692</v>
      </c>
      <c r="E4" s="5">
        <v>1</v>
      </c>
      <c r="G4" s="2" t="s">
        <v>705</v>
      </c>
      <c r="H4" s="2" t="s">
        <v>685</v>
      </c>
    </row>
    <row r="5" spans="1:9" ht="13.5" customHeight="1">
      <c r="A5" s="4">
        <v>40969</v>
      </c>
      <c r="B5" s="3" t="s">
        <v>704</v>
      </c>
      <c r="C5" s="3" t="s">
        <v>724</v>
      </c>
      <c r="D5" s="3">
        <v>1</v>
      </c>
      <c r="E5" s="3" t="s">
        <v>686</v>
      </c>
      <c r="G5" s="2" t="s">
        <v>705</v>
      </c>
      <c r="H5" s="2" t="s">
        <v>685</v>
      </c>
    </row>
    <row r="6" spans="1:9" ht="13.5" customHeight="1">
      <c r="A6" s="4">
        <v>40969</v>
      </c>
      <c r="B6" s="3" t="s">
        <v>355</v>
      </c>
      <c r="C6" s="3" t="s">
        <v>260</v>
      </c>
      <c r="D6" s="2">
        <v>2</v>
      </c>
      <c r="E6" s="2" t="s">
        <v>686</v>
      </c>
      <c r="F6" s="2"/>
      <c r="G6" s="2" t="s">
        <v>705</v>
      </c>
      <c r="H6" s="2" t="s">
        <v>685</v>
      </c>
    </row>
    <row r="7" spans="1:9" ht="13.5" customHeight="1">
      <c r="A7" s="4">
        <v>40969</v>
      </c>
      <c r="B7" s="11" t="s">
        <v>812</v>
      </c>
      <c r="C7" s="11">
        <v>8511</v>
      </c>
      <c r="D7" s="5">
        <f>2+10</f>
        <v>12</v>
      </c>
      <c r="E7" s="13" t="s">
        <v>686</v>
      </c>
      <c r="F7" s="2"/>
      <c r="G7" s="2" t="s">
        <v>705</v>
      </c>
      <c r="H7" s="2" t="s">
        <v>685</v>
      </c>
    </row>
    <row r="8" spans="1:9" ht="13.5" customHeight="1">
      <c r="A8" s="4">
        <v>40969</v>
      </c>
      <c r="B8" s="1" t="s">
        <v>734</v>
      </c>
      <c r="C8" s="11">
        <v>8822</v>
      </c>
      <c r="D8" s="12">
        <v>10</v>
      </c>
      <c r="E8" s="13" t="s">
        <v>686</v>
      </c>
      <c r="F8" s="2"/>
      <c r="G8" s="2" t="s">
        <v>705</v>
      </c>
      <c r="H8" s="2" t="s">
        <v>685</v>
      </c>
    </row>
    <row r="9" spans="1:9" ht="13.5" customHeight="1">
      <c r="A9" s="4">
        <v>40969</v>
      </c>
      <c r="B9" s="2" t="s">
        <v>238</v>
      </c>
      <c r="C9" s="2" t="s">
        <v>239</v>
      </c>
      <c r="D9" s="2">
        <v>10</v>
      </c>
      <c r="E9" s="2" t="s">
        <v>737</v>
      </c>
      <c r="F9" s="2"/>
      <c r="G9" s="2" t="s">
        <v>651</v>
      </c>
      <c r="H9" s="2" t="s">
        <v>650</v>
      </c>
    </row>
    <row r="10" spans="1:9" ht="13.5" customHeight="1">
      <c r="A10" s="4">
        <v>40969</v>
      </c>
      <c r="B10" s="2" t="s">
        <v>669</v>
      </c>
      <c r="C10" s="2">
        <v>8577</v>
      </c>
      <c r="D10" s="2">
        <v>3</v>
      </c>
      <c r="E10" s="9" t="s">
        <v>686</v>
      </c>
      <c r="F10" s="2"/>
      <c r="G10" s="2" t="s">
        <v>651</v>
      </c>
      <c r="H10" s="2" t="s">
        <v>650</v>
      </c>
    </row>
    <row r="11" spans="1:9" ht="13.5" customHeight="1">
      <c r="A11" s="4">
        <v>40969</v>
      </c>
      <c r="B11" s="2" t="s">
        <v>264</v>
      </c>
      <c r="C11" s="2">
        <v>501</v>
      </c>
      <c r="D11" s="2">
        <v>10</v>
      </c>
      <c r="E11" s="2" t="s">
        <v>230</v>
      </c>
      <c r="F11" s="2"/>
      <c r="G11" s="2" t="s">
        <v>651</v>
      </c>
      <c r="H11" s="2" t="s">
        <v>650</v>
      </c>
    </row>
    <row r="12" spans="1:9" ht="13.5" customHeight="1">
      <c r="A12" s="4">
        <v>40969</v>
      </c>
      <c r="B12" s="2" t="s">
        <v>295</v>
      </c>
      <c r="C12" s="1">
        <v>7744</v>
      </c>
      <c r="D12" s="2">
        <v>10</v>
      </c>
      <c r="E12" s="1" t="s">
        <v>691</v>
      </c>
      <c r="F12" s="2"/>
      <c r="G12" s="1" t="s">
        <v>705</v>
      </c>
      <c r="H12" s="1" t="s">
        <v>685</v>
      </c>
    </row>
    <row r="13" spans="1:9" ht="13.5" customHeight="1">
      <c r="A13" s="4">
        <v>40969</v>
      </c>
      <c r="B13" s="2" t="s">
        <v>289</v>
      </c>
      <c r="C13" s="2">
        <v>10434</v>
      </c>
      <c r="D13" s="2">
        <v>10</v>
      </c>
      <c r="E13" s="2" t="s">
        <v>230</v>
      </c>
      <c r="F13" s="2"/>
      <c r="G13" s="2" t="s">
        <v>651</v>
      </c>
      <c r="H13" s="2" t="s">
        <v>650</v>
      </c>
    </row>
    <row r="14" spans="1:9" ht="13.5" customHeight="1">
      <c r="A14" s="4">
        <v>40969</v>
      </c>
      <c r="B14" s="2" t="s">
        <v>248</v>
      </c>
      <c r="C14" s="2">
        <v>11228</v>
      </c>
      <c r="D14" s="2">
        <v>2</v>
      </c>
      <c r="E14" s="2" t="s">
        <v>230</v>
      </c>
      <c r="F14" s="2"/>
      <c r="G14" s="2" t="s">
        <v>651</v>
      </c>
      <c r="H14" s="2" t="s">
        <v>650</v>
      </c>
    </row>
    <row r="15" spans="1:9" ht="13.5" customHeight="1">
      <c r="A15" s="4">
        <v>40969</v>
      </c>
      <c r="B15" s="2" t="s">
        <v>233</v>
      </c>
      <c r="C15" s="2" t="s">
        <v>234</v>
      </c>
      <c r="D15" s="2">
        <v>84</v>
      </c>
      <c r="E15" s="2" t="s">
        <v>230</v>
      </c>
      <c r="F15" s="2"/>
      <c r="G15" s="2" t="s">
        <v>651</v>
      </c>
      <c r="H15" s="2" t="s">
        <v>650</v>
      </c>
    </row>
    <row r="16" spans="1:9" ht="13.5" customHeight="1">
      <c r="A16" s="4">
        <v>40969</v>
      </c>
      <c r="B16" s="11" t="s">
        <v>620</v>
      </c>
      <c r="C16" s="11" t="s">
        <v>621</v>
      </c>
      <c r="D16" s="11">
        <v>3</v>
      </c>
      <c r="E16" s="15" t="s">
        <v>686</v>
      </c>
      <c r="F16" s="2"/>
      <c r="G16" s="2" t="s">
        <v>651</v>
      </c>
      <c r="H16" s="2" t="s">
        <v>650</v>
      </c>
    </row>
    <row r="17" spans="1:8" ht="13.5" customHeight="1">
      <c r="A17" s="6">
        <v>40969</v>
      </c>
      <c r="B17" s="3" t="s">
        <v>694</v>
      </c>
      <c r="C17" s="3" t="s">
        <v>771</v>
      </c>
      <c r="D17" s="2">
        <v>8</v>
      </c>
      <c r="E17" s="2" t="s">
        <v>692</v>
      </c>
      <c r="F17" s="2"/>
      <c r="G17" s="2" t="s">
        <v>705</v>
      </c>
      <c r="H17" s="2" t="s">
        <v>685</v>
      </c>
    </row>
    <row r="18" spans="1:8" s="8" customFormat="1" ht="13.5" customHeight="1">
      <c r="A18" s="7">
        <v>40969</v>
      </c>
      <c r="B18" s="5" t="s">
        <v>546</v>
      </c>
      <c r="C18" s="5">
        <v>7502</v>
      </c>
      <c r="D18" s="5">
        <v>4</v>
      </c>
      <c r="E18" s="5" t="s">
        <v>230</v>
      </c>
      <c r="F18" s="5"/>
      <c r="G18" s="5" t="s">
        <v>651</v>
      </c>
      <c r="H18" s="5" t="s">
        <v>650</v>
      </c>
    </row>
    <row r="19" spans="1:8" ht="13.5" customHeight="1">
      <c r="A19" s="4">
        <v>40969</v>
      </c>
      <c r="B19" s="2" t="s">
        <v>342</v>
      </c>
      <c r="C19" s="2" t="s">
        <v>263</v>
      </c>
      <c r="D19" s="2">
        <v>1</v>
      </c>
      <c r="E19" s="2" t="s">
        <v>240</v>
      </c>
      <c r="F19" s="2"/>
      <c r="G19" s="2" t="s">
        <v>651</v>
      </c>
      <c r="H19" s="2" t="s">
        <v>650</v>
      </c>
    </row>
    <row r="20" spans="1:8" ht="13.5" customHeight="1">
      <c r="A20" s="4">
        <v>40969</v>
      </c>
      <c r="B20" s="2" t="s">
        <v>267</v>
      </c>
      <c r="C20" s="2">
        <v>12308</v>
      </c>
      <c r="D20" s="2">
        <v>4</v>
      </c>
      <c r="E20" s="2" t="s">
        <v>240</v>
      </c>
      <c r="F20" s="2"/>
      <c r="G20" s="2" t="s">
        <v>651</v>
      </c>
      <c r="H20" s="2" t="s">
        <v>650</v>
      </c>
    </row>
    <row r="21" spans="1:8" ht="13.5" customHeight="1">
      <c r="A21" s="4">
        <v>40969</v>
      </c>
      <c r="B21" s="2" t="s">
        <v>231</v>
      </c>
      <c r="C21" s="2">
        <v>2097</v>
      </c>
      <c r="D21" s="2">
        <v>-1</v>
      </c>
      <c r="E21" s="2" t="s">
        <v>660</v>
      </c>
      <c r="F21" s="2"/>
      <c r="G21" s="2" t="s">
        <v>738</v>
      </c>
      <c r="H21" s="2" t="s">
        <v>650</v>
      </c>
    </row>
    <row r="22" spans="1:8" ht="13.5" customHeight="1">
      <c r="A22" s="6">
        <v>40969</v>
      </c>
      <c r="B22" s="2" t="s">
        <v>289</v>
      </c>
      <c r="C22" s="2">
        <v>10435</v>
      </c>
      <c r="D22" s="2">
        <v>-3</v>
      </c>
      <c r="E22" s="2" t="s">
        <v>739</v>
      </c>
      <c r="F22" s="2"/>
      <c r="G22" s="2" t="s">
        <v>649</v>
      </c>
      <c r="H22" s="2" t="s">
        <v>740</v>
      </c>
    </row>
    <row r="23" spans="1:8" ht="13.5" customHeight="1">
      <c r="A23" s="6">
        <v>40969</v>
      </c>
      <c r="B23" s="2" t="s">
        <v>661</v>
      </c>
      <c r="C23" s="2">
        <v>1711</v>
      </c>
      <c r="D23" s="2">
        <v>-4</v>
      </c>
      <c r="E23" s="2" t="s">
        <v>739</v>
      </c>
      <c r="F23" s="2"/>
      <c r="G23" s="2" t="s">
        <v>738</v>
      </c>
      <c r="H23" s="2" t="s">
        <v>650</v>
      </c>
    </row>
    <row r="24" spans="1:8" ht="13.5" customHeight="1">
      <c r="A24" s="4">
        <v>40969</v>
      </c>
      <c r="B24" s="2" t="s">
        <v>666</v>
      </c>
      <c r="C24" s="2">
        <v>8246</v>
      </c>
      <c r="D24" s="2">
        <v>18</v>
      </c>
      <c r="E24" s="2" t="s">
        <v>739</v>
      </c>
      <c r="F24" s="2"/>
      <c r="G24" s="2" t="s">
        <v>651</v>
      </c>
      <c r="H24" s="2" t="s">
        <v>650</v>
      </c>
    </row>
    <row r="25" spans="1:8" ht="13.5" customHeight="1">
      <c r="A25" s="4">
        <v>40969</v>
      </c>
      <c r="B25" s="2" t="s">
        <v>741</v>
      </c>
      <c r="C25" s="2" t="s">
        <v>664</v>
      </c>
      <c r="D25" s="2">
        <v>-1</v>
      </c>
      <c r="E25" s="2" t="s">
        <v>739</v>
      </c>
      <c r="F25" s="2"/>
      <c r="G25" s="2" t="s">
        <v>651</v>
      </c>
      <c r="H25" s="2" t="s">
        <v>650</v>
      </c>
    </row>
    <row r="26" spans="1:8" ht="13.5" customHeight="1">
      <c r="A26" s="4">
        <v>40969</v>
      </c>
      <c r="B26" s="2" t="s">
        <v>252</v>
      </c>
      <c r="C26" s="2" t="s">
        <v>253</v>
      </c>
      <c r="D26" s="2">
        <v>-2</v>
      </c>
      <c r="E26" s="2" t="s">
        <v>230</v>
      </c>
      <c r="F26" s="2"/>
      <c r="G26" s="2" t="s">
        <v>738</v>
      </c>
      <c r="H26" s="2" t="s">
        <v>650</v>
      </c>
    </row>
    <row r="27" spans="1:8" ht="13.5" customHeight="1">
      <c r="A27" s="6">
        <v>40969</v>
      </c>
      <c r="B27" s="2" t="s">
        <v>322</v>
      </c>
      <c r="C27" s="2">
        <v>8210</v>
      </c>
      <c r="D27" s="2">
        <v>-5</v>
      </c>
      <c r="E27" s="2" t="s">
        <v>739</v>
      </c>
      <c r="F27" s="2"/>
      <c r="G27" s="2" t="s">
        <v>649</v>
      </c>
      <c r="H27" s="2" t="s">
        <v>650</v>
      </c>
    </row>
    <row r="28" spans="1:8" ht="13.5" customHeight="1">
      <c r="A28" s="6">
        <v>40969</v>
      </c>
      <c r="B28" s="2" t="s">
        <v>251</v>
      </c>
      <c r="C28" s="2">
        <v>9022</v>
      </c>
      <c r="D28" s="2">
        <v>-52</v>
      </c>
      <c r="E28" s="2" t="s">
        <v>230</v>
      </c>
      <c r="F28" s="2"/>
      <c r="G28" s="2" t="s">
        <v>738</v>
      </c>
      <c r="H28" s="2" t="s">
        <v>650</v>
      </c>
    </row>
    <row r="29" spans="1:8" ht="13.5" customHeight="1">
      <c r="A29" s="6">
        <v>40969</v>
      </c>
      <c r="B29" s="2" t="s">
        <v>669</v>
      </c>
      <c r="C29" s="2" t="s">
        <v>670</v>
      </c>
      <c r="D29" s="2">
        <v>-21</v>
      </c>
      <c r="E29" s="2" t="s">
        <v>739</v>
      </c>
      <c r="F29" s="2"/>
      <c r="G29" s="2" t="s">
        <v>649</v>
      </c>
      <c r="H29" s="2" t="s">
        <v>650</v>
      </c>
    </row>
    <row r="30" spans="1:8" ht="13.5" customHeight="1">
      <c r="A30" s="4">
        <v>40969</v>
      </c>
      <c r="B30" s="2" t="s">
        <v>672</v>
      </c>
      <c r="C30" s="2" t="s">
        <v>673</v>
      </c>
      <c r="D30" s="2">
        <v>-6</v>
      </c>
      <c r="E30" s="2" t="s">
        <v>739</v>
      </c>
      <c r="F30" s="2"/>
      <c r="G30" s="2" t="s">
        <v>738</v>
      </c>
      <c r="H30" s="2" t="s">
        <v>650</v>
      </c>
    </row>
    <row r="31" spans="1:8" ht="13.5" customHeight="1">
      <c r="A31" s="4">
        <v>40969</v>
      </c>
      <c r="B31" s="2" t="s">
        <v>251</v>
      </c>
      <c r="C31" s="2">
        <v>9005</v>
      </c>
      <c r="D31" s="2">
        <v>-8</v>
      </c>
      <c r="E31" s="2" t="s">
        <v>230</v>
      </c>
      <c r="F31" s="2"/>
      <c r="G31" s="2" t="s">
        <v>738</v>
      </c>
      <c r="H31" s="2" t="s">
        <v>650</v>
      </c>
    </row>
    <row r="32" spans="1:8" ht="13.5" customHeight="1">
      <c r="A32" s="4">
        <v>40969</v>
      </c>
      <c r="B32" s="2" t="s">
        <v>382</v>
      </c>
      <c r="C32" s="2">
        <v>4620</v>
      </c>
      <c r="D32" s="2">
        <v>-3</v>
      </c>
      <c r="E32" s="2" t="s">
        <v>742</v>
      </c>
      <c r="F32" s="2"/>
      <c r="G32" s="2" t="s">
        <v>743</v>
      </c>
      <c r="H32" s="2" t="s">
        <v>650</v>
      </c>
    </row>
    <row r="33" spans="1:9" ht="13.5" customHeight="1">
      <c r="A33" s="4">
        <v>40969</v>
      </c>
      <c r="B33" s="2" t="s">
        <v>683</v>
      </c>
      <c r="C33" s="2" t="s">
        <v>266</v>
      </c>
      <c r="D33" s="2">
        <v>9</v>
      </c>
      <c r="E33" s="2" t="s">
        <v>230</v>
      </c>
      <c r="F33" s="2"/>
      <c r="G33" s="2" t="s">
        <v>651</v>
      </c>
      <c r="H33" s="2" t="s">
        <v>650</v>
      </c>
    </row>
    <row r="34" spans="1:9" ht="13.5" customHeight="1">
      <c r="A34" s="4">
        <v>40969</v>
      </c>
      <c r="B34" s="2" t="s">
        <v>744</v>
      </c>
      <c r="C34" s="2" t="s">
        <v>249</v>
      </c>
      <c r="D34" s="2">
        <v>-3</v>
      </c>
      <c r="E34" s="2" t="s">
        <v>745</v>
      </c>
      <c r="F34" s="2"/>
      <c r="G34" s="2" t="s">
        <v>649</v>
      </c>
      <c r="H34" s="2" t="s">
        <v>650</v>
      </c>
    </row>
    <row r="35" spans="1:9" ht="13.5" customHeight="1">
      <c r="A35" s="4">
        <v>40969</v>
      </c>
      <c r="B35" s="2" t="s">
        <v>355</v>
      </c>
      <c r="C35" s="2" t="s">
        <v>243</v>
      </c>
      <c r="D35" s="2">
        <v>-2</v>
      </c>
      <c r="E35" s="2" t="s">
        <v>745</v>
      </c>
      <c r="F35" s="2"/>
      <c r="G35" s="2" t="s">
        <v>743</v>
      </c>
      <c r="H35" s="2" t="s">
        <v>650</v>
      </c>
    </row>
    <row r="36" spans="1:9" ht="13.5" customHeight="1">
      <c r="A36" s="4">
        <v>40969</v>
      </c>
      <c r="B36" s="2" t="s">
        <v>342</v>
      </c>
      <c r="C36" s="2" t="s">
        <v>263</v>
      </c>
      <c r="D36" s="2">
        <v>-2</v>
      </c>
      <c r="E36" s="2" t="s">
        <v>240</v>
      </c>
      <c r="F36" s="2"/>
      <c r="G36" s="2" t="s">
        <v>743</v>
      </c>
      <c r="H36" s="2" t="s">
        <v>650</v>
      </c>
    </row>
    <row r="37" spans="1:9" ht="13.5" customHeight="1">
      <c r="A37" s="4">
        <v>40969</v>
      </c>
      <c r="B37" s="2" t="s">
        <v>678</v>
      </c>
      <c r="C37" s="2" t="s">
        <v>679</v>
      </c>
      <c r="D37" s="2">
        <v>1</v>
      </c>
      <c r="E37" s="2" t="s">
        <v>237</v>
      </c>
      <c r="F37" s="2"/>
      <c r="G37" s="2" t="s">
        <v>651</v>
      </c>
      <c r="H37" s="2" t="s">
        <v>650</v>
      </c>
    </row>
    <row r="38" spans="1:9" ht="13.5" customHeight="1">
      <c r="A38" s="4">
        <v>40969</v>
      </c>
      <c r="B38" s="2" t="s">
        <v>678</v>
      </c>
      <c r="C38" s="2" t="s">
        <v>681</v>
      </c>
      <c r="D38" s="2">
        <v>-5</v>
      </c>
      <c r="E38" s="2" t="s">
        <v>237</v>
      </c>
      <c r="F38" s="2"/>
      <c r="G38" s="2" t="s">
        <v>743</v>
      </c>
      <c r="H38" s="2" t="s">
        <v>650</v>
      </c>
    </row>
    <row r="39" spans="1:9" ht="13.5" customHeight="1">
      <c r="A39" s="4">
        <v>40969</v>
      </c>
      <c r="B39" s="2" t="s">
        <v>241</v>
      </c>
      <c r="C39" s="2">
        <v>3200</v>
      </c>
      <c r="D39" s="2">
        <v>5</v>
      </c>
      <c r="E39" s="2" t="s">
        <v>745</v>
      </c>
      <c r="F39" s="2"/>
      <c r="G39" s="2" t="s">
        <v>651</v>
      </c>
      <c r="H39" s="2" t="s">
        <v>650</v>
      </c>
    </row>
    <row r="40" spans="1:9" ht="13.5" customHeight="1">
      <c r="A40" s="4">
        <v>40969</v>
      </c>
      <c r="B40" s="2" t="s">
        <v>348</v>
      </c>
      <c r="C40" s="2">
        <v>3700</v>
      </c>
      <c r="D40" s="2">
        <v>-1</v>
      </c>
      <c r="E40" s="2" t="s">
        <v>745</v>
      </c>
      <c r="F40" s="2"/>
      <c r="G40" s="2" t="s">
        <v>743</v>
      </c>
      <c r="H40" s="2" t="s">
        <v>650</v>
      </c>
      <c r="I40" s="3" t="s">
        <v>82</v>
      </c>
    </row>
    <row r="41" spans="1:9" ht="13.5" customHeight="1">
      <c r="A41" s="4">
        <v>40969</v>
      </c>
      <c r="B41" s="2" t="s">
        <v>231</v>
      </c>
      <c r="C41" s="2" t="s">
        <v>236</v>
      </c>
      <c r="D41" s="2">
        <v>-1</v>
      </c>
      <c r="E41" s="2" t="s">
        <v>232</v>
      </c>
      <c r="F41" s="2"/>
      <c r="G41" s="2" t="s">
        <v>743</v>
      </c>
      <c r="H41" s="2" t="s">
        <v>650</v>
      </c>
    </row>
    <row r="42" spans="1:9" ht="13.5" customHeight="1">
      <c r="A42" s="4">
        <v>40969</v>
      </c>
      <c r="B42" s="2" t="s">
        <v>627</v>
      </c>
      <c r="C42" s="2">
        <v>9132</v>
      </c>
      <c r="D42" s="2">
        <v>4</v>
      </c>
      <c r="E42" s="2" t="s">
        <v>745</v>
      </c>
      <c r="F42" s="2"/>
      <c r="G42" s="2" t="s">
        <v>651</v>
      </c>
      <c r="H42" s="2" t="s">
        <v>650</v>
      </c>
    </row>
    <row r="43" spans="1:9" ht="13.5" customHeight="1">
      <c r="A43" s="4">
        <v>40969</v>
      </c>
      <c r="B43" s="2" t="s">
        <v>231</v>
      </c>
      <c r="C43" s="2">
        <v>7711</v>
      </c>
      <c r="D43" s="2">
        <v>15</v>
      </c>
      <c r="E43" s="2" t="s">
        <v>232</v>
      </c>
      <c r="F43" s="2"/>
      <c r="G43" s="2" t="s">
        <v>651</v>
      </c>
      <c r="H43" s="2" t="s">
        <v>650</v>
      </c>
    </row>
    <row r="44" spans="1:9" ht="13.5" customHeight="1">
      <c r="A44" s="4">
        <v>40969</v>
      </c>
      <c r="B44" s="3" t="s">
        <v>723</v>
      </c>
      <c r="C44" s="2" t="s">
        <v>766</v>
      </c>
      <c r="D44" s="2">
        <v>70</v>
      </c>
      <c r="E44" s="2" t="s">
        <v>686</v>
      </c>
      <c r="F44" s="2" t="s">
        <v>668</v>
      </c>
      <c r="G44" s="2" t="s">
        <v>705</v>
      </c>
      <c r="H44" s="2" t="s">
        <v>685</v>
      </c>
    </row>
    <row r="45" spans="1:9" ht="13.5" customHeight="1">
      <c r="A45" s="4">
        <v>40969</v>
      </c>
      <c r="B45" s="1" t="s">
        <v>780</v>
      </c>
      <c r="C45" s="2"/>
      <c r="D45" s="2">
        <v>3</v>
      </c>
      <c r="E45" s="1" t="s">
        <v>686</v>
      </c>
      <c r="F45" s="2"/>
      <c r="G45" s="1" t="s">
        <v>705</v>
      </c>
      <c r="H45" s="1" t="s">
        <v>685</v>
      </c>
    </row>
    <row r="46" spans="1:9" ht="13.5" customHeight="1">
      <c r="A46" s="4">
        <v>41015</v>
      </c>
      <c r="B46" s="2" t="s">
        <v>652</v>
      </c>
      <c r="C46" s="2"/>
      <c r="D46" s="2">
        <v>20</v>
      </c>
      <c r="E46" s="2" t="s">
        <v>653</v>
      </c>
      <c r="F46" s="2" t="s">
        <v>654</v>
      </c>
      <c r="G46" s="2" t="s">
        <v>651</v>
      </c>
      <c r="H46" s="2" t="s">
        <v>650</v>
      </c>
    </row>
    <row r="47" spans="1:9" ht="13.5" customHeight="1">
      <c r="A47" s="4">
        <v>41015</v>
      </c>
      <c r="B47" s="2" t="s">
        <v>655</v>
      </c>
      <c r="C47" s="2"/>
      <c r="D47" s="2">
        <v>10</v>
      </c>
      <c r="E47" s="2" t="s">
        <v>656</v>
      </c>
      <c r="F47" s="2" t="s">
        <v>654</v>
      </c>
      <c r="G47" s="2" t="s">
        <v>651</v>
      </c>
      <c r="H47" s="2" t="s">
        <v>650</v>
      </c>
    </row>
    <row r="48" spans="1:9" ht="13.5" customHeight="1">
      <c r="A48" s="4">
        <v>41015</v>
      </c>
      <c r="B48" s="2" t="s">
        <v>657</v>
      </c>
      <c r="C48" s="2"/>
      <c r="D48" s="2">
        <v>8</v>
      </c>
      <c r="E48" s="2" t="s">
        <v>658</v>
      </c>
      <c r="F48" s="2" t="s">
        <v>654</v>
      </c>
      <c r="G48" s="2" t="s">
        <v>651</v>
      </c>
      <c r="H48" s="2" t="s">
        <v>650</v>
      </c>
    </row>
    <row r="49" spans="1:9" ht="13.5" customHeight="1">
      <c r="A49" s="4">
        <v>41015</v>
      </c>
      <c r="B49" s="2" t="s">
        <v>659</v>
      </c>
      <c r="C49" s="2"/>
      <c r="D49" s="2">
        <v>20</v>
      </c>
      <c r="E49" s="2" t="s">
        <v>656</v>
      </c>
      <c r="F49" s="2" t="s">
        <v>654</v>
      </c>
      <c r="G49" s="2" t="s">
        <v>651</v>
      </c>
      <c r="H49" s="2" t="s">
        <v>650</v>
      </c>
    </row>
    <row r="50" spans="1:9" ht="13.5" customHeight="1">
      <c r="A50" s="4">
        <v>41015</v>
      </c>
      <c r="B50" s="2" t="s">
        <v>231</v>
      </c>
      <c r="C50" s="2">
        <v>2071</v>
      </c>
      <c r="D50" s="2">
        <v>1</v>
      </c>
      <c r="E50" s="2" t="s">
        <v>660</v>
      </c>
      <c r="F50" s="2" t="s">
        <v>654</v>
      </c>
      <c r="G50" s="2" t="s">
        <v>651</v>
      </c>
      <c r="H50" s="2" t="s">
        <v>650</v>
      </c>
    </row>
    <row r="51" spans="1:9" ht="13.5" customHeight="1">
      <c r="A51" s="4">
        <v>41015</v>
      </c>
      <c r="B51" s="2" t="s">
        <v>231</v>
      </c>
      <c r="C51" s="2">
        <v>2091</v>
      </c>
      <c r="D51" s="2">
        <v>2</v>
      </c>
      <c r="E51" s="2" t="s">
        <v>660</v>
      </c>
      <c r="F51" s="2" t="s">
        <v>654</v>
      </c>
      <c r="G51" s="2" t="s">
        <v>651</v>
      </c>
      <c r="H51" s="2" t="s">
        <v>650</v>
      </c>
    </row>
    <row r="52" spans="1:9" ht="13.5" customHeight="1">
      <c r="A52" s="4">
        <v>41015</v>
      </c>
      <c r="B52" s="2" t="s">
        <v>231</v>
      </c>
      <c r="C52" s="2">
        <v>2097</v>
      </c>
      <c r="D52" s="2">
        <v>1</v>
      </c>
      <c r="E52" s="2" t="s">
        <v>660</v>
      </c>
      <c r="F52" s="2" t="s">
        <v>654</v>
      </c>
      <c r="G52" s="2" t="s">
        <v>651</v>
      </c>
      <c r="H52" s="2" t="s">
        <v>650</v>
      </c>
    </row>
    <row r="53" spans="1:9" ht="11.25" customHeight="1">
      <c r="A53" s="4">
        <v>41015</v>
      </c>
      <c r="B53" s="2" t="s">
        <v>231</v>
      </c>
      <c r="C53" s="2" t="s">
        <v>236</v>
      </c>
      <c r="D53" s="2">
        <v>25</v>
      </c>
      <c r="E53" s="2" t="s">
        <v>232</v>
      </c>
      <c r="F53" s="2" t="s">
        <v>654</v>
      </c>
      <c r="G53" s="2" t="s">
        <v>651</v>
      </c>
      <c r="H53" s="2" t="s">
        <v>650</v>
      </c>
    </row>
    <row r="54" spans="1:9" ht="15" customHeight="1">
      <c r="A54" s="4">
        <v>41015</v>
      </c>
      <c r="B54" s="2" t="s">
        <v>289</v>
      </c>
      <c r="C54" s="2">
        <v>10435</v>
      </c>
      <c r="D54" s="2">
        <v>5</v>
      </c>
      <c r="E54" s="2" t="s">
        <v>746</v>
      </c>
      <c r="F54" s="2" t="s">
        <v>654</v>
      </c>
      <c r="G54" s="2" t="s">
        <v>651</v>
      </c>
      <c r="H54" s="2" t="s">
        <v>650</v>
      </c>
    </row>
    <row r="55" spans="1:9" ht="13.5" customHeight="1">
      <c r="A55" s="4">
        <v>41015</v>
      </c>
      <c r="B55" s="2" t="s">
        <v>661</v>
      </c>
      <c r="C55" s="2">
        <v>1711</v>
      </c>
      <c r="D55" s="2">
        <v>4</v>
      </c>
      <c r="E55" s="2" t="s">
        <v>746</v>
      </c>
      <c r="F55" s="2" t="s">
        <v>654</v>
      </c>
      <c r="G55" s="2" t="s">
        <v>651</v>
      </c>
      <c r="H55" s="2" t="s">
        <v>650</v>
      </c>
    </row>
    <row r="56" spans="1:9" ht="13.5" customHeight="1">
      <c r="A56" s="4">
        <v>41015</v>
      </c>
      <c r="B56" s="2" t="s">
        <v>747</v>
      </c>
      <c r="C56" s="2" t="s">
        <v>249</v>
      </c>
      <c r="D56" s="2">
        <v>4</v>
      </c>
      <c r="E56" s="2" t="s">
        <v>746</v>
      </c>
      <c r="F56" s="2" t="s">
        <v>654</v>
      </c>
      <c r="G56" s="2" t="s">
        <v>651</v>
      </c>
      <c r="H56" s="2" t="s">
        <v>650</v>
      </c>
    </row>
    <row r="57" spans="1:9" ht="13.5" customHeight="1">
      <c r="A57" s="4">
        <v>41015</v>
      </c>
      <c r="B57" s="2" t="s">
        <v>662</v>
      </c>
      <c r="C57" s="2" t="s">
        <v>663</v>
      </c>
      <c r="D57" s="2">
        <v>1</v>
      </c>
      <c r="E57" s="2" t="s">
        <v>746</v>
      </c>
      <c r="F57" s="2" t="s">
        <v>654</v>
      </c>
      <c r="G57" s="2" t="s">
        <v>651</v>
      </c>
      <c r="H57" s="2" t="s">
        <v>650</v>
      </c>
    </row>
    <row r="58" spans="1:9" ht="13.5" customHeight="1">
      <c r="A58" s="4">
        <v>41015</v>
      </c>
      <c r="B58" s="2" t="s">
        <v>303</v>
      </c>
      <c r="C58" s="2" t="s">
        <v>748</v>
      </c>
      <c r="D58" s="2">
        <v>1</v>
      </c>
      <c r="E58" s="2" t="s">
        <v>746</v>
      </c>
      <c r="F58" s="2" t="s">
        <v>654</v>
      </c>
      <c r="G58" s="2" t="s">
        <v>651</v>
      </c>
      <c r="H58" s="2" t="s">
        <v>650</v>
      </c>
    </row>
    <row r="59" spans="1:9" ht="13.5" customHeight="1">
      <c r="A59" s="4">
        <v>41015</v>
      </c>
      <c r="B59" s="2" t="s">
        <v>749</v>
      </c>
      <c r="C59" s="2" t="s">
        <v>664</v>
      </c>
      <c r="D59" s="2">
        <v>1</v>
      </c>
      <c r="E59" s="2" t="s">
        <v>746</v>
      </c>
      <c r="F59" s="2" t="s">
        <v>654</v>
      </c>
      <c r="G59" s="2" t="s">
        <v>651</v>
      </c>
      <c r="H59" s="2" t="s">
        <v>650</v>
      </c>
    </row>
    <row r="60" spans="1:9" ht="13.5" customHeight="1">
      <c r="A60" s="4">
        <v>41015</v>
      </c>
      <c r="B60" s="2" t="s">
        <v>750</v>
      </c>
      <c r="C60" s="2" t="s">
        <v>246</v>
      </c>
      <c r="D60" s="2">
        <v>56</v>
      </c>
      <c r="E60" s="2" t="s">
        <v>230</v>
      </c>
      <c r="F60" s="1" t="s">
        <v>772</v>
      </c>
      <c r="G60" s="2" t="s">
        <v>751</v>
      </c>
      <c r="H60" s="2" t="s">
        <v>650</v>
      </c>
      <c r="I60" s="24"/>
    </row>
    <row r="61" spans="1:9" ht="13.5" customHeight="1">
      <c r="A61" s="4">
        <v>41015</v>
      </c>
      <c r="B61" s="2" t="s">
        <v>665</v>
      </c>
      <c r="C61" s="2" t="s">
        <v>246</v>
      </c>
      <c r="D61" s="2">
        <v>46</v>
      </c>
      <c r="E61" s="2" t="s">
        <v>230</v>
      </c>
      <c r="F61" s="2" t="s">
        <v>654</v>
      </c>
      <c r="G61" s="2" t="s">
        <v>651</v>
      </c>
      <c r="H61" s="2" t="s">
        <v>650</v>
      </c>
      <c r="I61" s="24"/>
    </row>
    <row r="62" spans="1:9" ht="13.5" customHeight="1">
      <c r="A62" s="4">
        <v>41015</v>
      </c>
      <c r="B62" s="2" t="s">
        <v>752</v>
      </c>
      <c r="C62" s="2" t="s">
        <v>246</v>
      </c>
      <c r="D62" s="2">
        <v>50</v>
      </c>
      <c r="E62" s="2" t="s">
        <v>230</v>
      </c>
      <c r="F62" s="2" t="s">
        <v>654</v>
      </c>
      <c r="G62" s="2" t="s">
        <v>651</v>
      </c>
      <c r="H62" s="2" t="s">
        <v>650</v>
      </c>
      <c r="I62" s="24"/>
    </row>
    <row r="63" spans="1:9" ht="13.5" customHeight="1">
      <c r="A63" s="4">
        <v>41015</v>
      </c>
      <c r="B63" s="2" t="s">
        <v>666</v>
      </c>
      <c r="C63" s="2">
        <v>8246</v>
      </c>
      <c r="D63" s="2">
        <v>14</v>
      </c>
      <c r="E63" s="2" t="s">
        <v>746</v>
      </c>
      <c r="F63" s="2" t="s">
        <v>654</v>
      </c>
      <c r="G63" s="2" t="s">
        <v>651</v>
      </c>
      <c r="H63" s="2" t="s">
        <v>650</v>
      </c>
      <c r="I63" s="24"/>
    </row>
    <row r="64" spans="1:9" ht="13.5" customHeight="1">
      <c r="A64" s="4">
        <v>41015</v>
      </c>
      <c r="B64" s="2" t="s">
        <v>355</v>
      </c>
      <c r="C64" s="2" t="s">
        <v>243</v>
      </c>
      <c r="D64" s="2">
        <v>4</v>
      </c>
      <c r="E64" s="2" t="s">
        <v>746</v>
      </c>
      <c r="F64" s="2" t="s">
        <v>654</v>
      </c>
      <c r="G64" s="2" t="s">
        <v>651</v>
      </c>
      <c r="H64" s="2" t="s">
        <v>650</v>
      </c>
      <c r="I64" s="24" t="s">
        <v>84</v>
      </c>
    </row>
    <row r="65" spans="1:9" ht="13.5" customHeight="1">
      <c r="A65" s="4">
        <v>41015</v>
      </c>
      <c r="B65" s="2" t="s">
        <v>252</v>
      </c>
      <c r="C65" s="2" t="s">
        <v>253</v>
      </c>
      <c r="D65" s="2">
        <v>22</v>
      </c>
      <c r="E65" s="2" t="s">
        <v>230</v>
      </c>
      <c r="F65" s="2" t="s">
        <v>654</v>
      </c>
      <c r="G65" s="2" t="s">
        <v>651</v>
      </c>
      <c r="H65" s="2" t="s">
        <v>650</v>
      </c>
      <c r="I65" s="24"/>
    </row>
    <row r="66" spans="1:9" ht="13.5" customHeight="1">
      <c r="A66" s="4">
        <v>41015</v>
      </c>
      <c r="B66" s="2" t="s">
        <v>667</v>
      </c>
      <c r="C66" s="2">
        <v>8210</v>
      </c>
      <c r="D66" s="2">
        <v>10</v>
      </c>
      <c r="E66" s="2" t="s">
        <v>746</v>
      </c>
      <c r="F66" s="2" t="s">
        <v>654</v>
      </c>
      <c r="G66" s="2" t="s">
        <v>651</v>
      </c>
      <c r="H66" s="2" t="s">
        <v>650</v>
      </c>
      <c r="I66" s="24"/>
    </row>
    <row r="67" spans="1:9" ht="13.5" customHeight="1">
      <c r="A67" s="4">
        <v>41015</v>
      </c>
      <c r="B67" s="2" t="s">
        <v>251</v>
      </c>
      <c r="C67" s="2">
        <v>9022</v>
      </c>
      <c r="D67" s="2">
        <v>102</v>
      </c>
      <c r="E67" s="2" t="s">
        <v>230</v>
      </c>
      <c r="F67" s="2" t="s">
        <v>654</v>
      </c>
      <c r="G67" s="2" t="s">
        <v>651</v>
      </c>
      <c r="H67" s="2" t="s">
        <v>650</v>
      </c>
      <c r="I67" s="24" t="s">
        <v>85</v>
      </c>
    </row>
    <row r="68" spans="1:9" ht="13.5" customHeight="1">
      <c r="A68" s="4">
        <v>41015</v>
      </c>
      <c r="B68" s="2" t="s">
        <v>669</v>
      </c>
      <c r="C68" s="2" t="s">
        <v>670</v>
      </c>
      <c r="D68" s="2">
        <v>23</v>
      </c>
      <c r="E68" s="2" t="s">
        <v>230</v>
      </c>
      <c r="F68" s="2" t="s">
        <v>654</v>
      </c>
      <c r="G68" s="2" t="s">
        <v>651</v>
      </c>
      <c r="H68" s="2" t="s">
        <v>650</v>
      </c>
      <c r="I68" s="24"/>
    </row>
    <row r="69" spans="1:9" ht="13.5" customHeight="1">
      <c r="A69" s="4">
        <v>41015</v>
      </c>
      <c r="B69" s="2" t="s">
        <v>671</v>
      </c>
      <c r="C69" s="2">
        <v>8247</v>
      </c>
      <c r="D69" s="2">
        <v>26</v>
      </c>
      <c r="E69" s="2" t="s">
        <v>230</v>
      </c>
      <c r="F69" s="2" t="s">
        <v>654</v>
      </c>
      <c r="G69" s="2" t="s">
        <v>651</v>
      </c>
      <c r="H69" s="2" t="s">
        <v>650</v>
      </c>
      <c r="I69" s="24"/>
    </row>
    <row r="70" spans="1:9" ht="13.5" customHeight="1">
      <c r="A70" s="4">
        <v>41015</v>
      </c>
      <c r="B70" s="2" t="s">
        <v>672</v>
      </c>
      <c r="C70" s="2" t="s">
        <v>673</v>
      </c>
      <c r="D70" s="2">
        <v>16</v>
      </c>
      <c r="E70" s="2" t="s">
        <v>230</v>
      </c>
      <c r="F70" s="2" t="s">
        <v>654</v>
      </c>
      <c r="G70" s="2" t="s">
        <v>651</v>
      </c>
      <c r="H70" s="2" t="s">
        <v>650</v>
      </c>
    </row>
    <row r="71" spans="1:9" ht="13.5" customHeight="1">
      <c r="A71" s="4">
        <v>41015</v>
      </c>
      <c r="B71" s="2" t="s">
        <v>251</v>
      </c>
      <c r="C71" s="2">
        <v>9005</v>
      </c>
      <c r="D71" s="2">
        <v>52</v>
      </c>
      <c r="E71" s="2" t="s">
        <v>230</v>
      </c>
      <c r="F71" s="2" t="s">
        <v>654</v>
      </c>
      <c r="G71" s="2" t="s">
        <v>651</v>
      </c>
      <c r="H71" s="2" t="s">
        <v>650</v>
      </c>
    </row>
    <row r="72" spans="1:9" ht="13.5" customHeight="1">
      <c r="A72" s="4">
        <v>41015</v>
      </c>
      <c r="B72" s="2" t="s">
        <v>322</v>
      </c>
      <c r="C72" s="2">
        <v>8840</v>
      </c>
      <c r="D72" s="2">
        <v>20</v>
      </c>
      <c r="E72" s="2" t="s">
        <v>230</v>
      </c>
      <c r="F72" s="2" t="s">
        <v>654</v>
      </c>
      <c r="G72" s="2" t="s">
        <v>651</v>
      </c>
      <c r="H72" s="2" t="s">
        <v>650</v>
      </c>
    </row>
    <row r="73" spans="1:9" ht="13.5" customHeight="1">
      <c r="A73" s="4">
        <v>41015</v>
      </c>
      <c r="B73" s="2" t="s">
        <v>674</v>
      </c>
      <c r="C73" s="2" t="s">
        <v>675</v>
      </c>
      <c r="D73" s="2">
        <v>1</v>
      </c>
      <c r="E73" s="2" t="s">
        <v>676</v>
      </c>
      <c r="F73" s="2" t="s">
        <v>654</v>
      </c>
      <c r="G73" s="2" t="s">
        <v>651</v>
      </c>
      <c r="H73" s="2" t="s">
        <v>650</v>
      </c>
    </row>
    <row r="74" spans="1:9" ht="13.5" customHeight="1">
      <c r="A74" s="4">
        <v>41015</v>
      </c>
      <c r="B74" s="2" t="s">
        <v>382</v>
      </c>
      <c r="C74" s="2">
        <v>4640</v>
      </c>
      <c r="D74" s="2">
        <v>2</v>
      </c>
      <c r="E74" s="2" t="s">
        <v>742</v>
      </c>
      <c r="F74" s="2" t="s">
        <v>654</v>
      </c>
      <c r="G74" s="2" t="s">
        <v>651</v>
      </c>
      <c r="H74" s="2" t="s">
        <v>650</v>
      </c>
    </row>
    <row r="75" spans="1:9" ht="13.5" customHeight="1">
      <c r="A75" s="4">
        <v>41015</v>
      </c>
      <c r="B75" s="2" t="s">
        <v>382</v>
      </c>
      <c r="C75" s="2">
        <v>4620</v>
      </c>
      <c r="D75" s="2">
        <v>5</v>
      </c>
      <c r="E75" s="2" t="s">
        <v>742</v>
      </c>
      <c r="F75" s="2" t="s">
        <v>654</v>
      </c>
      <c r="G75" s="2" t="s">
        <v>651</v>
      </c>
      <c r="H75" s="2" t="s">
        <v>650</v>
      </c>
    </row>
    <row r="76" spans="1:9" ht="13.5" customHeight="1">
      <c r="A76" s="4">
        <v>41015</v>
      </c>
      <c r="B76" s="2" t="s">
        <v>342</v>
      </c>
      <c r="C76" s="2" t="s">
        <v>263</v>
      </c>
      <c r="D76" s="2">
        <v>5</v>
      </c>
      <c r="E76" s="2" t="s">
        <v>240</v>
      </c>
      <c r="F76" s="2" t="s">
        <v>654</v>
      </c>
      <c r="G76" s="2" t="s">
        <v>651</v>
      </c>
      <c r="H76" s="2" t="s">
        <v>650</v>
      </c>
    </row>
    <row r="77" spans="1:9" ht="13.5" customHeight="1">
      <c r="A77" s="4">
        <v>41015</v>
      </c>
      <c r="B77" s="2" t="s">
        <v>652</v>
      </c>
      <c r="C77" s="2"/>
      <c r="D77" s="2">
        <v>-1</v>
      </c>
      <c r="E77" s="2" t="s">
        <v>754</v>
      </c>
      <c r="F77" s="2"/>
      <c r="G77" s="2" t="s">
        <v>649</v>
      </c>
      <c r="H77" s="2" t="s">
        <v>677</v>
      </c>
    </row>
    <row r="78" spans="1:9" ht="13.5" customHeight="1">
      <c r="A78" s="4">
        <v>41015</v>
      </c>
      <c r="B78" s="2" t="s">
        <v>231</v>
      </c>
      <c r="C78" s="2">
        <v>2097</v>
      </c>
      <c r="D78" s="2">
        <v>1</v>
      </c>
      <c r="E78" s="2" t="s">
        <v>660</v>
      </c>
      <c r="F78" s="2"/>
      <c r="G78" s="2" t="s">
        <v>651</v>
      </c>
      <c r="H78" s="2" t="s">
        <v>650</v>
      </c>
    </row>
    <row r="79" spans="1:9" ht="13.5" customHeight="1">
      <c r="A79" s="4">
        <v>41038</v>
      </c>
      <c r="B79" s="2" t="s">
        <v>655</v>
      </c>
      <c r="C79" s="2"/>
      <c r="D79" s="2">
        <v>-1</v>
      </c>
      <c r="E79" s="2" t="s">
        <v>656</v>
      </c>
      <c r="F79" s="2" t="s">
        <v>383</v>
      </c>
      <c r="G79" s="2" t="s">
        <v>649</v>
      </c>
      <c r="H79" s="2" t="s">
        <v>677</v>
      </c>
    </row>
    <row r="80" spans="1:9" ht="13.5" customHeight="1">
      <c r="A80" s="4">
        <v>41039</v>
      </c>
      <c r="B80" s="2" t="s">
        <v>322</v>
      </c>
      <c r="C80" s="2">
        <v>8210</v>
      </c>
      <c r="D80" s="2">
        <v>-1</v>
      </c>
      <c r="E80" s="2" t="s">
        <v>753</v>
      </c>
      <c r="F80" s="2" t="s">
        <v>668</v>
      </c>
      <c r="G80" s="2" t="s">
        <v>649</v>
      </c>
      <c r="H80" s="2" t="s">
        <v>650</v>
      </c>
    </row>
    <row r="81" spans="1:9" ht="13.5" customHeight="1">
      <c r="A81" s="4">
        <v>41039</v>
      </c>
      <c r="B81" s="13" t="s">
        <v>752</v>
      </c>
      <c r="C81" s="2" t="s">
        <v>246</v>
      </c>
      <c r="D81" s="2">
        <v>-2</v>
      </c>
      <c r="E81" s="2" t="s">
        <v>230</v>
      </c>
      <c r="F81" s="2" t="s">
        <v>668</v>
      </c>
      <c r="G81" s="2" t="s">
        <v>649</v>
      </c>
      <c r="H81" s="2" t="s">
        <v>650</v>
      </c>
    </row>
    <row r="82" spans="1:9" ht="13.5" customHeight="1">
      <c r="A82" s="4">
        <v>41026</v>
      </c>
      <c r="B82" s="3" t="s">
        <v>723</v>
      </c>
      <c r="C82" s="2" t="s">
        <v>766</v>
      </c>
      <c r="D82" s="2">
        <v>-70</v>
      </c>
      <c r="E82" s="2" t="s">
        <v>686</v>
      </c>
      <c r="F82" s="2" t="s">
        <v>401</v>
      </c>
      <c r="G82" s="22" t="s">
        <v>738</v>
      </c>
      <c r="H82" s="22" t="s">
        <v>24</v>
      </c>
      <c r="I82" s="23" t="s">
        <v>83</v>
      </c>
    </row>
    <row r="83" spans="1:9" ht="13.5" customHeight="1">
      <c r="A83" s="4">
        <v>41039</v>
      </c>
      <c r="B83" s="3" t="s">
        <v>723</v>
      </c>
      <c r="C83" s="2" t="s">
        <v>235</v>
      </c>
      <c r="D83" s="2">
        <v>-1</v>
      </c>
      <c r="E83" s="2" t="s">
        <v>753</v>
      </c>
      <c r="F83" s="2" t="s">
        <v>668</v>
      </c>
      <c r="G83" s="2" t="s">
        <v>649</v>
      </c>
      <c r="H83" s="2" t="s">
        <v>650</v>
      </c>
    </row>
    <row r="84" spans="1:9" ht="13.5" customHeight="1">
      <c r="A84" s="4">
        <v>41039</v>
      </c>
      <c r="B84" s="2" t="s">
        <v>659</v>
      </c>
      <c r="C84" s="2"/>
      <c r="D84" s="2">
        <v>-1</v>
      </c>
      <c r="E84" s="2" t="s">
        <v>754</v>
      </c>
      <c r="F84" s="2" t="s">
        <v>668</v>
      </c>
      <c r="G84" s="2" t="s">
        <v>649</v>
      </c>
      <c r="H84" s="2" t="s">
        <v>677</v>
      </c>
    </row>
    <row r="85" spans="1:9" ht="13.5" customHeight="1">
      <c r="A85" s="4">
        <v>41039</v>
      </c>
      <c r="B85" s="2" t="s">
        <v>655</v>
      </c>
      <c r="C85" s="2"/>
      <c r="D85" s="2">
        <v>-1</v>
      </c>
      <c r="E85" s="2" t="s">
        <v>754</v>
      </c>
      <c r="F85" s="2" t="s">
        <v>668</v>
      </c>
      <c r="G85" s="2" t="s">
        <v>649</v>
      </c>
      <c r="H85" s="2" t="s">
        <v>677</v>
      </c>
    </row>
    <row r="86" spans="1:9" ht="13.5" customHeight="1">
      <c r="A86" s="4">
        <v>41039</v>
      </c>
      <c r="B86" s="2" t="s">
        <v>652</v>
      </c>
      <c r="C86" s="2"/>
      <c r="D86" s="2">
        <v>-1</v>
      </c>
      <c r="E86" s="2" t="s">
        <v>755</v>
      </c>
      <c r="F86" s="2" t="s">
        <v>668</v>
      </c>
      <c r="G86" s="2" t="s">
        <v>649</v>
      </c>
      <c r="H86" s="2" t="s">
        <v>677</v>
      </c>
    </row>
    <row r="87" spans="1:9" ht="13.5" customHeight="1">
      <c r="A87" s="4">
        <v>41039</v>
      </c>
      <c r="B87" s="2" t="s">
        <v>289</v>
      </c>
      <c r="C87" s="2">
        <v>10435</v>
      </c>
      <c r="D87" s="2">
        <v>-1</v>
      </c>
      <c r="E87" s="2" t="s">
        <v>746</v>
      </c>
      <c r="F87" s="2" t="s">
        <v>668</v>
      </c>
      <c r="G87" s="2" t="s">
        <v>649</v>
      </c>
      <c r="H87" s="2" t="s">
        <v>677</v>
      </c>
    </row>
    <row r="88" spans="1:9" ht="13.5" customHeight="1">
      <c r="A88" s="6">
        <v>41039</v>
      </c>
      <c r="B88" s="3" t="s">
        <v>342</v>
      </c>
      <c r="C88" s="3" t="s">
        <v>239</v>
      </c>
      <c r="D88" s="3">
        <v>-1</v>
      </c>
      <c r="E88" s="2" t="s">
        <v>746</v>
      </c>
      <c r="F88" s="3" t="s">
        <v>668</v>
      </c>
      <c r="G88" s="3" t="s">
        <v>649</v>
      </c>
      <c r="H88" s="3" t="s">
        <v>650</v>
      </c>
    </row>
    <row r="89" spans="1:9" ht="13.5" customHeight="1">
      <c r="A89" s="4">
        <v>41039</v>
      </c>
      <c r="B89" s="2" t="s">
        <v>322</v>
      </c>
      <c r="C89" s="2">
        <v>8210</v>
      </c>
      <c r="D89" s="2">
        <v>-1</v>
      </c>
      <c r="E89" s="2" t="s">
        <v>746</v>
      </c>
      <c r="F89" s="2" t="s">
        <v>668</v>
      </c>
      <c r="G89" s="2" t="s">
        <v>649</v>
      </c>
      <c r="H89" s="2" t="s">
        <v>650</v>
      </c>
    </row>
    <row r="90" spans="1:9" ht="13.5" customHeight="1">
      <c r="A90" s="4">
        <v>41039</v>
      </c>
      <c r="B90" s="2" t="s">
        <v>747</v>
      </c>
      <c r="C90" s="2" t="s">
        <v>249</v>
      </c>
      <c r="D90" s="2">
        <v>-1</v>
      </c>
      <c r="E90" s="2" t="s">
        <v>746</v>
      </c>
      <c r="F90" s="2" t="s">
        <v>668</v>
      </c>
      <c r="G90" s="2" t="s">
        <v>649</v>
      </c>
      <c r="H90" s="2" t="s">
        <v>650</v>
      </c>
    </row>
    <row r="91" spans="1:9" ht="13.5" customHeight="1">
      <c r="A91" s="4">
        <v>41039</v>
      </c>
      <c r="B91" s="2" t="s">
        <v>683</v>
      </c>
      <c r="C91" s="2" t="s">
        <v>266</v>
      </c>
      <c r="D91" s="2">
        <v>-1</v>
      </c>
      <c r="E91" s="2" t="s">
        <v>756</v>
      </c>
      <c r="F91" s="2" t="s">
        <v>668</v>
      </c>
      <c r="G91" s="2" t="s">
        <v>649</v>
      </c>
      <c r="H91" s="2" t="s">
        <v>650</v>
      </c>
    </row>
    <row r="92" spans="1:9" ht="13.5" customHeight="1">
      <c r="A92" s="4">
        <v>41039</v>
      </c>
      <c r="B92" s="2" t="s">
        <v>678</v>
      </c>
      <c r="C92" s="2" t="s">
        <v>679</v>
      </c>
      <c r="D92" s="2">
        <v>-1</v>
      </c>
      <c r="E92" s="2" t="s">
        <v>757</v>
      </c>
      <c r="F92" s="2" t="s">
        <v>668</v>
      </c>
      <c r="G92" s="2" t="s">
        <v>649</v>
      </c>
      <c r="H92" s="2" t="s">
        <v>650</v>
      </c>
    </row>
    <row r="93" spans="1:9" ht="13.5" customHeight="1">
      <c r="A93" s="4">
        <v>41039</v>
      </c>
      <c r="B93" s="2" t="s">
        <v>669</v>
      </c>
      <c r="C93" s="2" t="s">
        <v>670</v>
      </c>
      <c r="D93" s="2">
        <v>-1</v>
      </c>
      <c r="E93" s="2" t="s">
        <v>746</v>
      </c>
      <c r="F93" s="2" t="s">
        <v>668</v>
      </c>
      <c r="G93" s="2" t="s">
        <v>649</v>
      </c>
      <c r="H93" s="2" t="s">
        <v>650</v>
      </c>
    </row>
    <row r="94" spans="1:9" ht="13.5" customHeight="1">
      <c r="A94" s="4">
        <v>41054</v>
      </c>
      <c r="B94" s="13" t="s">
        <v>752</v>
      </c>
      <c r="C94" s="2" t="s">
        <v>246</v>
      </c>
      <c r="D94" s="2">
        <v>-80</v>
      </c>
      <c r="E94" s="2" t="s">
        <v>746</v>
      </c>
      <c r="F94" s="2" t="s">
        <v>687</v>
      </c>
      <c r="G94" s="2" t="s">
        <v>649</v>
      </c>
      <c r="H94" s="2" t="s">
        <v>677</v>
      </c>
      <c r="I94" s="24" t="s">
        <v>84</v>
      </c>
    </row>
    <row r="95" spans="1:9" ht="13.5" customHeight="1">
      <c r="A95" s="4">
        <v>41064</v>
      </c>
      <c r="B95" s="2" t="s">
        <v>678</v>
      </c>
      <c r="C95" s="2" t="s">
        <v>679</v>
      </c>
      <c r="D95" s="2">
        <v>2</v>
      </c>
      <c r="E95" s="2" t="s">
        <v>237</v>
      </c>
      <c r="F95" s="2" t="s">
        <v>680</v>
      </c>
      <c r="G95" s="2" t="s">
        <v>651</v>
      </c>
      <c r="H95" s="2" t="s">
        <v>650</v>
      </c>
    </row>
    <row r="96" spans="1:9" ht="13.5" customHeight="1">
      <c r="A96" s="4">
        <v>41064</v>
      </c>
      <c r="B96" s="2" t="s">
        <v>678</v>
      </c>
      <c r="C96" s="2" t="s">
        <v>681</v>
      </c>
      <c r="D96" s="2">
        <v>12</v>
      </c>
      <c r="E96" s="2" t="s">
        <v>237</v>
      </c>
      <c r="F96" s="2" t="s">
        <v>680</v>
      </c>
      <c r="G96" s="2" t="s">
        <v>651</v>
      </c>
      <c r="H96" s="2" t="s">
        <v>650</v>
      </c>
    </row>
    <row r="97" spans="1:9" ht="13.5" customHeight="1">
      <c r="A97" s="4">
        <v>41064</v>
      </c>
      <c r="B97" s="2" t="s">
        <v>307</v>
      </c>
      <c r="C97" s="2" t="s">
        <v>682</v>
      </c>
      <c r="D97" s="2">
        <v>5</v>
      </c>
      <c r="E97" s="2" t="s">
        <v>230</v>
      </c>
      <c r="F97" s="2" t="s">
        <v>680</v>
      </c>
      <c r="G97" s="2" t="s">
        <v>651</v>
      </c>
      <c r="H97" s="2" t="s">
        <v>650</v>
      </c>
    </row>
    <row r="98" spans="1:9" ht="13.5" customHeight="1">
      <c r="A98" s="4">
        <v>41064</v>
      </c>
      <c r="B98" s="2" t="s">
        <v>683</v>
      </c>
      <c r="C98" s="2" t="s">
        <v>266</v>
      </c>
      <c r="D98" s="2">
        <v>5</v>
      </c>
      <c r="E98" s="2" t="s">
        <v>230</v>
      </c>
      <c r="F98" s="2" t="s">
        <v>680</v>
      </c>
      <c r="G98" s="2" t="s">
        <v>651</v>
      </c>
      <c r="H98" s="2" t="s">
        <v>650</v>
      </c>
    </row>
    <row r="99" spans="1:9" ht="13.5" customHeight="1">
      <c r="A99" s="4">
        <v>41064</v>
      </c>
      <c r="B99" s="2" t="s">
        <v>684</v>
      </c>
      <c r="C99" s="2">
        <v>4510</v>
      </c>
      <c r="D99" s="2">
        <v>5</v>
      </c>
      <c r="E99" s="2" t="s">
        <v>232</v>
      </c>
      <c r="F99" s="2" t="s">
        <v>680</v>
      </c>
      <c r="G99" s="2" t="s">
        <v>651</v>
      </c>
      <c r="H99" s="2" t="s">
        <v>650</v>
      </c>
    </row>
    <row r="100" spans="1:9" ht="13.5" customHeight="1">
      <c r="A100" s="4">
        <v>41064</v>
      </c>
      <c r="B100" s="2" t="s">
        <v>684</v>
      </c>
      <c r="C100" s="2">
        <v>4515</v>
      </c>
      <c r="D100" s="2">
        <v>5</v>
      </c>
      <c r="E100" s="2" t="s">
        <v>232</v>
      </c>
      <c r="F100" s="2" t="s">
        <v>680</v>
      </c>
      <c r="G100" s="2" t="s">
        <v>651</v>
      </c>
      <c r="H100" s="2" t="s">
        <v>650</v>
      </c>
    </row>
    <row r="101" spans="1:9" ht="13.5" customHeight="1">
      <c r="A101" s="6">
        <v>41067</v>
      </c>
      <c r="B101" s="2" t="s">
        <v>233</v>
      </c>
      <c r="C101" s="2" t="s">
        <v>234</v>
      </c>
      <c r="D101" s="2">
        <v>-4</v>
      </c>
      <c r="E101" s="2" t="s">
        <v>230</v>
      </c>
      <c r="F101" s="3" t="s">
        <v>594</v>
      </c>
      <c r="G101" s="3" t="s">
        <v>738</v>
      </c>
      <c r="H101" s="3" t="s">
        <v>80</v>
      </c>
      <c r="I101" s="3" t="s">
        <v>81</v>
      </c>
    </row>
    <row r="102" spans="1:9" ht="13.5" customHeight="1">
      <c r="A102" s="6">
        <v>41081</v>
      </c>
      <c r="B102" s="2" t="s">
        <v>665</v>
      </c>
      <c r="C102" s="2" t="s">
        <v>246</v>
      </c>
      <c r="D102" s="2">
        <v>62</v>
      </c>
      <c r="E102" s="2" t="s">
        <v>746</v>
      </c>
      <c r="F102" s="2" t="s">
        <v>758</v>
      </c>
      <c r="G102" s="2" t="s">
        <v>751</v>
      </c>
      <c r="H102" s="2" t="s">
        <v>759</v>
      </c>
    </row>
    <row r="103" spans="1:9" ht="13.5" customHeight="1">
      <c r="A103" s="6">
        <v>41086</v>
      </c>
      <c r="B103" s="2" t="s">
        <v>241</v>
      </c>
      <c r="C103" s="2">
        <v>3200</v>
      </c>
      <c r="D103" s="2">
        <v>1</v>
      </c>
      <c r="E103" s="2" t="s">
        <v>746</v>
      </c>
      <c r="F103" s="2" t="s">
        <v>760</v>
      </c>
      <c r="G103" s="2" t="s">
        <v>651</v>
      </c>
      <c r="H103" s="2" t="s">
        <v>650</v>
      </c>
    </row>
    <row r="104" spans="1:9" ht="13.5" customHeight="1">
      <c r="A104" s="6">
        <v>41086</v>
      </c>
      <c r="B104" s="3" t="s">
        <v>269</v>
      </c>
      <c r="C104" s="3" t="s">
        <v>270</v>
      </c>
      <c r="D104" s="2">
        <v>1</v>
      </c>
      <c r="E104" s="2" t="s">
        <v>746</v>
      </c>
      <c r="F104" s="2" t="s">
        <v>760</v>
      </c>
      <c r="G104" s="2" t="s">
        <v>651</v>
      </c>
      <c r="H104" s="2" t="s">
        <v>650</v>
      </c>
    </row>
    <row r="105" spans="1:9" ht="13.5" customHeight="1">
      <c r="A105" s="6">
        <v>41086</v>
      </c>
      <c r="B105" s="3" t="s">
        <v>264</v>
      </c>
      <c r="C105" s="3" t="s">
        <v>283</v>
      </c>
      <c r="D105" s="2">
        <v>1</v>
      </c>
      <c r="E105" s="2" t="s">
        <v>739</v>
      </c>
      <c r="F105" s="2" t="s">
        <v>761</v>
      </c>
      <c r="G105" s="2" t="s">
        <v>651</v>
      </c>
      <c r="H105" s="2" t="s">
        <v>650</v>
      </c>
    </row>
    <row r="106" spans="1:9" ht="13.5" customHeight="1">
      <c r="A106" s="6">
        <v>41086</v>
      </c>
      <c r="B106" s="3" t="s">
        <v>762</v>
      </c>
      <c r="C106" s="3" t="s">
        <v>763</v>
      </c>
      <c r="D106" s="2">
        <v>1</v>
      </c>
      <c r="E106" s="2" t="s">
        <v>739</v>
      </c>
      <c r="F106" s="2" t="s">
        <v>761</v>
      </c>
      <c r="G106" s="2" t="s">
        <v>651</v>
      </c>
      <c r="H106" s="2" t="s">
        <v>650</v>
      </c>
    </row>
    <row r="107" spans="1:9" ht="13.5" customHeight="1">
      <c r="A107" s="6">
        <v>41086</v>
      </c>
      <c r="B107" s="2" t="s">
        <v>764</v>
      </c>
      <c r="C107" s="2" t="s">
        <v>249</v>
      </c>
      <c r="D107" s="2">
        <v>1</v>
      </c>
      <c r="E107" s="2" t="s">
        <v>739</v>
      </c>
      <c r="F107" s="2" t="s">
        <v>668</v>
      </c>
      <c r="G107" s="2" t="s">
        <v>765</v>
      </c>
      <c r="H107" s="2" t="s">
        <v>650</v>
      </c>
    </row>
    <row r="108" spans="1:9" ht="13.5" customHeight="1">
      <c r="A108" s="6">
        <v>41086</v>
      </c>
      <c r="B108" s="3" t="s">
        <v>342</v>
      </c>
      <c r="C108" s="3" t="s">
        <v>239</v>
      </c>
      <c r="D108" s="3">
        <v>1</v>
      </c>
      <c r="E108" s="2" t="s">
        <v>739</v>
      </c>
      <c r="F108" s="3" t="s">
        <v>668</v>
      </c>
      <c r="G108" s="3" t="s">
        <v>765</v>
      </c>
      <c r="H108" s="3" t="s">
        <v>650</v>
      </c>
    </row>
    <row r="109" spans="1:9" ht="13.5" customHeight="1">
      <c r="A109" s="6">
        <v>41086</v>
      </c>
      <c r="B109" s="2" t="s">
        <v>289</v>
      </c>
      <c r="C109" s="2">
        <v>10435</v>
      </c>
      <c r="D109" s="2">
        <v>1</v>
      </c>
      <c r="E109" s="2" t="s">
        <v>739</v>
      </c>
      <c r="F109" s="2" t="s">
        <v>668</v>
      </c>
      <c r="G109" s="2" t="s">
        <v>765</v>
      </c>
      <c r="H109" s="2" t="s">
        <v>740</v>
      </c>
    </row>
    <row r="110" spans="1:9" ht="13.5" customHeight="1">
      <c r="A110" s="6">
        <v>41086</v>
      </c>
      <c r="B110" s="2" t="s">
        <v>322</v>
      </c>
      <c r="C110" s="2">
        <v>8210</v>
      </c>
      <c r="D110" s="2">
        <v>1</v>
      </c>
      <c r="E110" s="2" t="s">
        <v>739</v>
      </c>
      <c r="F110" s="2" t="s">
        <v>668</v>
      </c>
      <c r="G110" s="2" t="s">
        <v>765</v>
      </c>
      <c r="H110" s="2" t="s">
        <v>650</v>
      </c>
    </row>
    <row r="111" spans="1:9" ht="13.5" customHeight="1">
      <c r="A111" s="6">
        <v>41086</v>
      </c>
      <c r="B111" s="2" t="s">
        <v>665</v>
      </c>
      <c r="C111" s="2" t="s">
        <v>246</v>
      </c>
      <c r="D111" s="2">
        <v>2</v>
      </c>
      <c r="E111" s="2" t="s">
        <v>739</v>
      </c>
      <c r="F111" s="2" t="s">
        <v>668</v>
      </c>
      <c r="G111" s="2" t="s">
        <v>765</v>
      </c>
      <c r="H111" s="2" t="s">
        <v>740</v>
      </c>
    </row>
    <row r="112" spans="1:9" ht="13.5" customHeight="1">
      <c r="A112" s="6">
        <v>41086</v>
      </c>
      <c r="B112" s="3" t="s">
        <v>723</v>
      </c>
      <c r="C112" s="2" t="s">
        <v>766</v>
      </c>
      <c r="D112" s="2">
        <v>3</v>
      </c>
      <c r="E112" s="2" t="s">
        <v>739</v>
      </c>
      <c r="F112" s="2" t="s">
        <v>668</v>
      </c>
      <c r="G112" s="2" t="s">
        <v>765</v>
      </c>
      <c r="H112" s="2" t="s">
        <v>740</v>
      </c>
    </row>
    <row r="113" spans="1:9" ht="13.5" customHeight="1">
      <c r="A113" s="4">
        <v>41047</v>
      </c>
      <c r="B113" s="2" t="s">
        <v>659</v>
      </c>
      <c r="C113" s="2"/>
      <c r="D113" s="2">
        <v>-5</v>
      </c>
      <c r="E113" s="2" t="s">
        <v>754</v>
      </c>
      <c r="F113" s="13" t="s">
        <v>813</v>
      </c>
      <c r="G113" s="2" t="s">
        <v>649</v>
      </c>
      <c r="H113" s="2" t="s">
        <v>677</v>
      </c>
    </row>
    <row r="114" spans="1:9" ht="13.5" customHeight="1">
      <c r="A114" s="6">
        <v>41086</v>
      </c>
      <c r="B114" s="2" t="s">
        <v>659</v>
      </c>
      <c r="C114" s="2"/>
      <c r="D114" s="2">
        <v>1</v>
      </c>
      <c r="E114" s="2" t="s">
        <v>767</v>
      </c>
      <c r="F114" s="2" t="s">
        <v>668</v>
      </c>
      <c r="G114" s="2" t="s">
        <v>765</v>
      </c>
      <c r="H114" s="2" t="s">
        <v>740</v>
      </c>
    </row>
    <row r="115" spans="1:9" ht="13.5" customHeight="1">
      <c r="A115" s="6">
        <v>41086</v>
      </c>
      <c r="B115" s="2" t="s">
        <v>768</v>
      </c>
      <c r="C115" s="2" t="s">
        <v>703</v>
      </c>
      <c r="D115" s="2">
        <v>1</v>
      </c>
      <c r="E115" s="3" t="s">
        <v>739</v>
      </c>
      <c r="F115" s="3" t="s">
        <v>761</v>
      </c>
      <c r="G115" s="2" t="s">
        <v>765</v>
      </c>
      <c r="H115" s="2" t="s">
        <v>740</v>
      </c>
    </row>
    <row r="116" spans="1:9" ht="13.5" customHeight="1">
      <c r="A116" s="6">
        <v>41086</v>
      </c>
      <c r="B116" s="2" t="s">
        <v>669</v>
      </c>
      <c r="C116" s="2" t="s">
        <v>670</v>
      </c>
      <c r="D116" s="2">
        <v>1</v>
      </c>
      <c r="E116" s="2" t="s">
        <v>739</v>
      </c>
      <c r="F116" s="2" t="s">
        <v>668</v>
      </c>
      <c r="G116" s="2" t="s">
        <v>765</v>
      </c>
      <c r="H116" s="2" t="s">
        <v>650</v>
      </c>
    </row>
    <row r="117" spans="1:9" ht="13.5" customHeight="1">
      <c r="A117" s="6">
        <v>41086</v>
      </c>
      <c r="B117" s="2" t="s">
        <v>655</v>
      </c>
      <c r="C117" s="2"/>
      <c r="D117" s="2">
        <v>1</v>
      </c>
      <c r="E117" s="2" t="s">
        <v>754</v>
      </c>
      <c r="F117" s="2" t="s">
        <v>668</v>
      </c>
      <c r="G117" s="2" t="s">
        <v>769</v>
      </c>
      <c r="H117" s="2" t="s">
        <v>770</v>
      </c>
    </row>
    <row r="118" spans="1:9" ht="13.5" customHeight="1">
      <c r="A118" s="6">
        <v>41086</v>
      </c>
      <c r="B118" s="2" t="s">
        <v>652</v>
      </c>
      <c r="C118" s="2"/>
      <c r="D118" s="2">
        <v>1</v>
      </c>
      <c r="E118" s="2" t="s">
        <v>755</v>
      </c>
      <c r="F118" s="2" t="s">
        <v>668</v>
      </c>
      <c r="G118" s="2" t="s">
        <v>751</v>
      </c>
      <c r="H118" s="2" t="s">
        <v>759</v>
      </c>
    </row>
    <row r="119" spans="1:9" ht="13.5" customHeight="1">
      <c r="A119" s="6">
        <v>41086</v>
      </c>
      <c r="B119" s="3" t="s">
        <v>694</v>
      </c>
      <c r="C119" s="3" t="s">
        <v>771</v>
      </c>
      <c r="D119" s="2">
        <v>1</v>
      </c>
      <c r="E119" s="2" t="s">
        <v>756</v>
      </c>
      <c r="F119" s="2" t="s">
        <v>668</v>
      </c>
      <c r="G119" s="2" t="s">
        <v>751</v>
      </c>
      <c r="H119" s="2" t="s">
        <v>759</v>
      </c>
    </row>
    <row r="120" spans="1:9" ht="13.5" customHeight="1">
      <c r="A120" s="6">
        <v>41086</v>
      </c>
      <c r="B120" s="2" t="s">
        <v>683</v>
      </c>
      <c r="C120" s="2" t="s">
        <v>266</v>
      </c>
      <c r="D120" s="2">
        <v>1</v>
      </c>
      <c r="E120" s="2" t="s">
        <v>230</v>
      </c>
      <c r="F120" s="2" t="s">
        <v>668</v>
      </c>
      <c r="G120" s="2" t="s">
        <v>651</v>
      </c>
      <c r="H120" s="2" t="s">
        <v>650</v>
      </c>
    </row>
    <row r="121" spans="1:9" ht="13.5" customHeight="1">
      <c r="A121" s="6">
        <v>41093</v>
      </c>
      <c r="B121" s="2" t="s">
        <v>768</v>
      </c>
      <c r="C121" s="2" t="s">
        <v>703</v>
      </c>
      <c r="D121" s="2">
        <v>-1</v>
      </c>
      <c r="E121" s="3" t="s">
        <v>686</v>
      </c>
      <c r="F121" s="10" t="s">
        <v>777</v>
      </c>
      <c r="G121" s="1" t="s">
        <v>738</v>
      </c>
      <c r="H121" s="2" t="s">
        <v>685</v>
      </c>
    </row>
    <row r="122" spans="1:9" ht="13.5" customHeight="1">
      <c r="A122" s="6">
        <v>41094</v>
      </c>
      <c r="B122" s="1" t="s">
        <v>780</v>
      </c>
      <c r="C122" s="2"/>
      <c r="D122" s="2">
        <v>-1</v>
      </c>
      <c r="E122" s="1" t="s">
        <v>686</v>
      </c>
      <c r="F122" s="2"/>
      <c r="G122" s="11" t="s">
        <v>738</v>
      </c>
      <c r="H122" s="1" t="s">
        <v>685</v>
      </c>
    </row>
    <row r="123" spans="1:9" ht="13.5" customHeight="1">
      <c r="A123" s="6">
        <v>41093</v>
      </c>
      <c r="B123" s="2" t="s">
        <v>295</v>
      </c>
      <c r="C123" s="1">
        <v>7744</v>
      </c>
      <c r="D123" s="2">
        <v>-1</v>
      </c>
      <c r="E123" s="1" t="s">
        <v>691</v>
      </c>
      <c r="F123" s="1" t="s">
        <v>785</v>
      </c>
      <c r="G123" s="1" t="s">
        <v>738</v>
      </c>
      <c r="H123" s="1" t="s">
        <v>685</v>
      </c>
    </row>
    <row r="124" spans="1:9" ht="13.5" customHeight="1">
      <c r="A124" s="6">
        <v>41102</v>
      </c>
      <c r="B124" s="10" t="s">
        <v>790</v>
      </c>
      <c r="C124" s="3">
        <v>6200</v>
      </c>
      <c r="D124" s="3">
        <v>1</v>
      </c>
      <c r="E124" s="10" t="s">
        <v>757</v>
      </c>
      <c r="G124" s="10" t="s">
        <v>705</v>
      </c>
      <c r="H124" s="10" t="s">
        <v>685</v>
      </c>
    </row>
    <row r="125" spans="1:9" ht="13.5" customHeight="1">
      <c r="A125" s="6">
        <v>41102</v>
      </c>
      <c r="B125" s="10" t="s">
        <v>791</v>
      </c>
      <c r="D125" s="3">
        <v>52</v>
      </c>
      <c r="E125" s="10" t="s">
        <v>754</v>
      </c>
      <c r="G125" s="10" t="s">
        <v>705</v>
      </c>
      <c r="H125" s="10" t="s">
        <v>685</v>
      </c>
    </row>
    <row r="126" spans="1:9" ht="13.5" customHeight="1">
      <c r="A126" s="6">
        <v>41102</v>
      </c>
      <c r="B126" s="3" t="s">
        <v>792</v>
      </c>
      <c r="C126" s="3">
        <v>4565</v>
      </c>
      <c r="D126" s="3">
        <v>4</v>
      </c>
      <c r="E126" s="10" t="s">
        <v>698</v>
      </c>
      <c r="G126" s="10" t="s">
        <v>705</v>
      </c>
      <c r="H126" s="10" t="s">
        <v>685</v>
      </c>
    </row>
    <row r="127" spans="1:9" ht="13.5" customHeight="1">
      <c r="A127" s="6">
        <v>41100</v>
      </c>
      <c r="B127" s="2" t="s">
        <v>665</v>
      </c>
      <c r="C127" s="2" t="s">
        <v>246</v>
      </c>
      <c r="D127" s="3">
        <v>-150</v>
      </c>
      <c r="E127" s="2" t="s">
        <v>686</v>
      </c>
      <c r="F127" s="14" t="s">
        <v>813</v>
      </c>
      <c r="G127" s="2" t="s">
        <v>649</v>
      </c>
      <c r="H127" s="2" t="s">
        <v>677</v>
      </c>
      <c r="I127" s="24" t="s">
        <v>86</v>
      </c>
    </row>
    <row r="128" spans="1:9" ht="13.5" customHeight="1">
      <c r="A128" s="6">
        <v>41106</v>
      </c>
      <c r="B128" s="13" t="s">
        <v>752</v>
      </c>
      <c r="C128" s="1" t="s">
        <v>782</v>
      </c>
      <c r="D128" s="3">
        <v>2</v>
      </c>
      <c r="E128" s="10" t="s">
        <v>686</v>
      </c>
      <c r="F128" s="3" t="s">
        <v>806</v>
      </c>
      <c r="G128" s="10" t="s">
        <v>738</v>
      </c>
      <c r="H128" s="10" t="s">
        <v>685</v>
      </c>
    </row>
    <row r="129" spans="1:11" ht="13.5" customHeight="1">
      <c r="A129" s="6">
        <v>41106</v>
      </c>
      <c r="B129" s="2" t="s">
        <v>683</v>
      </c>
      <c r="C129" s="2" t="s">
        <v>266</v>
      </c>
      <c r="D129" s="3">
        <v>1</v>
      </c>
      <c r="E129" s="10" t="s">
        <v>692</v>
      </c>
      <c r="F129" s="3" t="s">
        <v>806</v>
      </c>
      <c r="G129" s="10" t="s">
        <v>738</v>
      </c>
      <c r="H129" s="10" t="s">
        <v>685</v>
      </c>
    </row>
    <row r="130" spans="1:11" ht="13.5" customHeight="1">
      <c r="A130" s="6">
        <v>41109</v>
      </c>
      <c r="B130" s="2" t="s">
        <v>655</v>
      </c>
      <c r="D130" s="2">
        <v>-1</v>
      </c>
      <c r="E130" s="2" t="s">
        <v>754</v>
      </c>
      <c r="F130" s="3" t="s">
        <v>814</v>
      </c>
      <c r="G130" s="1" t="s">
        <v>738</v>
      </c>
      <c r="H130" s="2" t="s">
        <v>677</v>
      </c>
    </row>
    <row r="131" spans="1:11" ht="13.5" customHeight="1">
      <c r="A131" s="6">
        <v>41107</v>
      </c>
      <c r="B131" s="2" t="s">
        <v>251</v>
      </c>
      <c r="C131" s="2">
        <v>9022</v>
      </c>
      <c r="D131" s="2">
        <v>-4</v>
      </c>
      <c r="E131" s="2" t="s">
        <v>230</v>
      </c>
      <c r="F131" s="17" t="s">
        <v>701</v>
      </c>
      <c r="G131" s="2" t="s">
        <v>738</v>
      </c>
      <c r="H131" s="1" t="s">
        <v>24</v>
      </c>
    </row>
    <row r="132" spans="1:11" ht="13.5" customHeight="1">
      <c r="A132" s="19">
        <v>41114</v>
      </c>
      <c r="B132" s="3" t="s">
        <v>39</v>
      </c>
      <c r="C132" s="3">
        <v>11228</v>
      </c>
      <c r="D132" s="3">
        <v>1</v>
      </c>
      <c r="E132" s="10" t="s">
        <v>686</v>
      </c>
      <c r="F132" s="10" t="s">
        <v>772</v>
      </c>
      <c r="G132" s="10" t="s">
        <v>705</v>
      </c>
      <c r="H132" s="10" t="s">
        <v>685</v>
      </c>
    </row>
    <row r="133" spans="1:11" ht="13.5" customHeight="1">
      <c r="A133" s="19">
        <v>41114</v>
      </c>
      <c r="B133" s="3" t="s">
        <v>33</v>
      </c>
      <c r="C133" s="3">
        <v>12110</v>
      </c>
      <c r="D133" s="3">
        <v>1</v>
      </c>
      <c r="E133" s="10" t="s">
        <v>686</v>
      </c>
      <c r="F133" s="10" t="s">
        <v>772</v>
      </c>
      <c r="G133" s="10" t="s">
        <v>705</v>
      </c>
      <c r="H133" s="10" t="s">
        <v>685</v>
      </c>
    </row>
    <row r="134" spans="1:11" ht="13.5" customHeight="1">
      <c r="A134" s="19">
        <v>41114</v>
      </c>
      <c r="B134" s="3" t="s">
        <v>41</v>
      </c>
      <c r="C134" s="10">
        <v>11783</v>
      </c>
      <c r="D134" s="3">
        <v>1</v>
      </c>
      <c r="E134" s="10" t="s">
        <v>686</v>
      </c>
      <c r="F134" s="10" t="s">
        <v>772</v>
      </c>
      <c r="G134" s="10" t="s">
        <v>705</v>
      </c>
      <c r="H134" s="10" t="s">
        <v>685</v>
      </c>
    </row>
    <row r="135" spans="1:11" ht="13.5" customHeight="1">
      <c r="A135" s="19">
        <v>41114</v>
      </c>
      <c r="B135" s="3" t="s">
        <v>358</v>
      </c>
      <c r="C135" s="10" t="s">
        <v>40</v>
      </c>
      <c r="D135" s="3">
        <v>1</v>
      </c>
      <c r="E135" s="10" t="s">
        <v>686</v>
      </c>
      <c r="F135" s="10" t="s">
        <v>772</v>
      </c>
      <c r="G135" s="10" t="s">
        <v>705</v>
      </c>
      <c r="H135" s="10" t="s">
        <v>685</v>
      </c>
    </row>
    <row r="136" spans="1:11" ht="13.5" customHeight="1">
      <c r="A136" s="19">
        <v>41114</v>
      </c>
      <c r="B136" s="3" t="s">
        <v>32</v>
      </c>
      <c r="C136" s="3">
        <v>11394</v>
      </c>
      <c r="D136" s="3">
        <v>1</v>
      </c>
      <c r="E136" s="10" t="s">
        <v>686</v>
      </c>
      <c r="F136" s="10" t="s">
        <v>772</v>
      </c>
      <c r="G136" s="10" t="s">
        <v>705</v>
      </c>
      <c r="H136" s="10" t="s">
        <v>685</v>
      </c>
    </row>
    <row r="137" spans="1:11" ht="13.5" customHeight="1">
      <c r="A137" s="19">
        <v>41114</v>
      </c>
      <c r="B137" s="3" t="s">
        <v>0</v>
      </c>
      <c r="C137" s="3">
        <v>11329</v>
      </c>
      <c r="D137" s="3">
        <v>1</v>
      </c>
      <c r="E137" s="10" t="s">
        <v>686</v>
      </c>
      <c r="F137" s="10" t="s">
        <v>772</v>
      </c>
      <c r="G137" s="10" t="s">
        <v>705</v>
      </c>
      <c r="H137" s="10" t="s">
        <v>685</v>
      </c>
    </row>
    <row r="138" spans="1:11" ht="13.5" customHeight="1">
      <c r="A138" s="19">
        <v>41114</v>
      </c>
      <c r="B138" s="3" t="s">
        <v>267</v>
      </c>
      <c r="C138" s="3">
        <v>12308</v>
      </c>
      <c r="D138" s="3">
        <v>1</v>
      </c>
      <c r="E138" s="10" t="s">
        <v>686</v>
      </c>
      <c r="F138" s="10" t="s">
        <v>772</v>
      </c>
      <c r="G138" s="10" t="s">
        <v>705</v>
      </c>
      <c r="H138" s="10" t="s">
        <v>685</v>
      </c>
    </row>
    <row r="139" spans="1:11" ht="13.5" customHeight="1">
      <c r="A139" s="19">
        <v>41114</v>
      </c>
      <c r="B139" s="3" t="s">
        <v>34</v>
      </c>
      <c r="C139" s="3">
        <v>12235</v>
      </c>
      <c r="D139" s="3">
        <v>1</v>
      </c>
      <c r="E139" s="10" t="s">
        <v>686</v>
      </c>
      <c r="F139" s="10" t="s">
        <v>772</v>
      </c>
      <c r="G139" s="10" t="s">
        <v>705</v>
      </c>
      <c r="H139" s="10" t="s">
        <v>685</v>
      </c>
    </row>
    <row r="140" spans="1:11" ht="13.5" customHeight="1">
      <c r="A140" s="6">
        <v>41117</v>
      </c>
      <c r="B140" s="10" t="s">
        <v>833</v>
      </c>
      <c r="C140" s="10" t="s">
        <v>832</v>
      </c>
      <c r="D140" s="3">
        <v>2</v>
      </c>
      <c r="E140" s="10" t="s">
        <v>830</v>
      </c>
      <c r="F140" s="16" t="s">
        <v>831</v>
      </c>
      <c r="G140" s="1" t="s">
        <v>738</v>
      </c>
      <c r="H140" s="2" t="s">
        <v>677</v>
      </c>
    </row>
    <row r="141" spans="1:11" ht="13.5" customHeight="1">
      <c r="A141" s="6">
        <v>41117</v>
      </c>
      <c r="B141" s="10" t="s">
        <v>834</v>
      </c>
      <c r="C141" s="10" t="s">
        <v>835</v>
      </c>
      <c r="D141" s="3">
        <v>2</v>
      </c>
      <c r="E141" s="10" t="s">
        <v>830</v>
      </c>
      <c r="F141" s="16" t="s">
        <v>831</v>
      </c>
      <c r="G141" s="1" t="s">
        <v>738</v>
      </c>
      <c r="H141" s="2" t="s">
        <v>677</v>
      </c>
    </row>
    <row r="142" spans="1:11" ht="13.5" customHeight="1">
      <c r="A142" s="6">
        <v>41117</v>
      </c>
      <c r="B142" s="10" t="s">
        <v>837</v>
      </c>
      <c r="C142" s="10" t="s">
        <v>836</v>
      </c>
      <c r="D142" s="3">
        <v>1</v>
      </c>
      <c r="E142" s="10" t="s">
        <v>757</v>
      </c>
      <c r="F142" s="16" t="s">
        <v>831</v>
      </c>
      <c r="G142" s="1" t="s">
        <v>738</v>
      </c>
      <c r="H142" s="2" t="s">
        <v>677</v>
      </c>
    </row>
    <row r="143" spans="1:11" ht="13.5" customHeight="1">
      <c r="A143" s="6">
        <v>41131</v>
      </c>
      <c r="B143" s="21" t="s">
        <v>750</v>
      </c>
      <c r="C143" s="1" t="s">
        <v>782</v>
      </c>
      <c r="D143" s="1">
        <v>2</v>
      </c>
      <c r="E143" s="1" t="s">
        <v>686</v>
      </c>
      <c r="F143" s="1" t="s">
        <v>15</v>
      </c>
      <c r="G143" s="1" t="s">
        <v>738</v>
      </c>
      <c r="H143" s="2" t="s">
        <v>677</v>
      </c>
      <c r="I143" s="60" t="s">
        <v>190</v>
      </c>
      <c r="J143" s="59" t="s">
        <v>191</v>
      </c>
      <c r="K143" s="59" t="s">
        <v>192</v>
      </c>
    </row>
    <row r="144" spans="1:11" ht="13.5" customHeight="1">
      <c r="A144" s="6">
        <v>41131</v>
      </c>
      <c r="B144" s="1" t="s">
        <v>667</v>
      </c>
      <c r="C144" s="1">
        <v>8210</v>
      </c>
      <c r="D144" s="1">
        <v>1</v>
      </c>
      <c r="E144" s="1" t="s">
        <v>686</v>
      </c>
      <c r="F144" s="1" t="s">
        <v>15</v>
      </c>
      <c r="G144" s="1" t="s">
        <v>738</v>
      </c>
      <c r="H144" s="2" t="s">
        <v>677</v>
      </c>
      <c r="I144" s="60" t="s">
        <v>190</v>
      </c>
      <c r="J144" s="59" t="s">
        <v>191</v>
      </c>
      <c r="K144" s="59" t="s">
        <v>192</v>
      </c>
    </row>
    <row r="145" spans="1:11" ht="13.5" customHeight="1">
      <c r="A145" s="6">
        <v>41131</v>
      </c>
      <c r="B145" s="1" t="s">
        <v>307</v>
      </c>
      <c r="C145" s="1" t="s">
        <v>16</v>
      </c>
      <c r="D145" s="1">
        <v>1</v>
      </c>
      <c r="E145" s="1" t="s">
        <v>692</v>
      </c>
      <c r="F145" s="1" t="s">
        <v>15</v>
      </c>
      <c r="G145" s="1" t="s">
        <v>738</v>
      </c>
      <c r="H145" s="2" t="s">
        <v>677</v>
      </c>
      <c r="I145" s="60" t="s">
        <v>190</v>
      </c>
      <c r="J145" s="59" t="s">
        <v>191</v>
      </c>
      <c r="K145" s="59" t="s">
        <v>192</v>
      </c>
    </row>
    <row r="146" spans="1:11" ht="13.5" customHeight="1">
      <c r="A146" s="6">
        <v>41131</v>
      </c>
      <c r="B146" s="1" t="s">
        <v>683</v>
      </c>
      <c r="C146" s="1" t="s">
        <v>17</v>
      </c>
      <c r="D146" s="1">
        <v>1</v>
      </c>
      <c r="E146" s="1" t="s">
        <v>692</v>
      </c>
      <c r="F146" s="1" t="s">
        <v>15</v>
      </c>
      <c r="G146" s="1" t="s">
        <v>738</v>
      </c>
      <c r="H146" s="2" t="s">
        <v>677</v>
      </c>
      <c r="I146" s="60" t="s">
        <v>190</v>
      </c>
      <c r="J146" s="59" t="s">
        <v>191</v>
      </c>
      <c r="K146" s="59" t="s">
        <v>192</v>
      </c>
    </row>
    <row r="147" spans="1:11" ht="13.5" customHeight="1">
      <c r="A147" s="6">
        <v>41131</v>
      </c>
      <c r="B147" s="1" t="s">
        <v>267</v>
      </c>
      <c r="C147" s="1">
        <v>12308</v>
      </c>
      <c r="D147" s="1">
        <v>1</v>
      </c>
      <c r="E147" s="1" t="s">
        <v>692</v>
      </c>
      <c r="F147" s="1" t="s">
        <v>15</v>
      </c>
      <c r="G147" s="1" t="s">
        <v>738</v>
      </c>
      <c r="H147" s="2" t="s">
        <v>677</v>
      </c>
      <c r="I147" s="60" t="s">
        <v>190</v>
      </c>
      <c r="J147" s="59" t="s">
        <v>191</v>
      </c>
      <c r="K147" s="59" t="s">
        <v>192</v>
      </c>
    </row>
    <row r="148" spans="1:11" ht="14.25" customHeight="1">
      <c r="A148" s="6">
        <v>41131</v>
      </c>
      <c r="B148" s="10" t="s">
        <v>18</v>
      </c>
      <c r="C148" s="3">
        <v>40175</v>
      </c>
      <c r="D148" s="1">
        <v>1</v>
      </c>
      <c r="E148" s="1" t="s">
        <v>692</v>
      </c>
      <c r="F148" s="10" t="s">
        <v>19</v>
      </c>
      <c r="G148" s="1" t="s">
        <v>738</v>
      </c>
      <c r="H148" s="2" t="s">
        <v>677</v>
      </c>
    </row>
    <row r="149" spans="1:11" ht="13.5" customHeight="1">
      <c r="A149" s="6">
        <v>41131</v>
      </c>
      <c r="B149" s="18" t="s">
        <v>20</v>
      </c>
      <c r="C149" s="3">
        <v>40175</v>
      </c>
      <c r="D149" s="1">
        <v>1</v>
      </c>
      <c r="E149" s="1" t="s">
        <v>692</v>
      </c>
      <c r="F149" s="10" t="s">
        <v>19</v>
      </c>
      <c r="G149" s="1" t="s">
        <v>738</v>
      </c>
      <c r="H149" s="2" t="s">
        <v>677</v>
      </c>
    </row>
    <row r="150" spans="1:11" ht="13.5" customHeight="1">
      <c r="A150" s="6">
        <v>41141</v>
      </c>
      <c r="B150" s="3" t="s">
        <v>70</v>
      </c>
      <c r="C150" s="3">
        <v>1100</v>
      </c>
      <c r="D150" s="3">
        <v>10</v>
      </c>
      <c r="E150" s="20" t="s">
        <v>692</v>
      </c>
      <c r="F150" s="20" t="s">
        <v>71</v>
      </c>
      <c r="G150" s="1" t="s">
        <v>738</v>
      </c>
      <c r="H150" s="2" t="s">
        <v>677</v>
      </c>
    </row>
    <row r="151" spans="1:11" ht="13.5" customHeight="1">
      <c r="A151" s="6">
        <v>41150</v>
      </c>
      <c r="B151" s="2" t="s">
        <v>843</v>
      </c>
      <c r="C151" s="2">
        <v>10197</v>
      </c>
      <c r="D151" s="2">
        <v>3</v>
      </c>
      <c r="E151" s="1" t="s">
        <v>686</v>
      </c>
      <c r="F151" s="2" t="s">
        <v>680</v>
      </c>
      <c r="G151" s="10" t="s">
        <v>705</v>
      </c>
      <c r="H151" s="10" t="s">
        <v>685</v>
      </c>
    </row>
    <row r="152" spans="1:11" ht="13.5" customHeight="1">
      <c r="A152" s="6">
        <v>41150</v>
      </c>
      <c r="B152" s="10" t="s">
        <v>151</v>
      </c>
      <c r="C152" s="10" t="s">
        <v>148</v>
      </c>
      <c r="D152" s="3">
        <v>2</v>
      </c>
      <c r="E152" s="10" t="s">
        <v>757</v>
      </c>
      <c r="F152" s="2" t="s">
        <v>680</v>
      </c>
      <c r="G152" s="10" t="s">
        <v>705</v>
      </c>
      <c r="H152" s="10" t="s">
        <v>685</v>
      </c>
    </row>
    <row r="153" spans="1:11" ht="13.5" customHeight="1">
      <c r="A153" s="6">
        <v>41150</v>
      </c>
      <c r="B153" s="10" t="s">
        <v>152</v>
      </c>
      <c r="C153" s="10" t="s">
        <v>149</v>
      </c>
      <c r="D153" s="3">
        <v>1</v>
      </c>
      <c r="E153" s="10" t="s">
        <v>698</v>
      </c>
      <c r="F153" s="2" t="s">
        <v>680</v>
      </c>
      <c r="G153" s="10" t="s">
        <v>705</v>
      </c>
      <c r="H153" s="10" t="s">
        <v>685</v>
      </c>
    </row>
    <row r="154" spans="1:11" ht="13.5" customHeight="1">
      <c r="A154" s="6">
        <v>41150</v>
      </c>
      <c r="C154" s="10" t="s">
        <v>150</v>
      </c>
      <c r="D154" s="3">
        <v>1</v>
      </c>
      <c r="E154" s="10" t="s">
        <v>698</v>
      </c>
      <c r="F154" s="2" t="s">
        <v>680</v>
      </c>
      <c r="G154" s="10" t="s">
        <v>705</v>
      </c>
      <c r="H154" s="10" t="s">
        <v>685</v>
      </c>
    </row>
    <row r="155" spans="1:11" ht="13.5" customHeight="1">
      <c r="A155" s="6">
        <v>41190</v>
      </c>
      <c r="B155" s="10" t="s">
        <v>954</v>
      </c>
      <c r="C155" s="10" t="s">
        <v>950</v>
      </c>
      <c r="D155" s="3">
        <v>-1</v>
      </c>
      <c r="E155" s="10" t="s">
        <v>951</v>
      </c>
      <c r="F155" s="3" t="s">
        <v>955</v>
      </c>
      <c r="G155" s="10" t="s">
        <v>952</v>
      </c>
      <c r="H155" s="10" t="s">
        <v>953</v>
      </c>
      <c r="K155" s="3" t="s">
        <v>955</v>
      </c>
    </row>
    <row r="156" spans="1:11" ht="13.5" customHeight="1">
      <c r="A156" s="6">
        <v>41191</v>
      </c>
      <c r="B156" s="3" t="s">
        <v>309</v>
      </c>
      <c r="C156" s="3">
        <v>1110</v>
      </c>
      <c r="D156" s="3">
        <v>-5</v>
      </c>
      <c r="E156" s="10" t="s">
        <v>957</v>
      </c>
      <c r="F156" s="3" t="s">
        <v>965</v>
      </c>
      <c r="G156" s="10" t="s">
        <v>964</v>
      </c>
      <c r="H156" s="10" t="s">
        <v>685</v>
      </c>
      <c r="K156" s="3" t="s">
        <v>965</v>
      </c>
    </row>
    <row r="157" spans="1:11" ht="13.5" customHeight="1">
      <c r="A157" s="6">
        <v>41191</v>
      </c>
      <c r="B157" s="58" t="s">
        <v>70</v>
      </c>
      <c r="C157" s="3">
        <v>1100</v>
      </c>
      <c r="D157" s="3">
        <v>-20</v>
      </c>
      <c r="E157" s="10" t="s">
        <v>173</v>
      </c>
      <c r="F157" s="10" t="s">
        <v>976</v>
      </c>
      <c r="G157" s="10" t="s">
        <v>738</v>
      </c>
      <c r="H157" s="10" t="s">
        <v>685</v>
      </c>
    </row>
    <row r="158" spans="1:11" ht="13.5" customHeight="1">
      <c r="A158" s="6">
        <v>41201</v>
      </c>
      <c r="B158" s="58" t="s">
        <v>265</v>
      </c>
      <c r="C158" s="10" t="s">
        <v>1024</v>
      </c>
      <c r="D158" s="3">
        <v>-5</v>
      </c>
      <c r="E158" s="10" t="s">
        <v>1025</v>
      </c>
      <c r="F158" s="82" t="s">
        <v>979</v>
      </c>
      <c r="G158" s="10" t="s">
        <v>1026</v>
      </c>
      <c r="H158" s="10" t="s">
        <v>1027</v>
      </c>
    </row>
    <row r="159" spans="1:11" ht="13.5" customHeight="1">
      <c r="A159" s="6">
        <v>41240</v>
      </c>
      <c r="B159" s="3" t="s">
        <v>309</v>
      </c>
      <c r="C159" s="3">
        <v>1110</v>
      </c>
      <c r="D159" s="3">
        <v>-1</v>
      </c>
      <c r="E159" s="10" t="s">
        <v>173</v>
      </c>
      <c r="F159" s="10" t="s">
        <v>1398</v>
      </c>
      <c r="G159" s="10" t="s">
        <v>738</v>
      </c>
      <c r="H159" s="10" t="s">
        <v>685</v>
      </c>
    </row>
    <row r="160" spans="1:11" ht="13.5" customHeight="1">
      <c r="A160" s="6">
        <v>41240</v>
      </c>
      <c r="B160" s="3" t="s">
        <v>197</v>
      </c>
      <c r="C160" s="10">
        <v>1100</v>
      </c>
      <c r="D160" s="3">
        <v>-1</v>
      </c>
      <c r="E160" s="10" t="s">
        <v>173</v>
      </c>
      <c r="F160" s="10" t="s">
        <v>1398</v>
      </c>
      <c r="G160" s="10" t="s">
        <v>738</v>
      </c>
      <c r="H160" s="10" t="s">
        <v>685</v>
      </c>
    </row>
    <row r="161" spans="1:9" ht="13.5" customHeight="1">
      <c r="A161" s="6">
        <v>41243</v>
      </c>
      <c r="B161" s="10" t="s">
        <v>52</v>
      </c>
      <c r="C161" s="10">
        <v>9031</v>
      </c>
      <c r="D161" s="10">
        <v>22</v>
      </c>
      <c r="E161" s="10" t="s">
        <v>1399</v>
      </c>
      <c r="F161" s="10" t="s">
        <v>1400</v>
      </c>
      <c r="G161" s="10" t="s">
        <v>1401</v>
      </c>
      <c r="H161" s="10" t="s">
        <v>1402</v>
      </c>
    </row>
    <row r="162" spans="1:9" ht="13.5" customHeight="1">
      <c r="A162" s="6">
        <v>41246</v>
      </c>
      <c r="B162" s="10" t="s">
        <v>988</v>
      </c>
      <c r="C162" s="10">
        <v>15902</v>
      </c>
      <c r="D162" s="10">
        <v>15</v>
      </c>
      <c r="E162" s="10" t="s">
        <v>173</v>
      </c>
      <c r="F162" s="10" t="s">
        <v>1472</v>
      </c>
      <c r="G162" s="10" t="s">
        <v>738</v>
      </c>
      <c r="H162" s="10" t="s">
        <v>685</v>
      </c>
    </row>
    <row r="163" spans="1:9" ht="13.5" customHeight="1">
      <c r="A163" s="6">
        <v>41246</v>
      </c>
      <c r="B163" s="10" t="s">
        <v>683</v>
      </c>
      <c r="C163" s="10" t="s">
        <v>17</v>
      </c>
      <c r="D163" s="10">
        <v>15</v>
      </c>
      <c r="E163" s="10" t="s">
        <v>173</v>
      </c>
      <c r="F163" s="10" t="s">
        <v>1472</v>
      </c>
      <c r="G163" s="10" t="s">
        <v>738</v>
      </c>
      <c r="H163" s="10" t="s">
        <v>685</v>
      </c>
    </row>
    <row r="164" spans="1:9" ht="13.5" customHeight="1">
      <c r="A164" s="6">
        <v>41246</v>
      </c>
      <c r="B164" s="10" t="s">
        <v>1136</v>
      </c>
      <c r="C164" s="10">
        <v>3000</v>
      </c>
      <c r="D164" s="10">
        <v>5</v>
      </c>
      <c r="E164" s="10" t="s">
        <v>193</v>
      </c>
      <c r="F164" s="10" t="s">
        <v>1472</v>
      </c>
      <c r="G164" s="10" t="s">
        <v>738</v>
      </c>
      <c r="H164" s="10" t="s">
        <v>685</v>
      </c>
    </row>
    <row r="165" spans="1:9" ht="13.5" customHeight="1">
      <c r="A165" s="6">
        <v>41246</v>
      </c>
      <c r="B165" s="10" t="s">
        <v>1137</v>
      </c>
      <c r="C165" s="10">
        <v>6000</v>
      </c>
      <c r="D165" s="10">
        <v>2</v>
      </c>
      <c r="E165" s="10" t="s">
        <v>193</v>
      </c>
      <c r="F165" s="10" t="s">
        <v>1472</v>
      </c>
      <c r="G165" s="10" t="s">
        <v>738</v>
      </c>
      <c r="H165" s="10" t="s">
        <v>685</v>
      </c>
    </row>
    <row r="166" spans="1:9" ht="13.5" customHeight="1">
      <c r="A166" s="6">
        <v>41246</v>
      </c>
      <c r="B166" s="10" t="s">
        <v>52</v>
      </c>
      <c r="C166" s="10">
        <v>9031</v>
      </c>
      <c r="D166" s="10">
        <v>50</v>
      </c>
      <c r="E166" s="10" t="s">
        <v>172</v>
      </c>
      <c r="F166" s="10" t="s">
        <v>1472</v>
      </c>
      <c r="G166" s="10" t="s">
        <v>738</v>
      </c>
      <c r="H166" s="10" t="s">
        <v>685</v>
      </c>
    </row>
    <row r="167" spans="1:9" ht="13.5" customHeight="1">
      <c r="A167" s="6">
        <v>41246</v>
      </c>
      <c r="B167" s="10" t="s">
        <v>1471</v>
      </c>
      <c r="C167" s="10" t="s">
        <v>1469</v>
      </c>
      <c r="D167" s="10">
        <v>1</v>
      </c>
      <c r="E167" s="10" t="s">
        <v>1635</v>
      </c>
      <c r="F167" s="10"/>
      <c r="G167" s="10" t="s">
        <v>738</v>
      </c>
      <c r="H167" s="10" t="s">
        <v>685</v>
      </c>
    </row>
    <row r="168" spans="1:9" ht="13.5" customHeight="1">
      <c r="A168" s="6">
        <v>41246</v>
      </c>
      <c r="B168" s="10" t="s">
        <v>1471</v>
      </c>
      <c r="C168" s="10" t="s">
        <v>1470</v>
      </c>
      <c r="D168" s="10">
        <v>2</v>
      </c>
      <c r="E168" s="10" t="s">
        <v>830</v>
      </c>
      <c r="F168" s="10"/>
      <c r="G168" s="10" t="s">
        <v>738</v>
      </c>
      <c r="H168" s="10" t="s">
        <v>685</v>
      </c>
    </row>
    <row r="169" spans="1:9" ht="13.5" customHeight="1">
      <c r="A169" s="6">
        <v>41250</v>
      </c>
      <c r="B169" s="3" t="s">
        <v>1374</v>
      </c>
      <c r="C169" s="3" t="s">
        <v>1373</v>
      </c>
      <c r="D169" s="3">
        <v>1</v>
      </c>
      <c r="E169" s="10" t="s">
        <v>1466</v>
      </c>
      <c r="F169" s="10" t="s">
        <v>1467</v>
      </c>
      <c r="G169" s="10" t="s">
        <v>738</v>
      </c>
      <c r="H169" s="10" t="s">
        <v>685</v>
      </c>
    </row>
    <row r="170" spans="1:9" ht="13.5" customHeight="1">
      <c r="A170" s="6">
        <v>41250</v>
      </c>
      <c r="B170" s="3" t="s">
        <v>1491</v>
      </c>
      <c r="C170" s="10">
        <v>8514</v>
      </c>
      <c r="D170" s="3">
        <v>1</v>
      </c>
      <c r="E170" s="10" t="s">
        <v>1468</v>
      </c>
      <c r="F170" s="10" t="s">
        <v>1467</v>
      </c>
      <c r="G170" s="10" t="s">
        <v>738</v>
      </c>
      <c r="H170" s="10" t="s">
        <v>685</v>
      </c>
    </row>
    <row r="171" spans="1:9" ht="13.5" customHeight="1">
      <c r="A171" s="6">
        <v>41257</v>
      </c>
      <c r="B171" s="3" t="s">
        <v>1492</v>
      </c>
      <c r="C171" s="10" t="s">
        <v>1490</v>
      </c>
      <c r="D171" s="3">
        <v>1</v>
      </c>
      <c r="E171" s="10" t="s">
        <v>193</v>
      </c>
      <c r="F171" s="10" t="s">
        <v>1494</v>
      </c>
      <c r="G171" s="10" t="s">
        <v>738</v>
      </c>
      <c r="H171" s="10" t="s">
        <v>685</v>
      </c>
    </row>
    <row r="172" spans="1:9" ht="13.5" customHeight="1">
      <c r="A172" s="6">
        <v>41257</v>
      </c>
      <c r="B172" s="3" t="s">
        <v>1493</v>
      </c>
      <c r="C172" s="3">
        <v>1426</v>
      </c>
      <c r="D172" s="3">
        <v>1</v>
      </c>
      <c r="E172" s="10" t="s">
        <v>173</v>
      </c>
      <c r="F172" s="10" t="s">
        <v>1494</v>
      </c>
      <c r="G172" s="10" t="s">
        <v>738</v>
      </c>
      <c r="H172" s="10" t="s">
        <v>685</v>
      </c>
    </row>
    <row r="173" spans="1:9" ht="13.5" customHeight="1">
      <c r="A173" s="6">
        <v>41260</v>
      </c>
      <c r="B173" s="10" t="s">
        <v>52</v>
      </c>
      <c r="C173" s="10">
        <v>9031</v>
      </c>
      <c r="D173" s="3">
        <v>5</v>
      </c>
      <c r="E173" s="1" t="s">
        <v>1498</v>
      </c>
      <c r="F173" s="1" t="s">
        <v>1501</v>
      </c>
      <c r="G173" s="10" t="s">
        <v>1499</v>
      </c>
      <c r="H173" s="10" t="s">
        <v>1500</v>
      </c>
    </row>
    <row r="174" spans="1:9" ht="13.5" customHeight="1">
      <c r="A174" s="6">
        <v>41260</v>
      </c>
      <c r="B174" s="3" t="s">
        <v>1374</v>
      </c>
      <c r="C174" s="3" t="s">
        <v>1373</v>
      </c>
      <c r="D174" s="3">
        <v>1</v>
      </c>
      <c r="E174" s="10" t="s">
        <v>193</v>
      </c>
      <c r="F174" s="10" t="s">
        <v>1510</v>
      </c>
      <c r="G174" s="10" t="s">
        <v>738</v>
      </c>
      <c r="H174" s="10" t="s">
        <v>685</v>
      </c>
    </row>
    <row r="175" spans="1:9" ht="13.5" customHeight="1">
      <c r="A175" s="6">
        <v>41260</v>
      </c>
      <c r="B175" s="192" t="s">
        <v>1561</v>
      </c>
      <c r="C175" s="10" t="s">
        <v>1514</v>
      </c>
      <c r="D175" s="3">
        <v>1</v>
      </c>
      <c r="E175" s="10" t="s">
        <v>830</v>
      </c>
      <c r="G175" s="10" t="s">
        <v>738</v>
      </c>
      <c r="H175" s="10" t="s">
        <v>685</v>
      </c>
      <c r="I175" s="10" t="s">
        <v>1632</v>
      </c>
    </row>
    <row r="176" spans="1:9" ht="13.5" customHeight="1">
      <c r="A176" s="6">
        <v>41260</v>
      </c>
      <c r="B176" s="10" t="s">
        <v>1615</v>
      </c>
      <c r="C176" s="10" t="s">
        <v>1515</v>
      </c>
      <c r="D176" s="3">
        <v>1</v>
      </c>
      <c r="G176" s="10" t="s">
        <v>738</v>
      </c>
      <c r="H176" s="10" t="s">
        <v>685</v>
      </c>
      <c r="I176" s="10" t="s">
        <v>1632</v>
      </c>
    </row>
    <row r="177" spans="1:9" ht="13.5" customHeight="1">
      <c r="A177" s="6">
        <v>41260</v>
      </c>
      <c r="B177" s="10" t="s">
        <v>1615</v>
      </c>
      <c r="C177" s="10" t="s">
        <v>1516</v>
      </c>
      <c r="D177" s="3">
        <v>1</v>
      </c>
      <c r="G177" s="10" t="s">
        <v>738</v>
      </c>
      <c r="H177" s="10" t="s">
        <v>685</v>
      </c>
      <c r="I177" s="10" t="s">
        <v>1632</v>
      </c>
    </row>
    <row r="178" spans="1:9" ht="13.5" customHeight="1">
      <c r="A178" s="6">
        <v>41260</v>
      </c>
      <c r="B178" s="10" t="s">
        <v>1615</v>
      </c>
      <c r="C178" s="10" t="s">
        <v>1517</v>
      </c>
      <c r="D178" s="3">
        <v>1</v>
      </c>
      <c r="G178" s="10" t="s">
        <v>738</v>
      </c>
      <c r="H178" s="10" t="s">
        <v>685</v>
      </c>
      <c r="I178" s="10" t="s">
        <v>1632</v>
      </c>
    </row>
    <row r="179" spans="1:9" ht="13.5" customHeight="1">
      <c r="A179" s="6">
        <v>41260</v>
      </c>
      <c r="B179" s="10" t="s">
        <v>1615</v>
      </c>
      <c r="C179" s="10" t="s">
        <v>1518</v>
      </c>
      <c r="D179" s="3">
        <v>1</v>
      </c>
      <c r="G179" s="10" t="s">
        <v>738</v>
      </c>
      <c r="H179" s="10" t="s">
        <v>685</v>
      </c>
      <c r="I179" s="10" t="s">
        <v>1632</v>
      </c>
    </row>
    <row r="180" spans="1:9" ht="13.5" customHeight="1">
      <c r="A180" s="6">
        <v>41260</v>
      </c>
      <c r="B180" s="10" t="s">
        <v>1615</v>
      </c>
      <c r="C180" s="10" t="s">
        <v>1519</v>
      </c>
      <c r="D180" s="3">
        <v>1</v>
      </c>
      <c r="G180" s="10" t="s">
        <v>738</v>
      </c>
      <c r="H180" s="10" t="s">
        <v>685</v>
      </c>
      <c r="I180" s="10" t="s">
        <v>1632</v>
      </c>
    </row>
    <row r="181" spans="1:9" ht="13.5" customHeight="1">
      <c r="A181" s="6">
        <v>41260</v>
      </c>
      <c r="C181" s="10" t="s">
        <v>1520</v>
      </c>
      <c r="D181" s="3">
        <v>1</v>
      </c>
      <c r="G181" s="10" t="s">
        <v>738</v>
      </c>
      <c r="H181" s="10" t="s">
        <v>685</v>
      </c>
      <c r="I181" s="10" t="s">
        <v>1632</v>
      </c>
    </row>
    <row r="182" spans="1:9" ht="13.5" customHeight="1">
      <c r="A182" s="6">
        <v>41260</v>
      </c>
      <c r="C182" s="10" t="s">
        <v>1521</v>
      </c>
      <c r="D182" s="3">
        <v>1</v>
      </c>
      <c r="G182" s="10" t="s">
        <v>738</v>
      </c>
      <c r="H182" s="10" t="s">
        <v>685</v>
      </c>
      <c r="I182" s="10" t="s">
        <v>1632</v>
      </c>
    </row>
    <row r="183" spans="1:9" ht="13.5" customHeight="1">
      <c r="A183" s="6">
        <v>41260</v>
      </c>
      <c r="C183" s="10" t="s">
        <v>1522</v>
      </c>
      <c r="D183" s="3">
        <v>1</v>
      </c>
      <c r="G183" s="10" t="s">
        <v>738</v>
      </c>
      <c r="H183" s="10" t="s">
        <v>685</v>
      </c>
      <c r="I183" s="10" t="s">
        <v>1632</v>
      </c>
    </row>
    <row r="184" spans="1:9" ht="13.5" customHeight="1">
      <c r="A184" s="6">
        <v>41260</v>
      </c>
      <c r="C184" s="10" t="s">
        <v>1523</v>
      </c>
      <c r="D184" s="3">
        <v>1</v>
      </c>
      <c r="G184" s="10" t="s">
        <v>738</v>
      </c>
      <c r="H184" s="10" t="s">
        <v>685</v>
      </c>
      <c r="I184" s="10" t="s">
        <v>1632</v>
      </c>
    </row>
    <row r="185" spans="1:9" ht="13.5" customHeight="1">
      <c r="A185" s="6">
        <v>41260</v>
      </c>
      <c r="C185" s="3">
        <v>8515</v>
      </c>
      <c r="D185" s="3">
        <v>1</v>
      </c>
      <c r="G185" s="10" t="s">
        <v>738</v>
      </c>
      <c r="H185" s="10" t="s">
        <v>685</v>
      </c>
      <c r="I185" s="10" t="s">
        <v>1632</v>
      </c>
    </row>
    <row r="186" spans="1:9" ht="13.5" customHeight="1">
      <c r="A186" s="6">
        <v>41260</v>
      </c>
      <c r="C186" s="3">
        <v>8577</v>
      </c>
      <c r="D186" s="3">
        <v>1</v>
      </c>
      <c r="G186" s="10" t="s">
        <v>738</v>
      </c>
      <c r="H186" s="10" t="s">
        <v>685</v>
      </c>
      <c r="I186" s="10" t="s">
        <v>1632</v>
      </c>
    </row>
    <row r="187" spans="1:9" ht="13.5" customHeight="1">
      <c r="A187" s="6">
        <v>41260</v>
      </c>
      <c r="C187" s="3">
        <v>8247</v>
      </c>
      <c r="D187" s="3">
        <v>1</v>
      </c>
      <c r="G187" s="10" t="s">
        <v>738</v>
      </c>
      <c r="H187" s="10" t="s">
        <v>685</v>
      </c>
      <c r="I187" s="10" t="s">
        <v>1632</v>
      </c>
    </row>
    <row r="188" spans="1:9" ht="13.5" customHeight="1">
      <c r="A188" s="6">
        <v>41260</v>
      </c>
      <c r="C188" s="10" t="s">
        <v>1524</v>
      </c>
      <c r="D188" s="3">
        <v>1</v>
      </c>
      <c r="G188" s="10" t="s">
        <v>738</v>
      </c>
      <c r="H188" s="10" t="s">
        <v>685</v>
      </c>
      <c r="I188" s="10" t="s">
        <v>1632</v>
      </c>
    </row>
    <row r="189" spans="1:9" ht="13.5" customHeight="1">
      <c r="A189" s="6">
        <v>41260</v>
      </c>
      <c r="C189" s="3">
        <v>1860</v>
      </c>
      <c r="D189" s="3">
        <v>1</v>
      </c>
      <c r="G189" s="10" t="s">
        <v>738</v>
      </c>
      <c r="H189" s="10" t="s">
        <v>685</v>
      </c>
      <c r="I189" s="10" t="s">
        <v>1632</v>
      </c>
    </row>
    <row r="190" spans="1:9" ht="13.5" customHeight="1">
      <c r="A190" s="6">
        <v>41260</v>
      </c>
      <c r="C190" s="10" t="s">
        <v>1525</v>
      </c>
      <c r="D190" s="3">
        <v>1</v>
      </c>
      <c r="G190" s="10" t="s">
        <v>738</v>
      </c>
      <c r="H190" s="10" t="s">
        <v>685</v>
      </c>
      <c r="I190" s="10" t="s">
        <v>1632</v>
      </c>
    </row>
    <row r="191" spans="1:9" ht="13.5" customHeight="1">
      <c r="A191" s="6">
        <v>41260</v>
      </c>
      <c r="B191" s="10" t="s">
        <v>52</v>
      </c>
      <c r="C191" s="3">
        <v>9032</v>
      </c>
      <c r="D191" s="3">
        <v>1</v>
      </c>
      <c r="G191" s="10" t="s">
        <v>738</v>
      </c>
      <c r="H191" s="10" t="s">
        <v>685</v>
      </c>
      <c r="I191" s="10" t="s">
        <v>1632</v>
      </c>
    </row>
    <row r="192" spans="1:9" ht="13.5" customHeight="1">
      <c r="A192" s="6">
        <v>41260</v>
      </c>
      <c r="B192" s="10" t="s">
        <v>52</v>
      </c>
      <c r="C192" s="3">
        <v>9031</v>
      </c>
      <c r="D192" s="3">
        <v>1</v>
      </c>
      <c r="G192" s="10" t="s">
        <v>738</v>
      </c>
      <c r="H192" s="10" t="s">
        <v>685</v>
      </c>
      <c r="I192" s="10" t="s">
        <v>1632</v>
      </c>
    </row>
    <row r="193" spans="1:9" ht="13.5" customHeight="1">
      <c r="A193" s="6">
        <v>41260</v>
      </c>
      <c r="C193" s="3">
        <v>11228</v>
      </c>
      <c r="D193" s="3">
        <v>1</v>
      </c>
      <c r="G193" s="10" t="s">
        <v>738</v>
      </c>
      <c r="H193" s="10" t="s">
        <v>685</v>
      </c>
      <c r="I193" s="10" t="s">
        <v>1632</v>
      </c>
    </row>
    <row r="194" spans="1:9" ht="13.5" customHeight="1">
      <c r="A194" s="6">
        <v>41260</v>
      </c>
      <c r="C194" s="3">
        <v>10435</v>
      </c>
      <c r="D194" s="3">
        <v>1</v>
      </c>
      <c r="G194" s="10" t="s">
        <v>738</v>
      </c>
      <c r="H194" s="10" t="s">
        <v>685</v>
      </c>
      <c r="I194" s="10" t="s">
        <v>1632</v>
      </c>
    </row>
    <row r="195" spans="1:9" ht="13.5" customHeight="1">
      <c r="A195" s="6">
        <v>41260</v>
      </c>
      <c r="C195" s="10" t="s">
        <v>1526</v>
      </c>
      <c r="D195" s="3">
        <v>1</v>
      </c>
      <c r="G195" s="10" t="s">
        <v>738</v>
      </c>
      <c r="H195" s="10" t="s">
        <v>685</v>
      </c>
      <c r="I195" s="10" t="s">
        <v>1632</v>
      </c>
    </row>
    <row r="196" spans="1:9" ht="13.5" customHeight="1">
      <c r="A196" s="6">
        <v>41260</v>
      </c>
      <c r="C196" s="10" t="s">
        <v>1527</v>
      </c>
      <c r="D196" s="3">
        <v>1</v>
      </c>
      <c r="G196" s="10" t="s">
        <v>738</v>
      </c>
      <c r="H196" s="10" t="s">
        <v>685</v>
      </c>
      <c r="I196" s="10" t="s">
        <v>1632</v>
      </c>
    </row>
    <row r="197" spans="1:9" ht="13.5" customHeight="1">
      <c r="A197" s="6">
        <v>41260</v>
      </c>
      <c r="C197" s="10" t="s">
        <v>1528</v>
      </c>
      <c r="D197" s="3">
        <v>1</v>
      </c>
      <c r="G197" s="10" t="s">
        <v>738</v>
      </c>
      <c r="H197" s="10" t="s">
        <v>685</v>
      </c>
      <c r="I197" s="10" t="s">
        <v>1632</v>
      </c>
    </row>
    <row r="198" spans="1:9" ht="13.5" customHeight="1">
      <c r="A198" s="6">
        <v>41260</v>
      </c>
      <c r="C198" s="3">
        <v>4640</v>
      </c>
      <c r="D198" s="3">
        <v>1</v>
      </c>
      <c r="G198" s="10" t="s">
        <v>738</v>
      </c>
      <c r="H198" s="10" t="s">
        <v>685</v>
      </c>
      <c r="I198" s="10" t="s">
        <v>1632</v>
      </c>
    </row>
    <row r="199" spans="1:9" ht="13.5" customHeight="1">
      <c r="A199" s="6">
        <v>41260</v>
      </c>
      <c r="C199" s="10" t="s">
        <v>1529</v>
      </c>
      <c r="D199" s="3">
        <v>1</v>
      </c>
      <c r="G199" s="10" t="s">
        <v>738</v>
      </c>
      <c r="H199" s="10" t="s">
        <v>685</v>
      </c>
      <c r="I199" s="10" t="s">
        <v>1632</v>
      </c>
    </row>
    <row r="200" spans="1:9" ht="13.5" customHeight="1">
      <c r="A200" s="6">
        <v>41260</v>
      </c>
      <c r="C200" s="3">
        <v>10197</v>
      </c>
      <c r="D200" s="3">
        <v>1</v>
      </c>
      <c r="G200" s="10" t="s">
        <v>738</v>
      </c>
      <c r="H200" s="10" t="s">
        <v>685</v>
      </c>
      <c r="I200" s="10" t="s">
        <v>1632</v>
      </c>
    </row>
    <row r="201" spans="1:9" ht="13.5" customHeight="1">
      <c r="A201" s="6">
        <v>41267</v>
      </c>
      <c r="C201" s="10" t="s">
        <v>1586</v>
      </c>
      <c r="D201" s="3">
        <v>2</v>
      </c>
      <c r="E201" s="10" t="s">
        <v>1587</v>
      </c>
      <c r="F201" s="10" t="s">
        <v>1588</v>
      </c>
      <c r="G201" s="10" t="s">
        <v>1589</v>
      </c>
      <c r="H201" s="10" t="s">
        <v>1590</v>
      </c>
    </row>
    <row r="202" spans="1:9" ht="13.5" customHeight="1">
      <c r="A202" s="6">
        <v>41247</v>
      </c>
      <c r="B202" s="65" t="s">
        <v>241</v>
      </c>
      <c r="C202" s="10" t="s">
        <v>1603</v>
      </c>
      <c r="D202" s="3">
        <v>150</v>
      </c>
      <c r="E202" s="10" t="s">
        <v>171</v>
      </c>
      <c r="F202" s="10" t="s">
        <v>1604</v>
      </c>
      <c r="G202" s="10" t="s">
        <v>738</v>
      </c>
      <c r="H202" s="10" t="s">
        <v>685</v>
      </c>
    </row>
    <row r="203" spans="1:9" ht="13.5" customHeight="1">
      <c r="A203" s="6">
        <v>41247</v>
      </c>
      <c r="B203" s="65" t="s">
        <v>348</v>
      </c>
      <c r="C203" s="3">
        <v>3700</v>
      </c>
      <c r="D203" s="3">
        <v>150</v>
      </c>
      <c r="E203" s="10" t="s">
        <v>171</v>
      </c>
      <c r="F203" s="10" t="s">
        <v>1604</v>
      </c>
      <c r="G203" s="10" t="s">
        <v>738</v>
      </c>
      <c r="H203" s="10" t="s">
        <v>685</v>
      </c>
    </row>
    <row r="204" spans="1:9" ht="13.5" customHeight="1">
      <c r="A204" s="6">
        <v>41270</v>
      </c>
      <c r="B204" s="10" t="s">
        <v>1615</v>
      </c>
      <c r="C204" s="10" t="s">
        <v>1611</v>
      </c>
      <c r="D204" s="3">
        <v>1</v>
      </c>
      <c r="E204" s="10" t="s">
        <v>1616</v>
      </c>
      <c r="F204" s="10" t="s">
        <v>1617</v>
      </c>
      <c r="G204" s="10" t="s">
        <v>738</v>
      </c>
      <c r="H204" s="10" t="s">
        <v>685</v>
      </c>
    </row>
    <row r="205" spans="1:9" ht="13.5" customHeight="1">
      <c r="A205" s="6">
        <v>41270</v>
      </c>
      <c r="B205" s="192" t="s">
        <v>1561</v>
      </c>
      <c r="C205" s="10" t="s">
        <v>1612</v>
      </c>
      <c r="D205" s="3">
        <v>1</v>
      </c>
      <c r="E205" s="10" t="s">
        <v>1616</v>
      </c>
      <c r="F205" s="10" t="s">
        <v>1617</v>
      </c>
      <c r="G205" s="10" t="s">
        <v>738</v>
      </c>
      <c r="H205" s="10" t="s">
        <v>685</v>
      </c>
    </row>
    <row r="206" spans="1:9" ht="13.5" customHeight="1">
      <c r="A206" s="6">
        <v>41270</v>
      </c>
      <c r="B206" s="10" t="s">
        <v>1615</v>
      </c>
      <c r="C206" s="10" t="s">
        <v>1613</v>
      </c>
      <c r="D206" s="3">
        <v>1</v>
      </c>
      <c r="E206" s="10" t="s">
        <v>1616</v>
      </c>
      <c r="F206" s="10" t="s">
        <v>1617</v>
      </c>
      <c r="G206" s="10" t="s">
        <v>738</v>
      </c>
      <c r="H206" s="10" t="s">
        <v>685</v>
      </c>
    </row>
    <row r="207" spans="1:9" ht="13.5" customHeight="1">
      <c r="A207" s="6">
        <v>41270</v>
      </c>
      <c r="B207" s="10" t="s">
        <v>1615</v>
      </c>
      <c r="C207" s="10" t="s">
        <v>1614</v>
      </c>
      <c r="D207" s="3">
        <v>1</v>
      </c>
      <c r="E207" s="10" t="s">
        <v>1616</v>
      </c>
      <c r="F207" s="10" t="s">
        <v>1617</v>
      </c>
      <c r="G207" s="10" t="s">
        <v>738</v>
      </c>
      <c r="H207" s="10" t="s">
        <v>685</v>
      </c>
    </row>
    <row r="208" spans="1:9" ht="13.5" customHeight="1">
      <c r="A208" s="6">
        <v>41270</v>
      </c>
      <c r="B208" s="10" t="s">
        <v>1621</v>
      </c>
      <c r="C208" s="3">
        <v>10434</v>
      </c>
      <c r="D208" s="3">
        <v>5</v>
      </c>
      <c r="E208" s="10" t="s">
        <v>1619</v>
      </c>
      <c r="F208" s="10" t="s">
        <v>1620</v>
      </c>
      <c r="G208" s="10" t="s">
        <v>738</v>
      </c>
      <c r="H208" s="10" t="s">
        <v>685</v>
      </c>
    </row>
    <row r="209" spans="1:9" ht="13.5" customHeight="1">
      <c r="A209" s="6">
        <v>41270</v>
      </c>
      <c r="B209" s="10" t="s">
        <v>1615</v>
      </c>
      <c r="C209" s="3">
        <v>3983</v>
      </c>
      <c r="D209" s="3">
        <v>1</v>
      </c>
      <c r="E209" s="10" t="s">
        <v>830</v>
      </c>
      <c r="F209" s="10" t="s">
        <v>1631</v>
      </c>
      <c r="G209" s="10" t="s">
        <v>738</v>
      </c>
      <c r="H209" s="10" t="s">
        <v>685</v>
      </c>
      <c r="I209" s="10" t="s">
        <v>1632</v>
      </c>
    </row>
    <row r="210" spans="1:9" ht="13.5" customHeight="1">
      <c r="A210" s="6">
        <v>41270</v>
      </c>
      <c r="B210" s="10" t="s">
        <v>1615</v>
      </c>
      <c r="C210" s="10" t="s">
        <v>1629</v>
      </c>
      <c r="D210" s="3">
        <v>1</v>
      </c>
      <c r="E210" s="10" t="s">
        <v>830</v>
      </c>
      <c r="F210" s="10" t="s">
        <v>1631</v>
      </c>
      <c r="G210" s="10" t="s">
        <v>738</v>
      </c>
      <c r="H210" s="10" t="s">
        <v>685</v>
      </c>
      <c r="I210" s="10" t="s">
        <v>1632</v>
      </c>
    </row>
    <row r="211" spans="1:9" ht="12.75" customHeight="1">
      <c r="A211" s="6">
        <v>41270</v>
      </c>
      <c r="B211" s="10" t="s">
        <v>1615</v>
      </c>
      <c r="C211" s="10" t="s">
        <v>1630</v>
      </c>
      <c r="D211" s="3">
        <v>5</v>
      </c>
      <c r="E211" s="10" t="s">
        <v>830</v>
      </c>
      <c r="F211" s="10" t="s">
        <v>1631</v>
      </c>
      <c r="G211" s="10" t="s">
        <v>738</v>
      </c>
      <c r="H211" s="10" t="s">
        <v>685</v>
      </c>
      <c r="I211" s="10" t="s">
        <v>1632</v>
      </c>
    </row>
    <row r="212" spans="1:9" ht="13.5" customHeight="1">
      <c r="A212" s="6">
        <v>41270</v>
      </c>
      <c r="B212" s="10" t="s">
        <v>52</v>
      </c>
      <c r="C212" s="3">
        <v>9031</v>
      </c>
      <c r="D212" s="3">
        <v>8</v>
      </c>
      <c r="E212" s="10" t="s">
        <v>171</v>
      </c>
      <c r="F212" s="10" t="s">
        <v>1631</v>
      </c>
      <c r="G212" s="10" t="s">
        <v>738</v>
      </c>
      <c r="H212" s="10" t="s">
        <v>685</v>
      </c>
      <c r="I212" s="10" t="s">
        <v>1632</v>
      </c>
    </row>
    <row r="213" spans="1:9" ht="13.5" customHeight="1">
      <c r="A213" s="6">
        <v>41280</v>
      </c>
      <c r="B213" s="10" t="s">
        <v>1688</v>
      </c>
      <c r="C213" s="3" t="s">
        <v>1686</v>
      </c>
      <c r="D213" s="3">
        <v>200</v>
      </c>
      <c r="E213" s="10" t="s">
        <v>756</v>
      </c>
      <c r="F213" s="10" t="s">
        <v>1690</v>
      </c>
      <c r="G213" s="10" t="s">
        <v>751</v>
      </c>
      <c r="H213" s="10" t="s">
        <v>685</v>
      </c>
      <c r="I213" s="10" t="s">
        <v>5000</v>
      </c>
    </row>
    <row r="214" spans="1:9" ht="12.75" customHeight="1">
      <c r="A214" s="6">
        <v>41280</v>
      </c>
      <c r="B214" s="10" t="s">
        <v>197</v>
      </c>
      <c r="C214" s="10" t="s">
        <v>1689</v>
      </c>
      <c r="D214" s="3">
        <v>200</v>
      </c>
      <c r="E214" s="10" t="s">
        <v>756</v>
      </c>
      <c r="F214" s="10" t="s">
        <v>1690</v>
      </c>
      <c r="G214" s="10" t="s">
        <v>751</v>
      </c>
      <c r="H214" s="10" t="s">
        <v>685</v>
      </c>
      <c r="I214" s="10" t="s">
        <v>5000</v>
      </c>
    </row>
    <row r="215" spans="1:9" ht="13.5" customHeight="1">
      <c r="A215" s="6">
        <v>41283</v>
      </c>
      <c r="B215" s="10" t="s">
        <v>1615</v>
      </c>
      <c r="C215" s="10" t="s">
        <v>1712</v>
      </c>
      <c r="D215" s="3">
        <v>1</v>
      </c>
      <c r="E215" s="10" t="s">
        <v>1709</v>
      </c>
      <c r="F215" s="10" t="s">
        <v>1710</v>
      </c>
      <c r="G215" s="10" t="s">
        <v>1711</v>
      </c>
      <c r="H215" s="10" t="s">
        <v>685</v>
      </c>
      <c r="I215" s="10" t="s">
        <v>1632</v>
      </c>
    </row>
    <row r="216" spans="1:9" ht="13.5" customHeight="1">
      <c r="A216" s="6">
        <v>41284</v>
      </c>
      <c r="B216" s="10" t="s">
        <v>51</v>
      </c>
      <c r="C216" s="3">
        <v>9031</v>
      </c>
      <c r="D216" s="3">
        <v>25</v>
      </c>
      <c r="E216" s="10" t="s">
        <v>1717</v>
      </c>
      <c r="F216" s="10" t="s">
        <v>1718</v>
      </c>
      <c r="G216" s="10" t="s">
        <v>738</v>
      </c>
      <c r="H216" s="10" t="s">
        <v>685</v>
      </c>
      <c r="I216" s="10" t="s">
        <v>4999</v>
      </c>
    </row>
    <row r="217" spans="1:9" ht="13.5" customHeight="1">
      <c r="A217" s="6">
        <v>41288</v>
      </c>
      <c r="B217" s="192" t="s">
        <v>1561</v>
      </c>
      <c r="C217" s="10" t="s">
        <v>1745</v>
      </c>
      <c r="D217" s="3">
        <v>1</v>
      </c>
      <c r="E217" s="10" t="s">
        <v>830</v>
      </c>
      <c r="F217" s="10" t="s">
        <v>1710</v>
      </c>
      <c r="G217" s="10" t="s">
        <v>738</v>
      </c>
      <c r="H217" s="10" t="s">
        <v>685</v>
      </c>
      <c r="I217" s="10" t="s">
        <v>1632</v>
      </c>
    </row>
    <row r="218" spans="1:9" ht="13.5" customHeight="1">
      <c r="A218" s="6">
        <v>41289</v>
      </c>
      <c r="B218" s="10" t="s">
        <v>51</v>
      </c>
      <c r="C218" s="10">
        <v>9031</v>
      </c>
      <c r="D218" s="3">
        <v>10</v>
      </c>
      <c r="E218" s="10" t="s">
        <v>171</v>
      </c>
      <c r="F218" s="10" t="s">
        <v>1718</v>
      </c>
      <c r="G218" s="10" t="s">
        <v>738</v>
      </c>
      <c r="H218" s="10" t="s">
        <v>685</v>
      </c>
      <c r="I218" s="10" t="s">
        <v>4999</v>
      </c>
    </row>
    <row r="219" spans="1:9" ht="13.5" customHeight="1">
      <c r="A219" s="6">
        <v>41291</v>
      </c>
      <c r="B219" s="3" t="s">
        <v>702</v>
      </c>
      <c r="C219" s="10" t="s">
        <v>1787</v>
      </c>
      <c r="D219" s="3">
        <v>2</v>
      </c>
      <c r="E219" s="10" t="s">
        <v>1788</v>
      </c>
      <c r="F219" s="10" t="s">
        <v>1791</v>
      </c>
      <c r="G219" s="10" t="s">
        <v>738</v>
      </c>
      <c r="H219" s="10" t="s">
        <v>685</v>
      </c>
      <c r="I219" s="10" t="s">
        <v>1789</v>
      </c>
    </row>
    <row r="220" spans="1:9" ht="13.5" customHeight="1">
      <c r="A220" s="6">
        <v>41291</v>
      </c>
      <c r="B220" s="10" t="s">
        <v>1814</v>
      </c>
      <c r="C220" s="3">
        <v>8247</v>
      </c>
      <c r="D220" s="3">
        <v>1</v>
      </c>
      <c r="E220" s="10" t="s">
        <v>1788</v>
      </c>
      <c r="F220" s="10" t="s">
        <v>1791</v>
      </c>
      <c r="G220" s="10" t="s">
        <v>738</v>
      </c>
      <c r="H220" s="10" t="s">
        <v>685</v>
      </c>
      <c r="I220" s="10" t="s">
        <v>1789</v>
      </c>
    </row>
    <row r="221" spans="1:9" ht="13.5" customHeight="1">
      <c r="A221" s="6">
        <v>41295</v>
      </c>
      <c r="B221" s="10" t="s">
        <v>1815</v>
      </c>
      <c r="C221" s="10" t="s">
        <v>1809</v>
      </c>
      <c r="D221" s="3">
        <v>1</v>
      </c>
      <c r="E221" s="10" t="s">
        <v>1810</v>
      </c>
      <c r="F221" s="10" t="s">
        <v>1710</v>
      </c>
      <c r="G221" s="10" t="s">
        <v>1811</v>
      </c>
      <c r="H221" s="10" t="s">
        <v>1812</v>
      </c>
      <c r="I221" s="10" t="s">
        <v>1632</v>
      </c>
    </row>
    <row r="222" spans="1:9" ht="13.5" customHeight="1">
      <c r="A222" s="6">
        <v>41295</v>
      </c>
      <c r="B222" s="10" t="s">
        <v>1471</v>
      </c>
      <c r="C222" s="10" t="s">
        <v>1813</v>
      </c>
      <c r="D222" s="3">
        <v>1</v>
      </c>
      <c r="E222" s="10" t="s">
        <v>1810</v>
      </c>
      <c r="F222" s="10" t="s">
        <v>1710</v>
      </c>
      <c r="G222" s="10" t="s">
        <v>1811</v>
      </c>
      <c r="H222" s="10" t="s">
        <v>1812</v>
      </c>
      <c r="I222" s="10" t="s">
        <v>1632</v>
      </c>
    </row>
    <row r="223" spans="1:9" ht="13.5" customHeight="1">
      <c r="A223" s="6">
        <v>41296</v>
      </c>
      <c r="B223" s="3" t="s">
        <v>87</v>
      </c>
      <c r="C223" s="3">
        <v>9032</v>
      </c>
      <c r="D223" s="3">
        <v>5</v>
      </c>
      <c r="E223" s="10" t="s">
        <v>1829</v>
      </c>
      <c r="F223" s="10" t="s">
        <v>1710</v>
      </c>
      <c r="G223" s="10" t="s">
        <v>738</v>
      </c>
      <c r="H223" s="10" t="s">
        <v>685</v>
      </c>
      <c r="I223" s="10" t="s">
        <v>1632</v>
      </c>
    </row>
    <row r="224" spans="1:9" ht="13.5" customHeight="1">
      <c r="A224" s="6">
        <v>41297</v>
      </c>
      <c r="B224" s="82" t="s">
        <v>183</v>
      </c>
      <c r="C224" s="10" t="s">
        <v>1852</v>
      </c>
      <c r="D224" s="3">
        <v>10</v>
      </c>
      <c r="E224" s="10" t="s">
        <v>1847</v>
      </c>
      <c r="F224" s="10" t="s">
        <v>1710</v>
      </c>
      <c r="G224" s="10" t="s">
        <v>738</v>
      </c>
      <c r="H224" s="10" t="s">
        <v>685</v>
      </c>
      <c r="I224" s="10" t="s">
        <v>1632</v>
      </c>
    </row>
    <row r="225" spans="1:9" ht="13.5" customHeight="1">
      <c r="A225" s="6">
        <v>41297</v>
      </c>
      <c r="B225" s="3" t="s">
        <v>1816</v>
      </c>
      <c r="C225" s="10" t="s">
        <v>1853</v>
      </c>
      <c r="D225" s="3">
        <v>10</v>
      </c>
      <c r="E225" s="10" t="s">
        <v>1854</v>
      </c>
      <c r="F225" s="10" t="s">
        <v>1718</v>
      </c>
      <c r="G225" s="10" t="s">
        <v>738</v>
      </c>
      <c r="H225" s="10" t="s">
        <v>685</v>
      </c>
      <c r="I225" s="10" t="s">
        <v>4999</v>
      </c>
    </row>
    <row r="226" spans="1:9" ht="13.5" customHeight="1">
      <c r="A226" s="6">
        <v>41298</v>
      </c>
      <c r="B226" s="3" t="s">
        <v>1816</v>
      </c>
      <c r="C226" s="10" t="s">
        <v>1853</v>
      </c>
      <c r="D226" s="3">
        <v>4</v>
      </c>
      <c r="E226" s="10" t="s">
        <v>1854</v>
      </c>
      <c r="F226" s="10" t="s">
        <v>1710</v>
      </c>
      <c r="G226" s="10" t="s">
        <v>738</v>
      </c>
      <c r="H226" s="10" t="s">
        <v>685</v>
      </c>
      <c r="I226" s="10" t="s">
        <v>1632</v>
      </c>
    </row>
    <row r="227" spans="1:9" ht="13.5" customHeight="1">
      <c r="A227" s="6">
        <v>41304</v>
      </c>
      <c r="B227" s="10" t="s">
        <v>4948</v>
      </c>
      <c r="C227" s="10" t="s">
        <v>4941</v>
      </c>
      <c r="D227" s="3">
        <v>2</v>
      </c>
      <c r="E227" s="10" t="s">
        <v>830</v>
      </c>
      <c r="F227" s="10" t="s">
        <v>4947</v>
      </c>
      <c r="G227" s="10" t="s">
        <v>738</v>
      </c>
      <c r="H227" s="10" t="s">
        <v>685</v>
      </c>
      <c r="I227" s="10" t="s">
        <v>4942</v>
      </c>
    </row>
    <row r="228" spans="1:9" ht="13.5" customHeight="1">
      <c r="A228" s="6">
        <v>41305</v>
      </c>
      <c r="B228" s="3" t="s">
        <v>857</v>
      </c>
      <c r="C228" s="3">
        <v>9031</v>
      </c>
      <c r="D228" s="3">
        <v>5</v>
      </c>
      <c r="E228" s="10" t="s">
        <v>4944</v>
      </c>
      <c r="F228" s="10" t="s">
        <v>4943</v>
      </c>
      <c r="G228" s="10" t="s">
        <v>738</v>
      </c>
      <c r="H228" s="10" t="s">
        <v>685</v>
      </c>
      <c r="I228" s="10" t="s">
        <v>4942</v>
      </c>
    </row>
    <row r="229" spans="1:9" ht="13.5" customHeight="1">
      <c r="A229" s="6">
        <v>41305</v>
      </c>
      <c r="B229" s="3" t="s">
        <v>87</v>
      </c>
      <c r="C229" s="3">
        <v>9032</v>
      </c>
      <c r="D229" s="3">
        <v>5</v>
      </c>
      <c r="E229" s="10" t="s">
        <v>4944</v>
      </c>
      <c r="F229" s="10" t="s">
        <v>4943</v>
      </c>
      <c r="G229" s="10" t="s">
        <v>738</v>
      </c>
      <c r="H229" s="10" t="s">
        <v>685</v>
      </c>
      <c r="I229" s="10" t="s">
        <v>4942</v>
      </c>
    </row>
    <row r="230" spans="1:9" ht="13.5" customHeight="1">
      <c r="A230" s="6">
        <v>41305</v>
      </c>
      <c r="B230" s="10" t="s">
        <v>4948</v>
      </c>
      <c r="C230" s="10" t="s">
        <v>4941</v>
      </c>
      <c r="D230" s="3">
        <v>1</v>
      </c>
      <c r="E230" s="10" t="s">
        <v>4946</v>
      </c>
      <c r="F230" s="10" t="s">
        <v>4943</v>
      </c>
      <c r="G230" s="10" t="s">
        <v>738</v>
      </c>
      <c r="H230" s="10" t="s">
        <v>685</v>
      </c>
      <c r="I230" s="10" t="s">
        <v>4942</v>
      </c>
    </row>
    <row r="231" spans="1:9" ht="13.5" customHeight="1">
      <c r="A231" s="6">
        <v>41305</v>
      </c>
      <c r="B231" s="10" t="s">
        <v>4949</v>
      </c>
      <c r="C231" s="10" t="s">
        <v>4941</v>
      </c>
      <c r="D231" s="3">
        <v>1</v>
      </c>
      <c r="E231" s="10" t="s">
        <v>4946</v>
      </c>
      <c r="F231" s="10" t="s">
        <v>4943</v>
      </c>
      <c r="G231" s="10" t="s">
        <v>738</v>
      </c>
      <c r="H231" s="10" t="s">
        <v>685</v>
      </c>
      <c r="I231" s="10" t="s">
        <v>4942</v>
      </c>
    </row>
    <row r="232" spans="1:9" ht="13.5" customHeight="1">
      <c r="A232" s="6">
        <v>41305</v>
      </c>
      <c r="B232" s="10" t="s">
        <v>4950</v>
      </c>
      <c r="C232" s="10" t="s">
        <v>4945</v>
      </c>
      <c r="D232" s="3">
        <v>2</v>
      </c>
      <c r="E232" s="10" t="s">
        <v>4946</v>
      </c>
      <c r="F232" s="10" t="s">
        <v>4943</v>
      </c>
      <c r="G232" s="10" t="s">
        <v>738</v>
      </c>
      <c r="H232" s="10" t="s">
        <v>685</v>
      </c>
      <c r="I232" s="10" t="s">
        <v>4942</v>
      </c>
    </row>
    <row r="233" spans="1:9" ht="13.5" customHeight="1">
      <c r="A233" s="6">
        <v>41305</v>
      </c>
      <c r="B233" s="10" t="s">
        <v>6367</v>
      </c>
      <c r="C233" s="10" t="s">
        <v>6368</v>
      </c>
      <c r="D233" s="3">
        <v>4</v>
      </c>
      <c r="E233" s="10" t="s">
        <v>6349</v>
      </c>
      <c r="F233" s="10" t="s">
        <v>6371</v>
      </c>
      <c r="G233" s="10" t="s">
        <v>738</v>
      </c>
      <c r="H233" s="10" t="s">
        <v>685</v>
      </c>
      <c r="I233" s="10" t="s">
        <v>4943</v>
      </c>
    </row>
    <row r="234" spans="1:9" ht="13.5" customHeight="1">
      <c r="A234" s="6">
        <v>41305</v>
      </c>
      <c r="B234" s="10" t="s">
        <v>4996</v>
      </c>
      <c r="C234" s="10" t="s">
        <v>4995</v>
      </c>
      <c r="D234" s="3">
        <v>1</v>
      </c>
      <c r="E234" s="10" t="s">
        <v>830</v>
      </c>
      <c r="F234" s="10" t="s">
        <v>4997</v>
      </c>
      <c r="G234" s="10" t="s">
        <v>738</v>
      </c>
      <c r="H234" s="10" t="s">
        <v>685</v>
      </c>
      <c r="I234" s="10" t="s">
        <v>4998</v>
      </c>
    </row>
    <row r="235" spans="1:9" ht="13.5" customHeight="1">
      <c r="A235" s="6">
        <v>41322</v>
      </c>
      <c r="B235" s="303" t="s">
        <v>1561</v>
      </c>
      <c r="C235" s="10" t="s">
        <v>1514</v>
      </c>
      <c r="D235" s="3">
        <v>1</v>
      </c>
      <c r="E235" s="10" t="s">
        <v>830</v>
      </c>
      <c r="F235" s="10" t="s">
        <v>1710</v>
      </c>
      <c r="G235" s="10" t="s">
        <v>738</v>
      </c>
      <c r="H235" s="10" t="s">
        <v>685</v>
      </c>
      <c r="I235" s="10" t="s">
        <v>1632</v>
      </c>
    </row>
    <row r="236" spans="1:9" ht="13.5" customHeight="1">
      <c r="A236" s="6">
        <v>41322</v>
      </c>
      <c r="B236" s="3" t="s">
        <v>5095</v>
      </c>
      <c r="C236" s="3">
        <v>3985</v>
      </c>
      <c r="D236" s="3">
        <v>1</v>
      </c>
      <c r="E236" s="10" t="s">
        <v>830</v>
      </c>
      <c r="F236" s="10" t="s">
        <v>1710</v>
      </c>
      <c r="G236" s="10" t="s">
        <v>738</v>
      </c>
      <c r="H236" s="10" t="s">
        <v>685</v>
      </c>
      <c r="I236" s="10" t="s">
        <v>1632</v>
      </c>
    </row>
    <row r="237" spans="1:9" ht="13.5" customHeight="1">
      <c r="A237" s="6">
        <v>41338</v>
      </c>
      <c r="B237" s="10" t="s">
        <v>5423</v>
      </c>
      <c r="C237" s="10" t="s">
        <v>5418</v>
      </c>
      <c r="D237" s="3">
        <v>12</v>
      </c>
      <c r="E237" s="10" t="s">
        <v>830</v>
      </c>
      <c r="F237" s="10" t="s">
        <v>5426</v>
      </c>
      <c r="G237" s="10" t="s">
        <v>738</v>
      </c>
      <c r="H237" s="10" t="s">
        <v>685</v>
      </c>
      <c r="I237" s="10" t="s">
        <v>5427</v>
      </c>
    </row>
    <row r="238" spans="1:9" ht="13.5" customHeight="1">
      <c r="A238" s="6">
        <v>41338</v>
      </c>
      <c r="B238" s="10" t="s">
        <v>5423</v>
      </c>
      <c r="C238" s="10" t="s">
        <v>5419</v>
      </c>
      <c r="D238" s="3">
        <v>12</v>
      </c>
      <c r="E238" s="10" t="s">
        <v>830</v>
      </c>
      <c r="F238" s="10" t="s">
        <v>5426</v>
      </c>
      <c r="G238" s="10" t="s">
        <v>738</v>
      </c>
      <c r="H238" s="10" t="s">
        <v>685</v>
      </c>
      <c r="I238" s="10" t="s">
        <v>5427</v>
      </c>
    </row>
    <row r="239" spans="1:9" ht="13.5" customHeight="1">
      <c r="A239" s="6">
        <v>41338</v>
      </c>
      <c r="B239" s="10" t="s">
        <v>5040</v>
      </c>
      <c r="C239" s="10" t="s">
        <v>5420</v>
      </c>
      <c r="D239" s="3">
        <v>24</v>
      </c>
      <c r="E239" s="10" t="s">
        <v>830</v>
      </c>
      <c r="F239" s="10" t="s">
        <v>5426</v>
      </c>
      <c r="G239" s="10" t="s">
        <v>738</v>
      </c>
      <c r="H239" s="10" t="s">
        <v>685</v>
      </c>
      <c r="I239" s="10" t="s">
        <v>5427</v>
      </c>
    </row>
    <row r="240" spans="1:9" ht="13.5" customHeight="1">
      <c r="A240" s="6">
        <v>41338</v>
      </c>
      <c r="B240" s="10" t="s">
        <v>5424</v>
      </c>
      <c r="C240" s="10" t="s">
        <v>5421</v>
      </c>
      <c r="D240" s="3">
        <v>12</v>
      </c>
      <c r="E240" s="10" t="s">
        <v>830</v>
      </c>
      <c r="F240" s="10" t="s">
        <v>5426</v>
      </c>
      <c r="G240" s="10" t="s">
        <v>738</v>
      </c>
      <c r="H240" s="10" t="s">
        <v>685</v>
      </c>
      <c r="I240" s="10" t="s">
        <v>5427</v>
      </c>
    </row>
    <row r="241" spans="1:9" ht="13.5" customHeight="1">
      <c r="A241" s="6">
        <v>41338</v>
      </c>
      <c r="B241" s="10" t="s">
        <v>5425</v>
      </c>
      <c r="C241" s="10" t="s">
        <v>5422</v>
      </c>
      <c r="D241" s="3">
        <v>12</v>
      </c>
      <c r="E241" s="10" t="s">
        <v>830</v>
      </c>
      <c r="F241" s="10" t="s">
        <v>5426</v>
      </c>
      <c r="G241" s="10" t="s">
        <v>738</v>
      </c>
      <c r="H241" s="10" t="s">
        <v>685</v>
      </c>
      <c r="I241" s="10" t="s">
        <v>5427</v>
      </c>
    </row>
    <row r="242" spans="1:9" ht="13.5" customHeight="1">
      <c r="A242" s="6">
        <v>41338</v>
      </c>
      <c r="B242" s="10" t="s">
        <v>6367</v>
      </c>
      <c r="C242" s="10" t="s">
        <v>6368</v>
      </c>
      <c r="D242" s="3">
        <v>1</v>
      </c>
      <c r="E242" s="10" t="s">
        <v>6349</v>
      </c>
      <c r="F242" s="10" t="s">
        <v>6369</v>
      </c>
      <c r="G242" s="10" t="s">
        <v>738</v>
      </c>
      <c r="H242" s="10" t="s">
        <v>685</v>
      </c>
      <c r="I242" s="10" t="s">
        <v>6370</v>
      </c>
    </row>
    <row r="243" spans="1:9" ht="13.5" customHeight="1">
      <c r="A243" s="6">
        <v>41340</v>
      </c>
      <c r="B243" s="10" t="s">
        <v>6367</v>
      </c>
      <c r="C243" s="10" t="s">
        <v>6368</v>
      </c>
      <c r="D243" s="3">
        <v>3</v>
      </c>
      <c r="E243" s="10" t="s">
        <v>6349</v>
      </c>
      <c r="F243" s="10" t="s">
        <v>5426</v>
      </c>
      <c r="G243" s="10" t="s">
        <v>738</v>
      </c>
      <c r="H243" s="10" t="s">
        <v>685</v>
      </c>
      <c r="I243" s="10" t="s">
        <v>6372</v>
      </c>
    </row>
    <row r="244" spans="1:9" ht="13.5" customHeight="1">
      <c r="A244" s="6">
        <v>41341</v>
      </c>
      <c r="B244" s="10" t="s">
        <v>5747</v>
      </c>
      <c r="C244" s="10" t="s">
        <v>5746</v>
      </c>
      <c r="D244" s="3">
        <v>24</v>
      </c>
      <c r="E244" s="10" t="s">
        <v>830</v>
      </c>
      <c r="F244" s="10" t="s">
        <v>5744</v>
      </c>
      <c r="G244" s="10" t="s">
        <v>738</v>
      </c>
      <c r="H244" s="10" t="s">
        <v>685</v>
      </c>
      <c r="I244" s="10" t="s">
        <v>5745</v>
      </c>
    </row>
    <row r="245" spans="1:9" ht="13.5" customHeight="1">
      <c r="A245" s="6">
        <v>41341</v>
      </c>
      <c r="B245" s="10" t="s">
        <v>5760</v>
      </c>
      <c r="C245" s="10" t="s">
        <v>5748</v>
      </c>
      <c r="D245" s="3">
        <v>24</v>
      </c>
      <c r="E245" s="10" t="s">
        <v>830</v>
      </c>
      <c r="F245" s="10" t="s">
        <v>5744</v>
      </c>
      <c r="G245" s="10" t="s">
        <v>738</v>
      </c>
      <c r="H245" s="10" t="s">
        <v>685</v>
      </c>
      <c r="I245" s="10" t="s">
        <v>5745</v>
      </c>
    </row>
    <row r="246" spans="1:9" ht="13.5" customHeight="1">
      <c r="A246" s="6">
        <v>41341</v>
      </c>
      <c r="B246" s="10" t="s">
        <v>5760</v>
      </c>
      <c r="C246" s="10" t="s">
        <v>5749</v>
      </c>
      <c r="D246" s="3">
        <v>24</v>
      </c>
      <c r="E246" s="10" t="s">
        <v>830</v>
      </c>
      <c r="F246" s="10" t="s">
        <v>5744</v>
      </c>
      <c r="G246" s="10" t="s">
        <v>738</v>
      </c>
      <c r="H246" s="10" t="s">
        <v>685</v>
      </c>
      <c r="I246" s="10" t="s">
        <v>5745</v>
      </c>
    </row>
    <row r="247" spans="1:9" ht="13.5" customHeight="1">
      <c r="A247" s="6">
        <v>41341</v>
      </c>
      <c r="B247" s="10" t="s">
        <v>5760</v>
      </c>
      <c r="C247" s="10" t="s">
        <v>5750</v>
      </c>
      <c r="D247" s="3">
        <v>100</v>
      </c>
      <c r="E247" s="10" t="s">
        <v>1635</v>
      </c>
      <c r="F247" s="10" t="s">
        <v>5744</v>
      </c>
      <c r="G247" s="10" t="s">
        <v>738</v>
      </c>
      <c r="H247" s="10" t="s">
        <v>685</v>
      </c>
      <c r="I247" s="10" t="s">
        <v>5745</v>
      </c>
    </row>
    <row r="248" spans="1:9" ht="13.5" customHeight="1">
      <c r="A248" s="6">
        <v>41341</v>
      </c>
      <c r="B248" s="10">
        <v>8</v>
      </c>
      <c r="C248" s="10">
        <v>3983</v>
      </c>
      <c r="D248" s="3">
        <v>30</v>
      </c>
      <c r="E248" s="10" t="s">
        <v>830</v>
      </c>
      <c r="F248" s="10" t="s">
        <v>5744</v>
      </c>
      <c r="G248" s="10" t="s">
        <v>738</v>
      </c>
      <c r="H248" s="10" t="s">
        <v>685</v>
      </c>
      <c r="I248" s="10" t="s">
        <v>5745</v>
      </c>
    </row>
    <row r="249" spans="1:9" ht="13.5" customHeight="1">
      <c r="A249" s="6">
        <v>41341</v>
      </c>
      <c r="B249" s="10">
        <v>9</v>
      </c>
      <c r="C249" s="10">
        <v>2245</v>
      </c>
      <c r="D249" s="3">
        <v>24</v>
      </c>
      <c r="E249" s="10" t="s">
        <v>830</v>
      </c>
      <c r="F249" s="10" t="s">
        <v>5744</v>
      </c>
      <c r="G249" s="10" t="s">
        <v>738</v>
      </c>
      <c r="H249" s="10" t="s">
        <v>685</v>
      </c>
      <c r="I249" s="10" t="s">
        <v>5745</v>
      </c>
    </row>
    <row r="250" spans="1:9" ht="13.5" customHeight="1">
      <c r="A250" s="6">
        <v>41341</v>
      </c>
      <c r="B250" s="10">
        <v>9</v>
      </c>
      <c r="C250" s="10" t="s">
        <v>5751</v>
      </c>
      <c r="D250" s="3">
        <v>24</v>
      </c>
      <c r="E250" s="10" t="s">
        <v>830</v>
      </c>
      <c r="F250" s="10" t="s">
        <v>5744</v>
      </c>
      <c r="G250" s="10" t="s">
        <v>738</v>
      </c>
      <c r="H250" s="10" t="s">
        <v>685</v>
      </c>
      <c r="I250" s="10" t="s">
        <v>5745</v>
      </c>
    </row>
    <row r="251" spans="1:9" ht="13.5" customHeight="1">
      <c r="A251" s="6">
        <v>41341</v>
      </c>
      <c r="B251" s="10">
        <v>8</v>
      </c>
      <c r="C251" s="10" t="s">
        <v>5752</v>
      </c>
      <c r="D251" s="3">
        <v>24</v>
      </c>
      <c r="E251" s="10" t="s">
        <v>830</v>
      </c>
      <c r="F251" s="10" t="s">
        <v>5744</v>
      </c>
      <c r="G251" s="10" t="s">
        <v>738</v>
      </c>
      <c r="H251" s="10" t="s">
        <v>685</v>
      </c>
      <c r="I251" s="10" t="s">
        <v>5745</v>
      </c>
    </row>
    <row r="252" spans="1:9" ht="13.5" customHeight="1">
      <c r="A252" s="6">
        <v>41341</v>
      </c>
      <c r="B252" s="10">
        <v>8</v>
      </c>
      <c r="C252" s="10" t="s">
        <v>5753</v>
      </c>
      <c r="D252" s="3">
        <v>24</v>
      </c>
      <c r="E252" s="10" t="s">
        <v>830</v>
      </c>
      <c r="F252" s="10" t="s">
        <v>5744</v>
      </c>
      <c r="G252" s="10" t="s">
        <v>738</v>
      </c>
      <c r="H252" s="10" t="s">
        <v>685</v>
      </c>
      <c r="I252" s="10" t="s">
        <v>5745</v>
      </c>
    </row>
    <row r="253" spans="1:9" ht="13.5" customHeight="1">
      <c r="A253" s="6">
        <v>41341</v>
      </c>
      <c r="B253" s="10">
        <v>9</v>
      </c>
      <c r="C253" s="10" t="s">
        <v>5754</v>
      </c>
      <c r="D253" s="3">
        <v>24</v>
      </c>
      <c r="E253" s="10" t="s">
        <v>830</v>
      </c>
      <c r="F253" s="10" t="s">
        <v>5744</v>
      </c>
      <c r="G253" s="10" t="s">
        <v>738</v>
      </c>
      <c r="H253" s="10" t="s">
        <v>685</v>
      </c>
      <c r="I253" s="10" t="s">
        <v>5745</v>
      </c>
    </row>
    <row r="254" spans="1:9" ht="13.5" customHeight="1">
      <c r="A254" s="6">
        <v>41341</v>
      </c>
      <c r="B254" s="10">
        <v>9</v>
      </c>
      <c r="C254" s="10" t="s">
        <v>5755</v>
      </c>
      <c r="D254" s="3">
        <v>24</v>
      </c>
      <c r="E254" s="10" t="s">
        <v>830</v>
      </c>
      <c r="F254" s="10" t="s">
        <v>5744</v>
      </c>
      <c r="G254" s="10" t="s">
        <v>738</v>
      </c>
      <c r="H254" s="10" t="s">
        <v>685</v>
      </c>
      <c r="I254" s="10" t="s">
        <v>5745</v>
      </c>
    </row>
    <row r="255" spans="1:9" ht="13.5" customHeight="1">
      <c r="A255" s="6">
        <v>41341</v>
      </c>
      <c r="B255" s="10">
        <v>9</v>
      </c>
      <c r="C255" s="10" t="s">
        <v>5756</v>
      </c>
      <c r="D255" s="3">
        <v>24</v>
      </c>
      <c r="E255" s="10" t="s">
        <v>830</v>
      </c>
      <c r="F255" s="10" t="s">
        <v>5744</v>
      </c>
      <c r="G255" s="10" t="s">
        <v>738</v>
      </c>
      <c r="H255" s="10" t="s">
        <v>685</v>
      </c>
      <c r="I255" s="10" t="s">
        <v>5745</v>
      </c>
    </row>
    <row r="256" spans="1:9" ht="13.5" customHeight="1">
      <c r="A256" s="6">
        <v>41341</v>
      </c>
      <c r="B256" s="10">
        <v>8</v>
      </c>
      <c r="C256" s="10" t="s">
        <v>5757</v>
      </c>
      <c r="D256" s="3">
        <v>24</v>
      </c>
      <c r="E256" s="10" t="s">
        <v>830</v>
      </c>
      <c r="F256" s="10" t="s">
        <v>5744</v>
      </c>
      <c r="G256" s="10" t="s">
        <v>738</v>
      </c>
      <c r="H256" s="10" t="s">
        <v>685</v>
      </c>
      <c r="I256" s="10" t="s">
        <v>5745</v>
      </c>
    </row>
    <row r="257" spans="1:9" ht="13.5" customHeight="1">
      <c r="A257" s="6">
        <v>41341</v>
      </c>
      <c r="B257" s="10">
        <v>8</v>
      </c>
      <c r="C257" s="10" t="s">
        <v>5758</v>
      </c>
      <c r="D257" s="3">
        <v>24</v>
      </c>
      <c r="E257" s="10" t="s">
        <v>830</v>
      </c>
      <c r="F257" s="10" t="s">
        <v>5744</v>
      </c>
      <c r="G257" s="10" t="s">
        <v>738</v>
      </c>
      <c r="H257" s="10" t="s">
        <v>685</v>
      </c>
      <c r="I257" s="10" t="s">
        <v>5745</v>
      </c>
    </row>
    <row r="258" spans="1:9" ht="13.5" customHeight="1">
      <c r="A258" s="6">
        <v>41341</v>
      </c>
      <c r="B258" s="10">
        <v>8</v>
      </c>
      <c r="C258" s="10" t="s">
        <v>5759</v>
      </c>
      <c r="D258" s="3">
        <v>24</v>
      </c>
      <c r="E258" s="10" t="s">
        <v>830</v>
      </c>
      <c r="F258" s="10" t="s">
        <v>5744</v>
      </c>
      <c r="G258" s="10" t="s">
        <v>738</v>
      </c>
      <c r="H258" s="10" t="s">
        <v>685</v>
      </c>
      <c r="I258" s="10" t="s">
        <v>5745</v>
      </c>
    </row>
    <row r="259" spans="1:9" ht="13.5" customHeight="1">
      <c r="A259" s="6">
        <v>41352</v>
      </c>
      <c r="B259" s="10" t="s">
        <v>5761</v>
      </c>
      <c r="C259" s="10" t="s">
        <v>5696</v>
      </c>
      <c r="D259" s="3">
        <v>1</v>
      </c>
      <c r="E259" s="10" t="s">
        <v>5697</v>
      </c>
      <c r="F259" s="10" t="s">
        <v>5426</v>
      </c>
      <c r="G259" s="10" t="s">
        <v>738</v>
      </c>
      <c r="H259" s="10" t="s">
        <v>685</v>
      </c>
      <c r="I259" s="10" t="s">
        <v>4611</v>
      </c>
    </row>
    <row r="260" spans="1:9" ht="13.5" customHeight="1">
      <c r="A260" s="6">
        <v>41354</v>
      </c>
      <c r="B260" s="10" t="s">
        <v>51</v>
      </c>
      <c r="C260" s="3">
        <v>9032</v>
      </c>
      <c r="D260" s="3">
        <v>50</v>
      </c>
      <c r="E260" s="10" t="s">
        <v>5711</v>
      </c>
      <c r="F260" s="10" t="s">
        <v>5744</v>
      </c>
      <c r="G260" s="10" t="s">
        <v>738</v>
      </c>
      <c r="H260" s="10" t="s">
        <v>685</v>
      </c>
      <c r="I260" s="10" t="s">
        <v>5745</v>
      </c>
    </row>
    <row r="261" spans="1:9" ht="13.5" customHeight="1">
      <c r="A261" s="6">
        <v>41358</v>
      </c>
      <c r="B261" s="10" t="s">
        <v>5761</v>
      </c>
      <c r="C261" s="10" t="s">
        <v>1490</v>
      </c>
      <c r="D261" s="3">
        <v>1</v>
      </c>
      <c r="E261" s="10" t="s">
        <v>5697</v>
      </c>
      <c r="F261" s="10" t="s">
        <v>5426</v>
      </c>
      <c r="G261" s="10" t="s">
        <v>738</v>
      </c>
      <c r="H261" s="10" t="s">
        <v>685</v>
      </c>
      <c r="I261" s="10" t="s">
        <v>4611</v>
      </c>
    </row>
    <row r="262" spans="1:9" ht="13.5" customHeight="1">
      <c r="A262" s="6">
        <v>41360</v>
      </c>
      <c r="B262" s="3" t="s">
        <v>5846</v>
      </c>
      <c r="C262" s="3">
        <v>4640</v>
      </c>
      <c r="D262" s="3">
        <v>1</v>
      </c>
      <c r="E262" s="10" t="s">
        <v>5844</v>
      </c>
      <c r="F262" s="10" t="s">
        <v>5845</v>
      </c>
      <c r="G262" s="10" t="s">
        <v>738</v>
      </c>
      <c r="H262" s="10" t="s">
        <v>685</v>
      </c>
      <c r="I262" s="10" t="s">
        <v>4611</v>
      </c>
    </row>
    <row r="263" spans="1:9" ht="13.5" customHeight="1">
      <c r="A263" s="6">
        <v>41360</v>
      </c>
      <c r="B263" s="10" t="s">
        <v>5849</v>
      </c>
      <c r="C263" s="10" t="s">
        <v>5847</v>
      </c>
      <c r="D263" s="3">
        <v>2</v>
      </c>
      <c r="E263" s="10" t="s">
        <v>5848</v>
      </c>
      <c r="F263" s="10" t="s">
        <v>5845</v>
      </c>
      <c r="G263" s="10" t="s">
        <v>738</v>
      </c>
      <c r="H263" s="10" t="s">
        <v>685</v>
      </c>
      <c r="I263" s="10" t="s">
        <v>4611</v>
      </c>
    </row>
    <row r="264" spans="1:9" ht="13.5" customHeight="1">
      <c r="A264" s="6">
        <v>41365</v>
      </c>
      <c r="B264" s="10" t="s">
        <v>2027</v>
      </c>
      <c r="C264" s="10" t="s">
        <v>1490</v>
      </c>
      <c r="D264" s="3">
        <v>1</v>
      </c>
      <c r="E264" s="10" t="s">
        <v>5982</v>
      </c>
      <c r="F264" s="10" t="s">
        <v>5426</v>
      </c>
      <c r="G264" s="10" t="s">
        <v>738</v>
      </c>
      <c r="H264" s="10" t="s">
        <v>685</v>
      </c>
      <c r="I264" s="10" t="s">
        <v>4611</v>
      </c>
    </row>
    <row r="265" spans="1:9" ht="13.5" customHeight="1">
      <c r="A265" s="6">
        <v>41365</v>
      </c>
      <c r="B265" s="3" t="s">
        <v>5980</v>
      </c>
      <c r="C265" s="10" t="s">
        <v>5981</v>
      </c>
      <c r="D265" s="3">
        <v>1</v>
      </c>
      <c r="E265" s="10" t="s">
        <v>5982</v>
      </c>
      <c r="F265" s="10" t="s">
        <v>5426</v>
      </c>
      <c r="G265" s="10" t="s">
        <v>738</v>
      </c>
      <c r="H265" s="10" t="s">
        <v>685</v>
      </c>
      <c r="I265" s="10" t="s">
        <v>4611</v>
      </c>
    </row>
    <row r="266" spans="1:9" ht="13.5" customHeight="1">
      <c r="A266" s="6">
        <v>41366</v>
      </c>
      <c r="B266" s="10" t="s">
        <v>5747</v>
      </c>
      <c r="C266" s="10" t="s">
        <v>860</v>
      </c>
      <c r="D266" s="3">
        <v>12</v>
      </c>
      <c r="E266" s="10" t="s">
        <v>6031</v>
      </c>
      <c r="F266" s="10" t="s">
        <v>5744</v>
      </c>
      <c r="G266" s="10" t="s">
        <v>738</v>
      </c>
      <c r="H266" s="10" t="s">
        <v>685</v>
      </c>
      <c r="I266" s="10" t="s">
        <v>6045</v>
      </c>
    </row>
    <row r="267" spans="1:9" ht="13.5" customHeight="1">
      <c r="A267" s="6">
        <v>41366</v>
      </c>
      <c r="B267" s="10" t="s">
        <v>5760</v>
      </c>
      <c r="C267" s="10" t="s">
        <v>5749</v>
      </c>
      <c r="D267" s="3">
        <v>12</v>
      </c>
      <c r="E267" s="10" t="s">
        <v>6031</v>
      </c>
      <c r="F267" s="10" t="s">
        <v>5744</v>
      </c>
      <c r="G267" s="10" t="s">
        <v>738</v>
      </c>
      <c r="H267" s="10" t="s">
        <v>685</v>
      </c>
      <c r="I267" s="10" t="s">
        <v>6045</v>
      </c>
    </row>
    <row r="268" spans="1:9" ht="13.5" customHeight="1">
      <c r="A268" s="6">
        <v>41366</v>
      </c>
      <c r="B268" s="10">
        <v>9</v>
      </c>
      <c r="C268" s="10" t="s">
        <v>5754</v>
      </c>
      <c r="D268" s="3">
        <v>12</v>
      </c>
      <c r="E268" s="10" t="s">
        <v>6031</v>
      </c>
      <c r="F268" s="10" t="s">
        <v>5744</v>
      </c>
      <c r="G268" s="10" t="s">
        <v>738</v>
      </c>
      <c r="H268" s="10" t="s">
        <v>685</v>
      </c>
      <c r="I268" s="10" t="s">
        <v>6045</v>
      </c>
    </row>
    <row r="269" spans="1:9" ht="13.5" customHeight="1">
      <c r="A269" s="6">
        <v>41366</v>
      </c>
      <c r="B269" s="10">
        <v>8</v>
      </c>
      <c r="C269" s="10" t="s">
        <v>2067</v>
      </c>
      <c r="D269" s="3">
        <v>12</v>
      </c>
      <c r="E269" s="10" t="s">
        <v>6031</v>
      </c>
      <c r="F269" s="10" t="s">
        <v>5744</v>
      </c>
      <c r="G269" s="10" t="s">
        <v>738</v>
      </c>
      <c r="H269" s="10" t="s">
        <v>685</v>
      </c>
      <c r="I269" s="10" t="s">
        <v>6045</v>
      </c>
    </row>
    <row r="270" spans="1:9" ht="13.5" customHeight="1">
      <c r="A270" s="6">
        <v>41375</v>
      </c>
      <c r="B270" s="3" t="s">
        <v>306</v>
      </c>
      <c r="C270" s="3">
        <v>1426</v>
      </c>
      <c r="D270" s="3">
        <v>1</v>
      </c>
      <c r="E270" s="10" t="s">
        <v>6191</v>
      </c>
      <c r="F270" s="10" t="s">
        <v>5426</v>
      </c>
      <c r="G270" s="10" t="s">
        <v>738</v>
      </c>
      <c r="H270" s="10" t="s">
        <v>685</v>
      </c>
      <c r="I270" s="10" t="s">
        <v>4611</v>
      </c>
    </row>
  </sheetData>
  <autoFilter ref="A1:K226">
    <filterColumn colId="2"/>
  </autoFilter>
  <customSheetViews>
    <customSheetView guid="{E2EBE12A-2EEF-4ED6-A8ED-23574FF31B29}" showAutoFilter="1" topLeftCell="A136">
      <selection activeCell="B154" sqref="B154"/>
      <pageMargins left="0.69861111111111107" right="0.69861111111111107" top="0.75" bottom="0.75" header="0.3" footer="0.3"/>
      <pageSetup paperSize="9" firstPageNumber="4294963191" orientation="portrait" copies="0"/>
      <headerFooter alignWithMargins="0"/>
      <autoFilter ref="B1:I1"/>
    </customSheetView>
  </customSheetViews>
  <phoneticPr fontId="22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H100"/>
  <sheetViews>
    <sheetView workbookViewId="0">
      <pane ySplit="1" topLeftCell="A17" activePane="bottomLeft" state="frozen"/>
      <selection pane="bottomLeft" activeCell="H49" sqref="H49"/>
    </sheetView>
  </sheetViews>
  <sheetFormatPr defaultRowHeight="11.25"/>
  <cols>
    <col min="1" max="1" width="10.5" style="286" bestFit="1" customWidth="1"/>
    <col min="2" max="2" width="23.125" style="287" customWidth="1"/>
    <col min="3" max="16384" width="9" style="287"/>
  </cols>
  <sheetData>
    <row r="1" spans="1:8" s="285" customFormat="1" ht="19.5" customHeight="1">
      <c r="A1" s="63" t="s">
        <v>216</v>
      </c>
      <c r="B1" s="64" t="s">
        <v>1643</v>
      </c>
      <c r="C1" s="64" t="s">
        <v>1644</v>
      </c>
      <c r="D1" s="64" t="s">
        <v>219</v>
      </c>
      <c r="E1" s="64" t="s">
        <v>1645</v>
      </c>
      <c r="F1" s="64" t="s">
        <v>1646</v>
      </c>
      <c r="G1" s="64" t="s">
        <v>209</v>
      </c>
      <c r="H1" s="64" t="s">
        <v>1642</v>
      </c>
    </row>
    <row r="2" spans="1:8" ht="16.5" customHeight="1">
      <c r="A2" s="61">
        <v>41078</v>
      </c>
      <c r="B2" s="62" t="s">
        <v>1647</v>
      </c>
      <c r="C2" s="77" t="s">
        <v>886</v>
      </c>
      <c r="D2" s="62">
        <v>3</v>
      </c>
      <c r="E2" s="77" t="s">
        <v>201</v>
      </c>
      <c r="F2" s="62"/>
      <c r="G2" s="62"/>
      <c r="H2" s="77" t="s">
        <v>1665</v>
      </c>
    </row>
    <row r="3" spans="1:8" ht="16.5" customHeight="1">
      <c r="A3" s="61">
        <v>41078</v>
      </c>
      <c r="B3" s="62" t="s">
        <v>1648</v>
      </c>
      <c r="C3" s="62">
        <v>6200</v>
      </c>
      <c r="D3" s="62">
        <v>1</v>
      </c>
      <c r="E3" s="77" t="s">
        <v>199</v>
      </c>
      <c r="F3" s="62"/>
      <c r="G3" s="62"/>
      <c r="H3" s="77" t="s">
        <v>1665</v>
      </c>
    </row>
    <row r="4" spans="1:8" ht="16.5" customHeight="1">
      <c r="A4" s="61">
        <v>41078</v>
      </c>
      <c r="B4" s="62" t="s">
        <v>1649</v>
      </c>
      <c r="C4" s="62">
        <v>7502</v>
      </c>
      <c r="D4" s="62">
        <v>1</v>
      </c>
      <c r="E4" s="77" t="s">
        <v>203</v>
      </c>
      <c r="F4" s="62"/>
      <c r="G4" s="62"/>
      <c r="H4" s="77" t="s">
        <v>1665</v>
      </c>
    </row>
    <row r="5" spans="1:8" ht="16.5" customHeight="1">
      <c r="A5" s="61">
        <v>41078</v>
      </c>
      <c r="B5" s="62" t="s">
        <v>1650</v>
      </c>
      <c r="C5" s="62">
        <v>2091</v>
      </c>
      <c r="D5" s="62">
        <v>1</v>
      </c>
      <c r="E5" s="77" t="s">
        <v>200</v>
      </c>
      <c r="F5" s="62"/>
      <c r="G5" s="62"/>
      <c r="H5" s="77" t="s">
        <v>1665</v>
      </c>
    </row>
    <row r="6" spans="1:8" ht="16.5" customHeight="1">
      <c r="A6" s="61">
        <v>41078</v>
      </c>
      <c r="B6" s="77" t="s">
        <v>909</v>
      </c>
      <c r="C6" s="62">
        <v>1711</v>
      </c>
      <c r="D6" s="62">
        <v>1</v>
      </c>
      <c r="E6" s="77" t="s">
        <v>201</v>
      </c>
      <c r="F6" s="62"/>
      <c r="G6" s="62"/>
      <c r="H6" s="77" t="s">
        <v>1665</v>
      </c>
    </row>
    <row r="7" spans="1:8" ht="16.5" customHeight="1">
      <c r="A7" s="61">
        <v>41078</v>
      </c>
      <c r="B7" s="62" t="s">
        <v>1651</v>
      </c>
      <c r="C7" s="62">
        <v>12308</v>
      </c>
      <c r="D7" s="62">
        <v>1</v>
      </c>
      <c r="E7" s="77" t="s">
        <v>201</v>
      </c>
      <c r="F7" s="62"/>
      <c r="G7" s="62"/>
      <c r="H7" s="77" t="s">
        <v>1665</v>
      </c>
    </row>
    <row r="8" spans="1:8" ht="16.5" customHeight="1">
      <c r="A8" s="61">
        <v>41078</v>
      </c>
      <c r="B8" s="62" t="s">
        <v>207</v>
      </c>
      <c r="C8" s="77" t="s">
        <v>213</v>
      </c>
      <c r="D8" s="62">
        <v>1</v>
      </c>
      <c r="E8" s="77" t="s">
        <v>201</v>
      </c>
      <c r="F8" s="62"/>
      <c r="G8" s="62"/>
      <c r="H8" s="77" t="s">
        <v>1665</v>
      </c>
    </row>
    <row r="9" spans="1:8" ht="16.5" customHeight="1">
      <c r="A9" s="61">
        <v>41078</v>
      </c>
      <c r="B9" s="62" t="s">
        <v>1652</v>
      </c>
      <c r="C9" s="77" t="s">
        <v>887</v>
      </c>
      <c r="D9" s="62">
        <v>1</v>
      </c>
      <c r="E9" s="77" t="s">
        <v>201</v>
      </c>
      <c r="F9" s="62"/>
      <c r="G9" s="62"/>
      <c r="H9" s="77" t="s">
        <v>1665</v>
      </c>
    </row>
    <row r="10" spans="1:8" ht="16.5" customHeight="1">
      <c r="A10" s="61">
        <v>41078</v>
      </c>
      <c r="B10" s="77" t="s">
        <v>905</v>
      </c>
      <c r="C10" s="77" t="s">
        <v>888</v>
      </c>
      <c r="D10" s="62">
        <v>1</v>
      </c>
      <c r="E10" s="77" t="s">
        <v>889</v>
      </c>
      <c r="F10" s="62"/>
      <c r="G10" s="62"/>
      <c r="H10" s="77" t="s">
        <v>1665</v>
      </c>
    </row>
    <row r="11" spans="1:8" ht="16.5" customHeight="1">
      <c r="A11" s="61">
        <v>41078</v>
      </c>
      <c r="B11" s="77" t="s">
        <v>906</v>
      </c>
      <c r="C11" s="77" t="s">
        <v>890</v>
      </c>
      <c r="D11" s="62">
        <v>1</v>
      </c>
      <c r="E11" s="77" t="s">
        <v>889</v>
      </c>
      <c r="F11" s="62"/>
      <c r="G11" s="62"/>
      <c r="H11" s="77" t="s">
        <v>1665</v>
      </c>
    </row>
    <row r="12" spans="1:8" ht="16.5" customHeight="1">
      <c r="A12" s="61">
        <v>41078</v>
      </c>
      <c r="B12" s="62" t="s">
        <v>1653</v>
      </c>
      <c r="C12" s="62">
        <v>8247</v>
      </c>
      <c r="D12" s="62">
        <v>1</v>
      </c>
      <c r="E12" s="77" t="s">
        <v>203</v>
      </c>
      <c r="F12" s="62"/>
      <c r="G12" s="62"/>
      <c r="H12" s="77" t="s">
        <v>1665</v>
      </c>
    </row>
    <row r="13" spans="1:8" ht="16.5" customHeight="1">
      <c r="A13" s="61">
        <v>41078</v>
      </c>
      <c r="B13" s="62" t="s">
        <v>1654</v>
      </c>
      <c r="C13" s="62">
        <v>8246</v>
      </c>
      <c r="D13" s="62">
        <v>1</v>
      </c>
      <c r="E13" s="77" t="s">
        <v>203</v>
      </c>
      <c r="F13" s="62"/>
      <c r="G13" s="62"/>
      <c r="H13" s="77" t="s">
        <v>1665</v>
      </c>
    </row>
    <row r="14" spans="1:8" ht="16.5" customHeight="1">
      <c r="A14" s="61">
        <v>41078</v>
      </c>
      <c r="B14" s="62" t="s">
        <v>1655</v>
      </c>
      <c r="C14" s="77" t="s">
        <v>891</v>
      </c>
      <c r="D14" s="62">
        <v>6</v>
      </c>
      <c r="E14" s="77" t="s">
        <v>203</v>
      </c>
      <c r="F14" s="62"/>
      <c r="G14" s="62"/>
      <c r="H14" s="77" t="s">
        <v>1665</v>
      </c>
    </row>
    <row r="15" spans="1:8" ht="16.5" customHeight="1">
      <c r="A15" s="61">
        <v>41078</v>
      </c>
      <c r="B15" s="62" t="s">
        <v>206</v>
      </c>
      <c r="C15" s="77">
        <v>9032</v>
      </c>
      <c r="D15" s="62">
        <v>270</v>
      </c>
      <c r="E15" s="77" t="s">
        <v>200</v>
      </c>
      <c r="F15" s="62"/>
      <c r="G15" s="77" t="s">
        <v>1303</v>
      </c>
      <c r="H15" s="77" t="s">
        <v>1665</v>
      </c>
    </row>
    <row r="16" spans="1:8" ht="16.5" customHeight="1">
      <c r="A16" s="61">
        <v>41078</v>
      </c>
      <c r="B16" s="62" t="s">
        <v>1656</v>
      </c>
      <c r="C16" s="62">
        <v>8822</v>
      </c>
      <c r="D16" s="62">
        <v>1</v>
      </c>
      <c r="E16" s="77" t="s">
        <v>203</v>
      </c>
      <c r="F16" s="62"/>
      <c r="G16" s="62"/>
      <c r="H16" s="77" t="s">
        <v>1665</v>
      </c>
    </row>
    <row r="17" spans="1:8" ht="16.5" customHeight="1">
      <c r="A17" s="61">
        <v>41078</v>
      </c>
      <c r="B17" s="62" t="s">
        <v>1657</v>
      </c>
      <c r="C17" s="62">
        <v>8512</v>
      </c>
      <c r="D17" s="62">
        <v>1</v>
      </c>
      <c r="E17" s="77" t="s">
        <v>203</v>
      </c>
      <c r="F17" s="62"/>
      <c r="G17" s="62"/>
      <c r="H17" s="77" t="s">
        <v>1665</v>
      </c>
    </row>
    <row r="18" spans="1:8" ht="16.5" customHeight="1">
      <c r="A18" s="61">
        <v>41078</v>
      </c>
      <c r="B18" s="62" t="s">
        <v>1658</v>
      </c>
      <c r="C18" s="62">
        <v>9022</v>
      </c>
      <c r="D18" s="62">
        <v>1</v>
      </c>
      <c r="E18" s="77" t="s">
        <v>203</v>
      </c>
      <c r="F18" s="62"/>
      <c r="G18" s="62"/>
      <c r="H18" s="77" t="s">
        <v>1665</v>
      </c>
    </row>
    <row r="19" spans="1:8" ht="16.5" customHeight="1">
      <c r="A19" s="61">
        <v>41078</v>
      </c>
      <c r="B19" s="62" t="s">
        <v>1659</v>
      </c>
      <c r="C19" s="77" t="s">
        <v>892</v>
      </c>
      <c r="D19" s="62">
        <v>1</v>
      </c>
      <c r="E19" s="77" t="s">
        <v>203</v>
      </c>
      <c r="F19" s="62"/>
      <c r="G19" s="62"/>
      <c r="H19" s="77" t="s">
        <v>1665</v>
      </c>
    </row>
    <row r="20" spans="1:8" ht="16.5" customHeight="1">
      <c r="A20" s="61">
        <v>41078</v>
      </c>
      <c r="B20" s="77" t="s">
        <v>907</v>
      </c>
      <c r="C20" s="62">
        <v>8210</v>
      </c>
      <c r="D20" s="62">
        <v>1</v>
      </c>
      <c r="E20" s="77" t="s">
        <v>203</v>
      </c>
      <c r="F20" s="62"/>
      <c r="G20" s="62"/>
      <c r="H20" s="77" t="s">
        <v>1665</v>
      </c>
    </row>
    <row r="21" spans="1:8" ht="16.5" customHeight="1">
      <c r="A21" s="61">
        <v>41078</v>
      </c>
      <c r="B21" s="62" t="s">
        <v>1660</v>
      </c>
      <c r="C21" s="77" t="s">
        <v>893</v>
      </c>
      <c r="D21" s="62">
        <v>1</v>
      </c>
      <c r="E21" s="77" t="s">
        <v>203</v>
      </c>
      <c r="F21" s="62"/>
      <c r="G21" s="62"/>
      <c r="H21" s="77" t="s">
        <v>1665</v>
      </c>
    </row>
    <row r="22" spans="1:8" ht="15" customHeight="1">
      <c r="A22" s="61">
        <v>41078</v>
      </c>
      <c r="B22" s="77" t="s">
        <v>908</v>
      </c>
      <c r="C22" s="77" t="s">
        <v>894</v>
      </c>
      <c r="D22" s="62">
        <v>1</v>
      </c>
      <c r="E22" s="77" t="s">
        <v>910</v>
      </c>
      <c r="F22" s="62"/>
      <c r="G22" s="62"/>
      <c r="H22" s="77" t="s">
        <v>1665</v>
      </c>
    </row>
    <row r="23" spans="1:8" ht="16.5" customHeight="1">
      <c r="A23" s="61">
        <v>41151</v>
      </c>
      <c r="B23" s="62" t="s">
        <v>204</v>
      </c>
      <c r="C23" s="62" t="s">
        <v>202</v>
      </c>
      <c r="D23" s="62">
        <v>1</v>
      </c>
      <c r="E23" s="62" t="s">
        <v>199</v>
      </c>
      <c r="F23" s="62" t="s">
        <v>208</v>
      </c>
      <c r="G23" s="62" t="s">
        <v>210</v>
      </c>
      <c r="H23" s="77" t="s">
        <v>1665</v>
      </c>
    </row>
    <row r="24" spans="1:8" ht="16.5" customHeight="1">
      <c r="A24" s="61">
        <v>41151</v>
      </c>
      <c r="B24" s="62"/>
      <c r="C24" s="62">
        <v>9032</v>
      </c>
      <c r="D24" s="62">
        <v>100</v>
      </c>
      <c r="E24" s="62" t="s">
        <v>200</v>
      </c>
      <c r="F24" s="62" t="s">
        <v>208</v>
      </c>
      <c r="G24" s="62" t="s">
        <v>210</v>
      </c>
      <c r="H24" s="77" t="s">
        <v>1665</v>
      </c>
    </row>
    <row r="25" spans="1:8" ht="16.5" customHeight="1">
      <c r="A25" s="61">
        <v>41151</v>
      </c>
      <c r="B25" s="62" t="s">
        <v>207</v>
      </c>
      <c r="C25" s="62" t="s">
        <v>205</v>
      </c>
      <c r="D25" s="62">
        <v>1</v>
      </c>
      <c r="E25" s="62" t="s">
        <v>201</v>
      </c>
      <c r="F25" s="62" t="s">
        <v>208</v>
      </c>
      <c r="G25" s="62" t="s">
        <v>210</v>
      </c>
      <c r="H25" s="77" t="s">
        <v>1665</v>
      </c>
    </row>
    <row r="26" spans="1:8" ht="16.5" customHeight="1">
      <c r="A26" s="61">
        <v>41151</v>
      </c>
      <c r="B26" s="62" t="s">
        <v>204</v>
      </c>
      <c r="C26" s="62" t="s">
        <v>202</v>
      </c>
      <c r="D26" s="62">
        <v>10</v>
      </c>
      <c r="E26" s="62" t="s">
        <v>203</v>
      </c>
      <c r="F26" s="77" t="s">
        <v>1664</v>
      </c>
      <c r="G26" s="62" t="s">
        <v>210</v>
      </c>
      <c r="H26" s="77" t="s">
        <v>1665</v>
      </c>
    </row>
    <row r="27" spans="1:8" ht="16.5" customHeight="1">
      <c r="A27" s="61">
        <v>41157</v>
      </c>
      <c r="B27" s="67" t="s">
        <v>213</v>
      </c>
      <c r="C27" s="67" t="s">
        <v>213</v>
      </c>
      <c r="D27" s="62">
        <v>1</v>
      </c>
      <c r="E27" s="67" t="s">
        <v>203</v>
      </c>
      <c r="F27" s="62" t="s">
        <v>208</v>
      </c>
      <c r="G27" s="62" t="s">
        <v>210</v>
      </c>
      <c r="H27" s="77" t="s">
        <v>1665</v>
      </c>
    </row>
    <row r="28" spans="1:8" ht="16.5" customHeight="1">
      <c r="A28" s="61">
        <v>41157</v>
      </c>
      <c r="B28" s="67" t="s">
        <v>214</v>
      </c>
      <c r="C28" s="62"/>
      <c r="D28" s="62">
        <v>1</v>
      </c>
      <c r="E28" s="67" t="s">
        <v>199</v>
      </c>
      <c r="F28" s="62" t="s">
        <v>208</v>
      </c>
      <c r="G28" s="62" t="s">
        <v>210</v>
      </c>
      <c r="H28" s="77" t="s">
        <v>1665</v>
      </c>
    </row>
    <row r="29" spans="1:8" ht="16.5" customHeight="1">
      <c r="A29" s="61">
        <v>41157</v>
      </c>
      <c r="B29" s="67"/>
      <c r="C29" s="77" t="s">
        <v>1403</v>
      </c>
      <c r="D29" s="62"/>
      <c r="E29" s="67"/>
      <c r="F29" s="62"/>
      <c r="G29" s="62"/>
      <c r="H29" s="77" t="s">
        <v>1665</v>
      </c>
    </row>
    <row r="30" spans="1:8" ht="16.5" customHeight="1">
      <c r="A30" s="61">
        <v>41157</v>
      </c>
      <c r="B30" s="62" t="s">
        <v>1661</v>
      </c>
      <c r="C30" s="62">
        <v>10436</v>
      </c>
      <c r="D30" s="62">
        <v>1</v>
      </c>
      <c r="E30" s="67" t="s">
        <v>203</v>
      </c>
      <c r="F30" s="62" t="s">
        <v>208</v>
      </c>
      <c r="G30" s="62" t="s">
        <v>210</v>
      </c>
      <c r="H30" s="77" t="s">
        <v>1665</v>
      </c>
    </row>
    <row r="31" spans="1:8" ht="16.5" customHeight="1">
      <c r="A31" s="61">
        <v>41169</v>
      </c>
      <c r="B31" s="77" t="s">
        <v>903</v>
      </c>
      <c r="C31" s="62">
        <v>8210</v>
      </c>
      <c r="D31" s="62">
        <v>2</v>
      </c>
      <c r="E31" s="77" t="s">
        <v>203</v>
      </c>
      <c r="F31" s="77" t="s">
        <v>904</v>
      </c>
      <c r="G31" s="62"/>
      <c r="H31" s="77" t="s">
        <v>1665</v>
      </c>
    </row>
    <row r="32" spans="1:8" ht="16.5" customHeight="1">
      <c r="A32" s="61">
        <v>41169</v>
      </c>
      <c r="B32" s="62" t="s">
        <v>1661</v>
      </c>
      <c r="C32" s="62">
        <v>10434</v>
      </c>
      <c r="D32" s="62">
        <v>1</v>
      </c>
      <c r="E32" s="77" t="s">
        <v>203</v>
      </c>
      <c r="F32" s="77" t="s">
        <v>904</v>
      </c>
      <c r="G32" s="62"/>
      <c r="H32" s="77" t="s">
        <v>1665</v>
      </c>
    </row>
    <row r="33" spans="1:8" ht="15.75" customHeight="1">
      <c r="A33" s="61">
        <v>41235</v>
      </c>
      <c r="B33" s="62" t="s">
        <v>1657</v>
      </c>
      <c r="C33" s="62">
        <v>8512</v>
      </c>
      <c r="D33" s="62">
        <v>1</v>
      </c>
      <c r="E33" s="77" t="s">
        <v>203</v>
      </c>
      <c r="F33" s="62"/>
      <c r="G33" s="62"/>
      <c r="H33" s="77" t="s">
        <v>1665</v>
      </c>
    </row>
    <row r="34" spans="1:8" ht="15.75" customHeight="1">
      <c r="A34" s="61">
        <v>41235</v>
      </c>
      <c r="B34" s="62" t="s">
        <v>1660</v>
      </c>
      <c r="C34" s="77" t="s">
        <v>893</v>
      </c>
      <c r="D34" s="62">
        <v>2</v>
      </c>
      <c r="E34" s="77" t="s">
        <v>200</v>
      </c>
      <c r="F34" s="62"/>
      <c r="G34" s="62"/>
      <c r="H34" s="77" t="s">
        <v>1665</v>
      </c>
    </row>
    <row r="35" spans="1:8" ht="15.75" customHeight="1">
      <c r="A35" s="61">
        <v>41235</v>
      </c>
      <c r="B35" s="77" t="s">
        <v>1299</v>
      </c>
      <c r="C35" s="62">
        <v>1110</v>
      </c>
      <c r="D35" s="62">
        <v>200</v>
      </c>
      <c r="E35" s="77" t="s">
        <v>201</v>
      </c>
      <c r="F35" s="62"/>
      <c r="G35" s="77" t="s">
        <v>1303</v>
      </c>
      <c r="H35" s="77" t="s">
        <v>1665</v>
      </c>
    </row>
    <row r="36" spans="1:8" ht="15.75" customHeight="1">
      <c r="A36" s="61">
        <v>41235</v>
      </c>
      <c r="B36" s="62" t="s">
        <v>206</v>
      </c>
      <c r="C36" s="62">
        <v>9032</v>
      </c>
      <c r="D36" s="62">
        <v>50</v>
      </c>
      <c r="E36" s="77" t="s">
        <v>200</v>
      </c>
      <c r="F36" s="62"/>
      <c r="G36" s="62"/>
      <c r="H36" s="77" t="s">
        <v>1665</v>
      </c>
    </row>
    <row r="37" spans="1:8" ht="15.75" customHeight="1">
      <c r="A37" s="61">
        <v>41235</v>
      </c>
      <c r="B37" s="62" t="s">
        <v>1662</v>
      </c>
      <c r="C37" s="77" t="s">
        <v>891</v>
      </c>
      <c r="D37" s="62">
        <v>105</v>
      </c>
      <c r="E37" s="77" t="s">
        <v>200</v>
      </c>
      <c r="F37" s="62"/>
      <c r="G37" s="62"/>
      <c r="H37" s="77" t="s">
        <v>1665</v>
      </c>
    </row>
    <row r="38" spans="1:8" ht="15.75" customHeight="1">
      <c r="A38" s="61">
        <v>41235</v>
      </c>
      <c r="B38" s="77" t="s">
        <v>1300</v>
      </c>
      <c r="C38" s="77" t="s">
        <v>1297</v>
      </c>
      <c r="D38" s="62">
        <v>1</v>
      </c>
      <c r="E38" s="77" t="s">
        <v>1302</v>
      </c>
      <c r="F38" s="62"/>
      <c r="G38" s="62"/>
      <c r="H38" s="77" t="s">
        <v>1665</v>
      </c>
    </row>
    <row r="39" spans="1:8" ht="15.75" customHeight="1">
      <c r="A39" s="61">
        <v>41235</v>
      </c>
      <c r="B39" s="77" t="s">
        <v>1301</v>
      </c>
      <c r="C39" s="77" t="s">
        <v>1298</v>
      </c>
      <c r="D39" s="62">
        <v>1</v>
      </c>
      <c r="E39" s="77" t="s">
        <v>201</v>
      </c>
      <c r="F39" s="62"/>
      <c r="G39" s="77"/>
      <c r="H39" s="77" t="s">
        <v>1665</v>
      </c>
    </row>
    <row r="40" spans="1:8" ht="15.75" customHeight="1">
      <c r="A40" s="61">
        <v>41235</v>
      </c>
      <c r="B40" s="62" t="s">
        <v>206</v>
      </c>
      <c r="C40" s="62">
        <v>9031</v>
      </c>
      <c r="D40" s="62">
        <v>520</v>
      </c>
      <c r="E40" s="77" t="s">
        <v>200</v>
      </c>
      <c r="F40" s="62"/>
      <c r="G40" s="62"/>
      <c r="H40" s="77" t="s">
        <v>1665</v>
      </c>
    </row>
    <row r="41" spans="1:8" ht="14.25" customHeight="1">
      <c r="A41" s="61">
        <v>41257</v>
      </c>
      <c r="B41" s="62" t="s">
        <v>1663</v>
      </c>
      <c r="C41" s="62">
        <v>10197</v>
      </c>
      <c r="D41" s="62">
        <v>1</v>
      </c>
      <c r="E41" s="77" t="s">
        <v>201</v>
      </c>
      <c r="F41" s="62"/>
      <c r="G41" s="62"/>
      <c r="H41" s="77" t="s">
        <v>1665</v>
      </c>
    </row>
    <row r="42" spans="1:8" ht="15.75" customHeight="1">
      <c r="A42" s="61">
        <v>41279</v>
      </c>
      <c r="B42" s="62" t="s">
        <v>1747</v>
      </c>
      <c r="C42" s="77" t="s">
        <v>1673</v>
      </c>
      <c r="D42" s="62">
        <v>2</v>
      </c>
      <c r="E42" s="77" t="s">
        <v>1674</v>
      </c>
      <c r="F42" s="77" t="s">
        <v>1675</v>
      </c>
      <c r="G42" s="62"/>
      <c r="H42" s="77" t="s">
        <v>1676</v>
      </c>
    </row>
    <row r="43" spans="1:8" ht="15.75" customHeight="1">
      <c r="A43" s="61">
        <v>41283</v>
      </c>
      <c r="B43" s="62" t="s">
        <v>1748</v>
      </c>
      <c r="C43" s="62" t="s">
        <v>1746</v>
      </c>
      <c r="D43" s="62">
        <v>1</v>
      </c>
      <c r="E43" s="77" t="s">
        <v>1302</v>
      </c>
      <c r="F43" s="77" t="s">
        <v>904</v>
      </c>
      <c r="G43" s="62"/>
      <c r="H43" s="77" t="s">
        <v>1676</v>
      </c>
    </row>
    <row r="44" spans="1:8" ht="15.75" customHeight="1">
      <c r="A44" s="61">
        <v>41284</v>
      </c>
      <c r="B44" s="62" t="s">
        <v>1750</v>
      </c>
      <c r="C44" s="77">
        <v>9031</v>
      </c>
      <c r="D44" s="62">
        <v>25</v>
      </c>
      <c r="E44" s="77" t="s">
        <v>203</v>
      </c>
      <c r="F44" s="77" t="s">
        <v>904</v>
      </c>
      <c r="G44" s="62"/>
      <c r="H44" s="77" t="s">
        <v>1665</v>
      </c>
    </row>
    <row r="45" spans="1:8" ht="15.75" customHeight="1">
      <c r="A45" s="61">
        <v>41288</v>
      </c>
      <c r="B45" s="62" t="s">
        <v>1751</v>
      </c>
      <c r="C45" s="62" t="s">
        <v>1749</v>
      </c>
      <c r="D45" s="62">
        <v>1</v>
      </c>
      <c r="E45" s="77" t="s">
        <v>1302</v>
      </c>
      <c r="F45" s="77" t="s">
        <v>904</v>
      </c>
      <c r="G45" s="62"/>
      <c r="H45" s="77" t="s">
        <v>1665</v>
      </c>
    </row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G45">
    <filterColumn colId="2"/>
  </autoFilter>
  <customSheetViews>
    <customSheetView guid="{E2EBE12A-2EEF-4ED6-A8ED-23574FF31B29}" topLeftCell="A6">
      <selection activeCell="L15" sqref="L15"/>
      <pageMargins left="0.7" right="0.7" top="0.75" bottom="0.75" header="0.3" footer="0.3"/>
    </customSheetView>
  </customSheetViews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采购</vt:lpstr>
      <vt:lpstr>销售</vt:lpstr>
      <vt:lpstr>库存</vt:lpstr>
      <vt:lpstr>Ansell手套库存</vt:lpstr>
      <vt:lpstr>样品流向</vt:lpstr>
      <vt:lpstr>销售员取货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godlike</dc:creator>
  <cp:lastModifiedBy>godlike</cp:lastModifiedBy>
  <cp:revision/>
  <cp:lastPrinted>2012-09-27T08:06:33Z</cp:lastPrinted>
  <dcterms:created xsi:type="dcterms:W3CDTF">2006-09-13T11:21:51Z</dcterms:created>
  <dcterms:modified xsi:type="dcterms:W3CDTF">2013-05-20T07:53:54Z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2052-8.1.0.3163</vt:lpwstr>
  </property>
</Properties>
</file>