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bskanky\Google Drive\PhD Current Work\Super Important\"/>
    </mc:Choice>
  </mc:AlternateContent>
  <bookViews>
    <workbookView xWindow="0" yWindow="300" windowWidth="16815" windowHeight="7455" tabRatio="859" firstSheet="2" activeTab="3"/>
  </bookViews>
  <sheets>
    <sheet name="Fixes" sheetId="17" state="hidden" r:id="rId1"/>
    <sheet name="Questions" sheetId="16" state="hidden" r:id="rId2"/>
    <sheet name="Key Times" sheetId="1" r:id="rId3"/>
    <sheet name="PM" sheetId="28" r:id="rId4"/>
    <sheet name="Conflicts" sheetId="23" r:id="rId5"/>
    <sheet name="Trial 1" sheetId="2" r:id="rId6"/>
    <sheet name="Trial 2" sheetId="4" r:id="rId7"/>
    <sheet name="Trial 3" sheetId="8" r:id="rId8"/>
    <sheet name="Trial 4" sheetId="9" r:id="rId9"/>
    <sheet name="Trial 5" sheetId="10" r:id="rId10"/>
    <sheet name="Trial 6" sheetId="11" r:id="rId11"/>
    <sheet name="Trial 7" sheetId="12" r:id="rId12"/>
    <sheet name="Trial 8" sheetId="13" r:id="rId13"/>
    <sheet name="Trial 9" sheetId="14" r:id="rId14"/>
    <sheet name="Trial 10" sheetId="15" r:id="rId15"/>
    <sheet name="Trial 11" sheetId="18" r:id="rId16"/>
    <sheet name="Trial 12" sheetId="19" r:id="rId17"/>
    <sheet name="Trial 13" sheetId="20" r:id="rId18"/>
    <sheet name="Trial 14" sheetId="21" r:id="rId19"/>
    <sheet name="Trial 15" sheetId="22" r:id="rId20"/>
    <sheet name="Quick Flight Compiler" sheetId="27" r:id="rId21"/>
    <sheet name="Sheet1" sheetId="29" state="hidden" r:id="rId22"/>
  </sheets>
  <calcPr calcId="152511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I16" i="1"/>
  <c r="I2" i="1"/>
  <c r="N53" i="23" l="1"/>
  <c r="J30" i="23"/>
  <c r="J61" i="23"/>
  <c r="J14" i="23"/>
  <c r="J46" i="23"/>
  <c r="J16" i="23"/>
  <c r="J47" i="23"/>
  <c r="J31" i="23"/>
  <c r="J17" i="23"/>
  <c r="J48" i="23"/>
  <c r="J32" i="23"/>
  <c r="J33" i="23"/>
  <c r="J18" i="23"/>
  <c r="J34" i="23"/>
  <c r="J2" i="23"/>
  <c r="J49" i="23"/>
  <c r="J19" i="23"/>
  <c r="J50" i="23"/>
  <c r="J35" i="23"/>
  <c r="J36" i="23"/>
  <c r="J20" i="23"/>
  <c r="J51" i="23"/>
  <c r="J37" i="23"/>
  <c r="J3" i="23"/>
  <c r="J21" i="23"/>
  <c r="J52" i="23"/>
  <c r="J4" i="23"/>
  <c r="J38" i="23"/>
  <c r="J22" i="23"/>
  <c r="J53" i="23"/>
  <c r="J39" i="23"/>
  <c r="J5" i="23"/>
  <c r="J23" i="23"/>
  <c r="J54" i="23"/>
  <c r="J6" i="23"/>
  <c r="J40" i="23"/>
  <c r="J24" i="23"/>
  <c r="J55" i="23"/>
  <c r="J7" i="23"/>
  <c r="J41" i="23"/>
  <c r="J25" i="23"/>
  <c r="J56" i="23"/>
  <c r="J42" i="23"/>
  <c r="J8" i="23"/>
  <c r="J26" i="23"/>
  <c r="J57" i="23"/>
  <c r="J43" i="23"/>
  <c r="J9" i="23"/>
  <c r="J27" i="23"/>
  <c r="J58" i="23"/>
  <c r="J10" i="23"/>
  <c r="J11" i="23"/>
  <c r="J28" i="23"/>
  <c r="J59" i="23"/>
  <c r="J12" i="23"/>
  <c r="J44" i="23"/>
  <c r="J29" i="23"/>
  <c r="J60" i="23"/>
  <c r="J45" i="23"/>
  <c r="J13" i="23"/>
  <c r="J15" i="23"/>
  <c r="I10" i="14"/>
  <c r="H8" i="20"/>
  <c r="E9" i="20"/>
  <c r="D9" i="20"/>
  <c r="I9" i="20" s="1"/>
  <c r="D10" i="20"/>
  <c r="O54" i="23" l="1"/>
  <c r="O53" i="23"/>
  <c r="O52" i="23"/>
  <c r="E8" i="19"/>
  <c r="E9" i="19"/>
  <c r="E10" i="19"/>
  <c r="C10" i="19"/>
  <c r="F12" i="28"/>
  <c r="D10" i="18"/>
  <c r="D10" i="15"/>
  <c r="H8" i="8"/>
  <c r="H9" i="8"/>
  <c r="H10" i="8"/>
  <c r="D10" i="12"/>
  <c r="G7" i="11"/>
  <c r="D9" i="11"/>
  <c r="G3" i="28" l="1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2" i="28"/>
  <c r="E7" i="4"/>
  <c r="D8" i="8"/>
  <c r="E10" i="8"/>
  <c r="H7" i="8"/>
  <c r="D9" i="22"/>
  <c r="H8" i="22"/>
  <c r="H9" i="22"/>
  <c r="H10" i="22"/>
  <c r="H7" i="22"/>
  <c r="D10" i="21"/>
  <c r="I8" i="22"/>
  <c r="I9" i="22"/>
  <c r="I10" i="22"/>
  <c r="I7" i="22"/>
  <c r="I8" i="21"/>
  <c r="I9" i="21"/>
  <c r="I8" i="19"/>
  <c r="I9" i="19"/>
  <c r="I10" i="19"/>
  <c r="I8" i="18"/>
  <c r="I9" i="18"/>
  <c r="I10" i="18"/>
  <c r="I7" i="18"/>
  <c r="I8" i="14"/>
  <c r="I9" i="14"/>
  <c r="I7" i="14"/>
  <c r="I8" i="13"/>
  <c r="I9" i="13"/>
  <c r="I10" i="13"/>
  <c r="I7" i="13"/>
  <c r="I8" i="12"/>
  <c r="I9" i="12"/>
  <c r="I10" i="12"/>
  <c r="I8" i="10"/>
  <c r="I9" i="10"/>
  <c r="I10" i="10"/>
  <c r="I7" i="10"/>
  <c r="I8" i="9"/>
  <c r="I9" i="9"/>
  <c r="I10" i="9"/>
  <c r="I8" i="15"/>
  <c r="I9" i="15"/>
  <c r="I10" i="15"/>
  <c r="I7" i="15"/>
  <c r="C30" i="15"/>
  <c r="G7" i="21"/>
  <c r="I7" i="21" s="1"/>
  <c r="H10" i="20"/>
  <c r="I10" i="20" s="1"/>
  <c r="I8" i="20"/>
  <c r="G7" i="20"/>
  <c r="G7" i="19"/>
  <c r="I7" i="19" s="1"/>
  <c r="H7" i="20" l="1"/>
  <c r="I7" i="20" s="1"/>
  <c r="D10" i="13"/>
  <c r="D9" i="13"/>
  <c r="I8" i="11"/>
  <c r="I9" i="11"/>
  <c r="I10" i="11"/>
  <c r="H8" i="10" l="1"/>
  <c r="H9" i="10"/>
  <c r="H10" i="10"/>
  <c r="H11" i="10"/>
  <c r="H12" i="10"/>
  <c r="H7" i="10"/>
  <c r="E10" i="22" l="1"/>
  <c r="E9" i="22"/>
  <c r="E8" i="22"/>
  <c r="E7" i="22"/>
  <c r="I10" i="21"/>
  <c r="E10" i="21"/>
  <c r="E9" i="21"/>
  <c r="E8" i="21"/>
  <c r="E7" i="21"/>
  <c r="E10" i="20"/>
  <c r="E8" i="20"/>
  <c r="E7" i="20"/>
  <c r="E7" i="19"/>
  <c r="E10" i="18"/>
  <c r="E9" i="18"/>
  <c r="E8" i="18"/>
  <c r="E7" i="18"/>
  <c r="I5" i="1" l="1"/>
  <c r="E10" i="15" l="1"/>
  <c r="E9" i="15"/>
  <c r="E8" i="15"/>
  <c r="E7" i="15"/>
  <c r="E10" i="14"/>
  <c r="E9" i="14"/>
  <c r="E8" i="14"/>
  <c r="E7" i="14"/>
  <c r="E10" i="13"/>
  <c r="E9" i="13"/>
  <c r="E8" i="13"/>
  <c r="E7" i="13"/>
  <c r="E10" i="12"/>
  <c r="E9" i="12"/>
  <c r="E8" i="12"/>
  <c r="I7" i="12"/>
  <c r="E7" i="12"/>
  <c r="E10" i="11"/>
  <c r="E9" i="11"/>
  <c r="E8" i="11"/>
  <c r="I7" i="11"/>
  <c r="E7" i="11"/>
  <c r="I12" i="10"/>
  <c r="E12" i="10"/>
  <c r="I11" i="10"/>
  <c r="E11" i="10"/>
  <c r="E10" i="10"/>
  <c r="E9" i="10"/>
  <c r="E8" i="10"/>
  <c r="E7" i="10"/>
  <c r="G7" i="9"/>
  <c r="I7" i="9" s="1"/>
  <c r="G7" i="4"/>
  <c r="E10" i="4"/>
  <c r="E9" i="4"/>
  <c r="E8" i="4"/>
  <c r="G7" i="2"/>
  <c r="E10" i="9"/>
  <c r="E9" i="9"/>
  <c r="E8" i="9"/>
  <c r="E7" i="9"/>
  <c r="E9" i="8"/>
  <c r="E7" i="8"/>
  <c r="E8" i="2"/>
  <c r="E9" i="2"/>
  <c r="E10" i="2"/>
  <c r="E7" i="2"/>
  <c r="G8" i="4" l="1"/>
  <c r="G9" i="4" s="1"/>
  <c r="I7" i="4"/>
  <c r="H7" i="2"/>
  <c r="I7" i="2"/>
  <c r="I7" i="8"/>
  <c r="H7" i="4"/>
  <c r="G8" i="2"/>
  <c r="I8" i="2" s="1"/>
  <c r="I3" i="1"/>
  <c r="I4" i="1"/>
  <c r="I6" i="1"/>
  <c r="I7" i="1"/>
  <c r="I8" i="1"/>
  <c r="I9" i="1"/>
  <c r="I10" i="1"/>
  <c r="I11" i="1"/>
  <c r="I12" i="1"/>
  <c r="I13" i="1"/>
  <c r="I14" i="1"/>
  <c r="I15" i="1"/>
  <c r="E2" i="1"/>
  <c r="O2" i="1" s="1"/>
  <c r="E3" i="1"/>
  <c r="O3" i="1" s="1"/>
  <c r="E4" i="1"/>
  <c r="O4" i="1" s="1"/>
  <c r="E5" i="1"/>
  <c r="O5" i="1" s="1"/>
  <c r="E6" i="1"/>
  <c r="E7" i="1"/>
  <c r="E8" i="1"/>
  <c r="O8" i="1" s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D2" i="1"/>
  <c r="O15" i="1" l="1"/>
  <c r="H7" i="21"/>
  <c r="O9" i="1"/>
  <c r="H7" i="19"/>
  <c r="O7" i="1"/>
  <c r="O6" i="1"/>
  <c r="H8" i="4"/>
  <c r="H9" i="4" s="1"/>
  <c r="H10" i="4" s="1"/>
  <c r="G10" i="4"/>
  <c r="G9" i="2"/>
  <c r="H8" i="2"/>
  <c r="H9" i="2" s="1"/>
  <c r="H10" i="2" s="1"/>
  <c r="I10" i="4" l="1"/>
  <c r="I8" i="4"/>
  <c r="I9" i="2"/>
  <c r="I8" i="8"/>
  <c r="I9" i="4"/>
  <c r="G10" i="2"/>
  <c r="I10" i="2" s="1"/>
  <c r="I9" i="8" l="1"/>
  <c r="I10" i="8"/>
  <c r="E8" i="8"/>
</calcChain>
</file>

<file path=xl/sharedStrings.xml><?xml version="1.0" encoding="utf-8"?>
<sst xmlns="http://schemas.openxmlformats.org/spreadsheetml/2006/main" count="843" uniqueCount="246">
  <si>
    <t>Scenario</t>
  </si>
  <si>
    <t>Conflicts</t>
  </si>
  <si>
    <t>Trial</t>
  </si>
  <si>
    <t>Aircraft 1</t>
  </si>
  <si>
    <t>Aircraft 2</t>
  </si>
  <si>
    <t>Time 1</t>
  </si>
  <si>
    <t>Time 2</t>
  </si>
  <si>
    <t xml:space="preserve">Duration </t>
  </si>
  <si>
    <t>Location</t>
  </si>
  <si>
    <t>C81</t>
  </si>
  <si>
    <t>C11</t>
  </si>
  <si>
    <t>C42</t>
  </si>
  <si>
    <t>C71</t>
  </si>
  <si>
    <t>C79</t>
  </si>
  <si>
    <t>C27</t>
  </si>
  <si>
    <t>C49</t>
  </si>
  <si>
    <t>C73</t>
  </si>
  <si>
    <t>C10</t>
  </si>
  <si>
    <t>Flights Taken</t>
  </si>
  <si>
    <t>Flight Number</t>
  </si>
  <si>
    <t>File</t>
  </si>
  <si>
    <t>Who</t>
  </si>
  <si>
    <t>Test_NoRemP1_Exp1.xml</t>
  </si>
  <si>
    <t>Vanessa</t>
  </si>
  <si>
    <t>CONFLICTS</t>
  </si>
  <si>
    <t>Trial 2</t>
  </si>
  <si>
    <t>C40</t>
  </si>
  <si>
    <t>C24</t>
  </si>
  <si>
    <t>C63</t>
  </si>
  <si>
    <t>C96</t>
  </si>
  <si>
    <t>C30</t>
  </si>
  <si>
    <t>End Int</t>
  </si>
  <si>
    <t>Int Start</t>
  </si>
  <si>
    <t>RT Deadline</t>
  </si>
  <si>
    <t>PM Encode</t>
  </si>
  <si>
    <t>S-secs</t>
  </si>
  <si>
    <t>E-secs</t>
  </si>
  <si>
    <t>RT Ascent</t>
  </si>
  <si>
    <t>Retention Interval</t>
  </si>
  <si>
    <t>C50</t>
  </si>
  <si>
    <t>C21</t>
  </si>
  <si>
    <t>Trial 3</t>
  </si>
  <si>
    <t>Script E</t>
  </si>
  <si>
    <t>Mel</t>
  </si>
  <si>
    <t>C91</t>
  </si>
  <si>
    <t>C93</t>
  </si>
  <si>
    <t>C78</t>
  </si>
  <si>
    <t>C88</t>
  </si>
  <si>
    <t>C05</t>
  </si>
  <si>
    <t>Trial X</t>
  </si>
  <si>
    <t>Pure?</t>
  </si>
  <si>
    <t>a</t>
  </si>
  <si>
    <t>Int Time Start</t>
  </si>
  <si>
    <t>Int End</t>
  </si>
  <si>
    <t>Trial 4</t>
  </si>
  <si>
    <t>B737</t>
  </si>
  <si>
    <t>C65</t>
  </si>
  <si>
    <t>A330</t>
  </si>
  <si>
    <t>C4</t>
  </si>
  <si>
    <t>B744</t>
  </si>
  <si>
    <t>B767</t>
  </si>
  <si>
    <t>C61</t>
  </si>
  <si>
    <t>B717</t>
  </si>
  <si>
    <t>C67</t>
  </si>
  <si>
    <t>C36</t>
  </si>
  <si>
    <t>B762</t>
  </si>
  <si>
    <t>C70</t>
  </si>
  <si>
    <t>C39</t>
  </si>
  <si>
    <t>C25</t>
  </si>
  <si>
    <t>A320</t>
  </si>
  <si>
    <t>B747</t>
  </si>
  <si>
    <t>C46</t>
  </si>
  <si>
    <t>C89</t>
  </si>
  <si>
    <t>PM3</t>
  </si>
  <si>
    <t>RT2</t>
  </si>
  <si>
    <t>RT1</t>
  </si>
  <si>
    <t>atc:velocity</t>
  </si>
  <si>
    <t>atc:altitude</t>
  </si>
  <si>
    <t>atc:start</t>
  </si>
  <si>
    <t>atc:type</t>
  </si>
  <si>
    <t>atc:idx</t>
  </si>
  <si>
    <t>atc:flightpath</t>
  </si>
  <si>
    <t>PM2</t>
  </si>
  <si>
    <t>C54</t>
  </si>
  <si>
    <t>C85</t>
  </si>
  <si>
    <t>C98</t>
  </si>
  <si>
    <t>C28</t>
  </si>
  <si>
    <t>C51</t>
  </si>
  <si>
    <t>C8</t>
  </si>
  <si>
    <t>C33</t>
  </si>
  <si>
    <t>C32</t>
  </si>
  <si>
    <t>C04</t>
  </si>
  <si>
    <t>C26</t>
  </si>
  <si>
    <t>C5</t>
  </si>
  <si>
    <t>C75</t>
  </si>
  <si>
    <t>PM1</t>
  </si>
  <si>
    <t>C18</t>
  </si>
  <si>
    <t>C90</t>
  </si>
  <si>
    <t>C01</t>
  </si>
  <si>
    <t>C47</t>
  </si>
  <si>
    <t>C69</t>
  </si>
  <si>
    <t>C17</t>
  </si>
  <si>
    <t>C84</t>
  </si>
  <si>
    <t>C08</t>
  </si>
  <si>
    <t>C53</t>
  </si>
  <si>
    <t>C60</t>
  </si>
  <si>
    <t>C59</t>
  </si>
  <si>
    <t>C72</t>
  </si>
  <si>
    <t>C80</t>
  </si>
  <si>
    <t>C07</t>
  </si>
  <si>
    <t>C64</t>
  </si>
  <si>
    <t>Scripts Stolen</t>
  </si>
  <si>
    <t>Foc_3 - Trial 7</t>
  </si>
  <si>
    <t>C2</t>
  </si>
  <si>
    <t>C1</t>
  </si>
  <si>
    <t>C57</t>
  </si>
  <si>
    <t>RT Window</t>
  </si>
  <si>
    <t>Custom (various)</t>
  </si>
  <si>
    <t>Date Checked</t>
  </si>
  <si>
    <t>27th Nov</t>
  </si>
  <si>
    <t>Foc_3 - Trial 5</t>
  </si>
  <si>
    <t>Currently Working on</t>
  </si>
  <si>
    <t>Requires checks (e.g. timings, conflicts)</t>
  </si>
  <si>
    <t>Cleared</t>
  </si>
  <si>
    <t>Question</t>
  </si>
  <si>
    <t xml:space="preserve">Should we make the interval between the interruption and the warning that the flight is asending a conssitent time, for instance 20s seconds prior to the interruption. E.g. Even if the ascent starts at 30s and interruption is at 60s, we give warning at 45s. </t>
  </si>
  <si>
    <t>Changes Required</t>
  </si>
  <si>
    <t>Interruption Ascent Task 5</t>
  </si>
  <si>
    <t>Add path for new flights</t>
  </si>
  <si>
    <t>add my own interruption questions etc (workload)</t>
  </si>
  <si>
    <t>conflict "" script  3; Foc_3 Trial 6</t>
  </si>
  <si>
    <t>RT BOX</t>
  </si>
  <si>
    <t>Foc_3 Trial 1</t>
  </si>
  <si>
    <t>Foc_3 Trial 2</t>
  </si>
  <si>
    <t>Foc3_Trial 3</t>
  </si>
  <si>
    <t>Test_NoRemP1_Exp1 Script 1</t>
  </si>
  <si>
    <t>Caution: altitude chaing. Resolve impending conflict once cruising.</t>
  </si>
  <si>
    <t>Test_NoRemP1_Exp1 Script 8 MODIFIED</t>
  </si>
  <si>
    <t>Test_NoREMp1 Script 8 MODIFIED</t>
  </si>
  <si>
    <t>Test_NoRemP1_Exp1 Script 2 MODIFIED</t>
  </si>
  <si>
    <t>Test_NoRemP1_Exp1 Script 4 MODIFIED</t>
  </si>
  <si>
    <t>Test_NoRemP1_Exp1 Script 6 MODIFIED</t>
  </si>
  <si>
    <t>4th Feb</t>
  </si>
  <si>
    <t>Trial 5</t>
  </si>
  <si>
    <t>Trial 6</t>
  </si>
  <si>
    <t>C37</t>
  </si>
  <si>
    <t>C55</t>
  </si>
  <si>
    <t>C62</t>
  </si>
  <si>
    <t>C99</t>
  </si>
  <si>
    <t>C44</t>
  </si>
  <si>
    <t>Trial 7</t>
  </si>
  <si>
    <t>C48</t>
  </si>
  <si>
    <t>Trial 8</t>
  </si>
  <si>
    <t>C7</t>
  </si>
  <si>
    <t>C31</t>
  </si>
  <si>
    <t>C22</t>
  </si>
  <si>
    <t>Trial 9</t>
  </si>
  <si>
    <t>Column1</t>
  </si>
  <si>
    <t>Trial 10</t>
  </si>
  <si>
    <t>C19</t>
  </si>
  <si>
    <t>C35</t>
  </si>
  <si>
    <t>C9</t>
  </si>
  <si>
    <t>C66</t>
  </si>
  <si>
    <t>C41</t>
  </si>
  <si>
    <t>C94</t>
  </si>
  <si>
    <t>C4 PM</t>
  </si>
  <si>
    <t>Trial 11</t>
  </si>
  <si>
    <t>Trial 12</t>
  </si>
  <si>
    <t>C23</t>
  </si>
  <si>
    <t>PM Encode Approximation</t>
  </si>
  <si>
    <t>C13</t>
  </si>
  <si>
    <t>Check timings in final</t>
  </si>
  <si>
    <t>Trial 13</t>
  </si>
  <si>
    <t>C43</t>
  </si>
  <si>
    <t>NEED TO DO THIS ONE AGAIN</t>
  </si>
  <si>
    <t>Trial 14</t>
  </si>
  <si>
    <t>C86</t>
  </si>
  <si>
    <t>CS1</t>
  </si>
  <si>
    <t>CS2</t>
  </si>
  <si>
    <t>Duration</t>
  </si>
  <si>
    <t>Type (INT)</t>
  </si>
  <si>
    <t>5th Feb</t>
  </si>
  <si>
    <t>6th Feb</t>
  </si>
  <si>
    <t>7th Feb</t>
  </si>
  <si>
    <t>8th Feb</t>
  </si>
  <si>
    <t>Int. Start</t>
  </si>
  <si>
    <t>Int. End</t>
  </si>
  <si>
    <t>Int Stop</t>
  </si>
  <si>
    <t>PM Flash</t>
  </si>
  <si>
    <t>PM Final Point</t>
  </si>
  <si>
    <t>PM Aircraft</t>
  </si>
  <si>
    <t>PM</t>
  </si>
  <si>
    <t>Trial 1</t>
  </si>
  <si>
    <t>C97</t>
  </si>
  <si>
    <t>PM Key</t>
  </si>
  <si>
    <t>PM Final</t>
  </si>
  <si>
    <t>key_down</t>
  </si>
  <si>
    <t>PM4</t>
  </si>
  <si>
    <t>PM5</t>
  </si>
  <si>
    <t>key_up</t>
  </si>
  <si>
    <t>PM6</t>
  </si>
  <si>
    <t>PM8</t>
  </si>
  <si>
    <t>PM9</t>
  </si>
  <si>
    <t>C68</t>
  </si>
  <si>
    <t>key_left</t>
  </si>
  <si>
    <t>P11</t>
  </si>
  <si>
    <t>key_right</t>
  </si>
  <si>
    <t>RT</t>
  </si>
  <si>
    <t>P13</t>
  </si>
  <si>
    <t>C14</t>
  </si>
  <si>
    <t>P30</t>
  </si>
  <si>
    <t>Overlap - Conflict After</t>
  </si>
  <si>
    <t>No overlap (Post-Int)</t>
  </si>
  <si>
    <t>50-70seconds</t>
  </si>
  <si>
    <t>Textboex</t>
  </si>
  <si>
    <t>Yes</t>
  </si>
  <si>
    <t>P12</t>
  </si>
  <si>
    <t>PM New Name</t>
  </si>
  <si>
    <t>OldPM Aircraft</t>
  </si>
  <si>
    <t>C12</t>
  </si>
  <si>
    <t>C38</t>
  </si>
  <si>
    <t>C15</t>
  </si>
  <si>
    <t>C83</t>
  </si>
  <si>
    <t>C16</t>
  </si>
  <si>
    <t>C82</t>
  </si>
  <si>
    <t>C74</t>
  </si>
  <si>
    <t>C77</t>
  </si>
  <si>
    <t>C76</t>
  </si>
  <si>
    <t>C45</t>
  </si>
  <si>
    <t>C87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</si>
  <si>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</si>
  <si>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</si>
  <si>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</si>
  <si>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</si>
  <si>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</si>
  <si>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</si>
  <si>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</si>
  <si>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</si>
  <si>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</si>
  <si>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</si>
  <si>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</si>
  <si>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</si>
  <si>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</si>
  <si>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</si>
  <si>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</si>
  <si>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PM05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</si>
</sst>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0" fontId="3" fillId="0" borderId="0" xfId="0" applyFont="1"/>
    <xf numFmtId="0" fontId="3" fillId="0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/>
    <xf numFmtId="0" fontId="6" fillId="0" borderId="0" xfId="0" applyNumberFormat="1" applyFont="1" applyFill="1"/>
    <xf numFmtId="1" fontId="6" fillId="0" borderId="0" xfId="0" applyNumberFormat="1" applyFont="1"/>
    <xf numFmtId="0" fontId="2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7" fillId="0" borderId="0" xfId="0" applyFon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0" xfId="0" applyFont="1"/>
    <xf numFmtId="0" fontId="8" fillId="0" borderId="0" xfId="0" applyFont="1"/>
    <xf numFmtId="0" fontId="8" fillId="0" borderId="0" xfId="0" applyFont="1" applyFill="1"/>
    <xf numFmtId="1" fontId="8" fillId="0" borderId="0" xfId="0" applyNumberFormat="1" applyFont="1"/>
    <xf numFmtId="0" fontId="0" fillId="0" borderId="0" xfId="0" applyAlignment="1">
      <alignment wrapText="1"/>
    </xf>
    <xf numFmtId="0" fontId="0" fillId="4" borderId="11" xfId="0" applyFill="1" applyBorder="1"/>
    <xf numFmtId="0" fontId="0" fillId="7" borderId="12" xfId="0" applyFill="1" applyBorder="1"/>
    <xf numFmtId="0" fontId="0" fillId="3" borderId="13" xfId="0" applyFill="1" applyBorder="1"/>
    <xf numFmtId="0" fontId="11" fillId="6" borderId="10" xfId="2" applyBorder="1"/>
    <xf numFmtId="0" fontId="11" fillId="6" borderId="0" xfId="2"/>
    <xf numFmtId="0" fontId="10" fillId="5" borderId="0" xfId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1" fontId="0" fillId="0" borderId="0" xfId="0" applyNumberFormat="1" applyFont="1"/>
    <xf numFmtId="0" fontId="0" fillId="3" borderId="0" xfId="0" applyFill="1"/>
    <xf numFmtId="0" fontId="12" fillId="0" borderId="0" xfId="0" applyFont="1"/>
    <xf numFmtId="0" fontId="0" fillId="0" borderId="0" xfId="0" applyAlignment="1">
      <alignment horizontal="center" vertical="top"/>
    </xf>
    <xf numFmtId="0" fontId="14" fillId="0" borderId="0" xfId="0" applyFont="1" applyFill="1"/>
    <xf numFmtId="0" fontId="12" fillId="0" borderId="0" xfId="0" applyFont="1" applyFill="1"/>
    <xf numFmtId="1" fontId="12" fillId="0" borderId="0" xfId="0" applyNumberFormat="1" applyFont="1" applyFill="1"/>
    <xf numFmtId="0" fontId="13" fillId="0" borderId="1" xfId="0" applyFont="1" applyFill="1" applyBorder="1" applyAlignment="1">
      <alignment vertical="center"/>
    </xf>
    <xf numFmtId="0" fontId="7" fillId="0" borderId="0" xfId="0" applyFont="1" applyFill="1"/>
    <xf numFmtId="1" fontId="0" fillId="0" borderId="0" xfId="0" applyNumberFormat="1" applyFill="1"/>
    <xf numFmtId="0" fontId="0" fillId="8" borderId="14" xfId="0" applyFont="1" applyFill="1" applyBorder="1"/>
    <xf numFmtId="17" fontId="12" fillId="0" borderId="0" xfId="0" applyNumberFormat="1" applyFont="1"/>
    <xf numFmtId="45" fontId="0" fillId="0" borderId="0" xfId="0" applyNumberFormat="1"/>
    <xf numFmtId="0" fontId="0" fillId="7" borderId="0" xfId="0" applyFill="1"/>
    <xf numFmtId="0" fontId="0" fillId="2" borderId="1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68">
    <dxf>
      <numFmt numFmtId="0" formatCode="General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190499</xdr:rowOff>
    </xdr:from>
    <xdr:to>
      <xdr:col>20</xdr:col>
      <xdr:colOff>57150</xdr:colOff>
      <xdr:row>28</xdr:row>
      <xdr:rowOff>123824</xdr:rowOff>
    </xdr:to>
    <xdr:sp macro="" textlink="">
      <xdr:nvSpPr>
        <xdr:cNvPr id="2" name="TextBox 1"/>
        <xdr:cNvSpPr txBox="1"/>
      </xdr:nvSpPr>
      <xdr:spPr>
        <a:xfrm>
          <a:off x="5915025" y="190499"/>
          <a:ext cx="4953000" cy="545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on interruption type: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Type (INT) column categorizes conflicts in regard to their positioning around interruptions. There are basically four potential outcomes in this regard: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overlap (Pre):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outcome indicates that the conflict occurs prior to the start of the interruption, thusly, there is no overlap between the conflict and the interruption at any point.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 condition is advantaged by this form of interruption.</a:t>
          </a:r>
          <a:b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overlap (Post):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outcome indicates that the conflict occurs after the end of the interruption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conflict time one (the first available time a conflict can be resolved) also occurs after the end of the interruption.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 condition is advantaged by this form of interruption.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Overlap - Conflict After: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outcome indicates the conflict occurs after the end of the interruption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time one (the first available time a conflict can be resolved) occurs before the end of the interruption.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This form of conflict advantages the continuous performance condition as they have an extended amount of time to both see the conflict evolve and to act upon the conflict.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This outcome indicates that overlap measurement is not required as the aircraft involved are the resumption time aircraft.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Serious Error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This outcome indicates that the conflict actually occurs during the interruption period. These must be removed as they are impossible to resolve unless you are within the continuous performance condition.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A29" totalsRowShown="0">
  <autoFilter ref="A1:A29"/>
  <tableColumns count="1">
    <tableColumn id="1" name="Question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9" name="Table4710" displayName="Table4710" ref="A6:I12" totalsRowShown="0">
  <autoFilter ref="A6:I12"/>
  <tableColumns count="9">
    <tableColumn id="1" name="Aircraft 1" dataDxfId="45"/>
    <tableColumn id="2" name="Aircraft 2" dataDxfId="44"/>
    <tableColumn id="3" name="Time 1"/>
    <tableColumn id="4" name="Time 2"/>
    <tableColumn id="5" name="Duration ">
      <calculatedColumnFormula>Table4710[[#This Row],[Time 2]]-Table4710[[#This Row],[Time 1]]</calculatedColumnFormula>
    </tableColumn>
    <tableColumn id="6" name="Location"/>
    <tableColumn id="7" name="Int Time Start" dataDxfId="43">
      <calculatedColumnFormula>'Key Times'!C2</calculatedColumnFormula>
    </tableColumn>
    <tableColumn id="9" name="Int End">
      <calculatedColumnFormula>Table4710[[#This Row],[Int Time Start]]+27</calculatedColumnFormula>
    </tableColumn>
    <tableColumn id="8" name="Pure?">
      <calculatedColumnFormula>IF(OR(Table4710[[#This Row],[Time 2]]&lt;Table4710[[#This Row],[Int Time Start]],Table4710[[#This Row],[Int End]]&lt;Table4710[[#This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0" name="Table4711" displayName="Table4711" ref="A6:J10" totalsRowShown="0" dataCellStyle="Normal">
  <autoFilter ref="A6:J10"/>
  <tableColumns count="10">
    <tableColumn id="1" name="Aircraft 1" dataCellStyle="Normal"/>
    <tableColumn id="2" name="Aircraft 2" dataCellStyle="Normal"/>
    <tableColumn id="3" name="Time 1" dataCellStyle="Normal"/>
    <tableColumn id="4" name="Time 2" dataCellStyle="Normal"/>
    <tableColumn id="5" name="Duration " dataCellStyle="Normal">
      <calculatedColumnFormula>Table4711[[#This Row],[Time 2]]-Table4711[[#This Row],[Time 1]]</calculatedColumnFormula>
    </tableColumn>
    <tableColumn id="6" name="Location" dataCellStyle="Normal"/>
    <tableColumn id="7" name="Int Time Start" dataCellStyle="Normal">
      <calculatedColumnFormula>'Key Times'!C5</calculatedColumnFormula>
    </tableColumn>
    <tableColumn id="9" name="Int End" dataCellStyle="Normal">
      <calculatedColumnFormula>'Key Times'!E2</calculatedColumnFormula>
    </tableColumn>
    <tableColumn id="8" name="Pure?" dataCellStyle="Normal">
      <calculatedColumnFormula>IF(Table4711[[#This Row],[Time 2]]&lt;Table4711[[#This Row],[Int Time Start]],"No Overlap (PRE)",IF(Table4711[[#This Row],[Time 1]]&gt;Table4711[[#This Row],[Int End]],"No overlap (POST)",IF((AND(Table4711[[#This Row],[Time 2]]&gt;Table4711[[#This Row],[Int End]],Table4711[[#This Row],[Time 1]]&lt;Table4711[[#This Row],[Int End]])),"OVERLAP CONFLICT AFTER","SERIOUS PROBLEM")))</calculatedColumnFormula>
    </tableColumn>
    <tableColumn id="10" name="Column1" dataCellStyle="Normal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1" name="Table4712" displayName="Table4712" ref="A6:J10" totalsRowShown="0">
  <autoFilter ref="A6:J10"/>
  <tableColumns count="10">
    <tableColumn id="1" name="Aircraft 1" dataDxfId="42"/>
    <tableColumn id="2" name="Aircraft 2" dataDxfId="41"/>
    <tableColumn id="3" name="Time 1"/>
    <tableColumn id="4" name="Time 2"/>
    <tableColumn id="5" name="Duration ">
      <calculatedColumnFormula>Table4712[[#This Row],[Time 2]]-Table4712[[#This Row],[Time 1]]</calculatedColumnFormula>
    </tableColumn>
    <tableColumn id="6" name="Location"/>
    <tableColumn id="7" name="Int Time Start" dataDxfId="40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IF(OR(Table4712[[#This Row],[Time 2]]&lt;Table4712[[#This Row],[Int Time Start]],Table4712[[#This Row],[Int End]]&lt;Table4712[[#This Row],[Time 1]]),"Do not overlap","Overlap")</calculatedColumnFormula>
    </tableColumn>
    <tableColumn id="10" name="Column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2" name="Table4713" displayName="Table4713" ref="A6:I10" totalsRowShown="0">
  <autoFilter ref="A6:I10"/>
  <tableColumns count="9">
    <tableColumn id="1" name="Aircraft 1" dataDxfId="39"/>
    <tableColumn id="2" name="Aircraft 2" dataDxfId="38"/>
    <tableColumn id="3" name="Time 1"/>
    <tableColumn id="4" name="Time 2"/>
    <tableColumn id="5" name="Duration ">
      <calculatedColumnFormula>Table4713[[#This Row],[Time 2]]-Table4713[[#This Row],[Time 1]]</calculatedColumnFormula>
    </tableColumn>
    <tableColumn id="6" name="Location"/>
    <tableColumn id="7" name="Int Time Start" dataDxfId="37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IF(Table4713[[#This Row],[Time 2]]&lt;Table4713[[#This Row],[Int Time Start]],"No Overlap (PRE)",IF(Table4713[[#This Row],[Time 1]]&gt;Table4713[[#This Row],[Int End]],"No overlap (POST)",IF((AND(Table4713[[#This Row],[Time 2]]&gt;Table4713[[#This Row],[Int End]],Table4713[[#This Row],[Time 1]]&lt;Table4713[[#This Row],[Int End]])),"OVERLAP CONFLICT AFTER","SERIOUS PROBLEM")))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3" name="Table4714" displayName="Table4714" ref="A6:I10" totalsRowShown="0" dataDxfId="36">
  <autoFilter ref="A6:I10"/>
  <tableColumns count="9">
    <tableColumn id="1" name="Aircraft 1" dataDxfId="35"/>
    <tableColumn id="2" name="Aircraft 2" dataDxfId="34"/>
    <tableColumn id="3" name="Time 1" dataDxfId="33"/>
    <tableColumn id="4" name="Time 2" dataDxfId="32"/>
    <tableColumn id="5" name="Duration " dataDxfId="31">
      <calculatedColumnFormula>Table4714[[#This Row],[Time 2]]-Table4714[[#This Row],[Time 1]]</calculatedColumnFormula>
    </tableColumn>
    <tableColumn id="6" name="Location" dataDxfId="30"/>
    <tableColumn id="7" name="Int Time Start" dataDxfId="29">
      <calculatedColumnFormula>'Key Times'!C2</calculatedColumnFormula>
    </tableColumn>
    <tableColumn id="9" name="Int End" dataDxfId="28">
      <calculatedColumnFormula>'Key Times'!E2</calculatedColumnFormula>
    </tableColumn>
    <tableColumn id="8" name="Pure?" dataDxfId="27">
      <calculatedColumnFormula>IF(Table4714[[#This Row],[Time 2]]&lt;Table4714[[#This Row],[Int Time Start]],"No Overlap (PRE)",IF(Table4714[[#This Row],[Time 1]]&gt;Table4714[[#This Row],[Int End]],"No overlap (POST)",IF((AND(Table4714[[#This Row],[Time 2]]&gt;Table4714[[#This Row],[Int End]],Table4714[[#This Row],[Time 1]]&lt;Table4714[[#This Row],[Int End]])),"OVERLAP CONFLICT AFTER","SERIOUS PROBLEM")))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4" name="Table4715" displayName="Table4715" ref="A6:J10" totalsRowShown="0">
  <autoFilter ref="A6:J10"/>
  <tableColumns count="10">
    <tableColumn id="1" name="Aircraft 1" dataDxfId="26"/>
    <tableColumn id="2" name="Aircraft 2" dataDxfId="25"/>
    <tableColumn id="3" name="Time 1"/>
    <tableColumn id="4" name="Time 2"/>
    <tableColumn id="5" name="Duration ">
      <calculatedColumnFormula>Table4715[[#This Row],[Time 2]]-Table4715[[#This Row],[Time 1]]</calculatedColumnFormula>
    </tableColumn>
    <tableColumn id="6" name="Location"/>
    <tableColumn id="7" name="Int Time Start" dataDxfId="24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IF(OR(Table4715[[#This Row],[Time 2]]&lt;Table4715[[#This Row],[Int Time Start]],Table4715[[#This Row],[Int End]]&lt;Table4715[[#This Row],[Time 1]]),"Do not overlap","Overlap")</calculatedColumnFormula>
    </tableColumn>
    <tableColumn id="10" name="Column1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7" name="Table47158" displayName="Table47158" ref="A6:I10" totalsRowShown="0">
  <autoFilter ref="A6:I10"/>
  <tableColumns count="9">
    <tableColumn id="1" name="Aircraft 1" dataDxfId="23"/>
    <tableColumn id="2" name="Aircraft 2" dataDxfId="22"/>
    <tableColumn id="3" name="Time 1" dataDxfId="21"/>
    <tableColumn id="4" name="Time 2" dataDxfId="20"/>
    <tableColumn id="5" name="Duration " dataDxfId="19">
      <calculatedColumnFormula>Table47158[[#This Row],[Time 2]]-Table47158[[#This Row],[Time 1]]</calculatedColumnFormula>
    </tableColumn>
    <tableColumn id="6" name="Location" dataDxfId="18"/>
    <tableColumn id="7" name="Int Time Start" dataDxfId="17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IF(Table47158[[#This Row],[Time 2]]&lt;Table47158[[#This Row],[Int Time Start]],"No Overlap (PRE)",IF(Table47158[[#This Row],[Time 1]]&gt;Table47158[[#This Row],[Int End]],"No overlap (POST)",IF((AND(Table47158[[#This Row],[Time 2]]&gt;Table47158[[#This Row],[Int End]],Table47158[[#This Row],[Time 1]]&lt;Table47158[[#This Row],[Int End]])),"OVERLAP CONFLICT AFTER","SERIOUS PROBLEM")))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15" name="Table471516" displayName="Table471516" ref="A6:I10" totalsRowShown="0" dataCellStyle="Normal">
  <autoFilter ref="A6:I10"/>
  <tableColumns count="9">
    <tableColumn id="1" name="Aircraft 1" dataCellStyle="Normal"/>
    <tableColumn id="2" name="Aircraft 2" dataCellStyle="Normal"/>
    <tableColumn id="3" name="Time 1" dataCellStyle="Normal"/>
    <tableColumn id="4" name="Time 2" dataCellStyle="Normal"/>
    <tableColumn id="5" name="Duration " dataCellStyle="Normal">
      <calculatedColumnFormula>Table471516[[#This Row],[Time 2]]-Table471516[[#This Row],[Time 1]]</calculatedColumnFormula>
    </tableColumn>
    <tableColumn id="6" name="Location" dataCellStyle="Normal"/>
    <tableColumn id="7" name="Int Time Start" dataCellStyle="Normal">
      <calculatedColumnFormula>'Key Times'!C2</calculatedColumnFormula>
    </tableColumn>
    <tableColumn id="9" name="Int End" dataCellStyle="Normal">
      <calculatedColumnFormula>'Key Times'!E2</calculatedColumnFormula>
    </tableColumn>
    <tableColumn id="8" name="Pure?" dataCellStyle="Normal">
      <calculatedColumnFormula>IF(Table471516[[#This Row],[Time 2]]&lt;Table471516[[#This Row],[Int Time Start]],"No Overlap (PRE)",IF(Table471516[[#This Row],[Time 1]]&gt;Table471516[[#This Row],[Int End]],"No overlap (POST)",IF((AND(Table471516[[#This Row],[Time 2]]&gt;Table471516[[#This Row],[Int End]],Table471516[[#This Row],[Time 1]]&lt;Table471516[[#This Row],[Int End]])),"OVERLAP CONFLICT AFTER","SERIOUS PROBLEM")))</calculatedColumn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6" name="Table471517" displayName="Table471517" ref="A6:I10" totalsRowShown="0">
  <autoFilter ref="A6:I10"/>
  <tableColumns count="9">
    <tableColumn id="1" name="Aircraft 1" dataDxfId="16"/>
    <tableColumn id="2" name="Aircraft 2" dataDxfId="15"/>
    <tableColumn id="3" name="Time 1" dataDxfId="14"/>
    <tableColumn id="4" name="Time 2" dataDxfId="13"/>
    <tableColumn id="5" name="Duration ">
      <calculatedColumnFormula>Table471517[[#This Row],[Time 2]]-Table471517[[#This Row],[Time 1]]</calculatedColumnFormula>
    </tableColumn>
    <tableColumn id="6" name="Location"/>
    <tableColumn id="7" name="Int Time Start" dataDxfId="12">
      <calculatedColumnFormula>'Key Times'!C2</calculatedColumnFormula>
    </tableColumn>
    <tableColumn id="9" name="Int End">
      <calculatedColumnFormula>Table471517[[#This Row],[Int Time Start]]+27</calculatedColumnFormula>
    </tableColumn>
    <tableColumn id="8" name="Pure?">
      <calculatedColumnFormula>IF(OR(Table471517[[#This Row],[Time 2]]&lt;Table471517[[#This Row],[Int Time Start]],Table471517[[#This Row],[Int End]]&lt;Table471517[[#This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17" name="Table471518" displayName="Table471518" ref="A6:I10" totalsRowShown="0">
  <autoFilter ref="A6:I10"/>
  <tableColumns count="9">
    <tableColumn id="1" name="Aircraft 1" dataDxfId="11"/>
    <tableColumn id="2" name="Aircraft 2" dataDxfId="10"/>
    <tableColumn id="3" name="Time 1" dataDxfId="9"/>
    <tableColumn id="4" name="Time 2" dataDxfId="8"/>
    <tableColumn id="5" name="Duration " dataDxfId="7">
      <calculatedColumnFormula>Table471518[[#This Row],[Time 2]]-Table471518[[#This Row],[Time 1]]</calculatedColumnFormula>
    </tableColumn>
    <tableColumn id="6" name="Location" dataDxfId="6"/>
    <tableColumn id="7" name="Int Time Start" dataDxfId="5">
      <calculatedColumnFormula>'Key Times'!C15</calculatedColumnFormula>
    </tableColumn>
    <tableColumn id="9" name="Int End" dataDxfId="4">
      <calculatedColumnFormula>'Key Times'!E2</calculatedColumnFormula>
    </tableColumn>
    <tableColumn id="8" name="Pure?" dataDxfId="3">
      <calculatedColumnFormula>IF(OR(Table471518[[#This Row],[Time 2]]&lt;Table471518[[#This Row],[Int Time Start]],Table471518[[#This Row],[Int End]]&lt;Table471518[[#This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R16" totalsRowShown="0" headerRowCellStyle="Normal" dataCellStyle="Normal">
  <autoFilter ref="A1:R16"/>
  <tableColumns count="18">
    <tableColumn id="3" name="Scenario" dataCellStyle="Normal"/>
    <tableColumn id="2" name="Int Start" dataCellStyle="Normal">
      <calculatedColumnFormula>TIME(,,Table1[[#This Row],[S-secs]])</calculatedColumnFormula>
    </tableColumn>
    <tableColumn id="1" name="S-secs" dataCellStyle="Normal"/>
    <tableColumn id="5" name="End Int" dataCellStyle="Normal">
      <calculatedColumnFormula>B2+TIME(0,0,27)</calculatedColumnFormula>
    </tableColumn>
    <tableColumn id="8" name="E-secs" dataCellStyle="Normal">
      <calculatedColumnFormula>Table1[[#This Row],[S-secs]]+27</calculatedColumnFormula>
    </tableColumn>
    <tableColumn id="9" name="PM Encode Approximation" dataCellStyle="Normal"/>
    <tableColumn id="7" name="PM Flash" dataCellStyle="Normal"/>
    <tableColumn id="13" name="PM Final Point" dataCellStyle="Normal"/>
    <tableColumn id="11" name="Retention Interval" dataCellStyle="Normal">
      <calculatedColumnFormula>Table1[[#This Row],[PM Flash]]-Table1[[#This Row],[PM Encode Approximation]]</calculatedColumnFormula>
    </tableColumn>
    <tableColumn id="14" name="PM Aircraft" dataCellStyle="Normal"/>
    <tableColumn id="4" name="Conflicts" dataCellStyle="Normal"/>
    <tableColumn id="15" name="RT BOX" dataCellStyle="Normal">
      <calculatedColumnFormula>Table1[[#This Row],[S-secs]]-20</calculatedColumnFormula>
    </tableColumn>
    <tableColumn id="6" name="RT Ascent" dataDxfId="67" dataCellStyle="Normal"/>
    <tableColumn id="10" name="RT Deadline" dataCellStyle="Normal"/>
    <tableColumn id="16" name="RT Window" dataCellStyle="Normal">
      <calculatedColumnFormula>Table1[[#This Row],[RT Deadline]]-Table1[[#This Row],[E-secs]]</calculatedColumnFormula>
    </tableColumn>
    <tableColumn id="19" name="Textboex" dataDxfId="66" dataCellStyle="Normal"/>
    <tableColumn id="12" name="Scripts Stolen" dataCellStyle="Normal"/>
    <tableColumn id="17" name="Date Checked" dataCellStyle="Normal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id="18" name="Table471519" displayName="Table471519" ref="A6:I10" totalsRowShown="0">
  <autoFilter ref="A6:I10"/>
  <tableColumns count="9">
    <tableColumn id="1" name="Aircraft 1" dataDxfId="2"/>
    <tableColumn id="2" name="Aircraft 2" dataDxfId="1"/>
    <tableColumn id="3" name="Time 1"/>
    <tableColumn id="4" name="Time 2"/>
    <tableColumn id="5" name="Duration ">
      <calculatedColumnFormula>Table471519[[#This Row],[Time 2]]-Table471519[[#This Row],[Time 1]]</calculatedColumnFormula>
    </tableColumn>
    <tableColumn id="6" name="Location"/>
    <tableColumn id="7" name="Int Time Start" dataDxfId="0">
      <calculatedColumnFormula>'Key Times'!C2</calculatedColumnFormula>
    </tableColumn>
    <tableColumn id="9" name="Int End">
      <calculatedColumnFormula>Table471519[[#This Row],[Int Time Start]]+27</calculatedColumnFormula>
    </tableColumn>
    <tableColumn id="8" name="Pure?">
      <calculatedColumnFormula>IF(OR(Table471519[[#This Row],[Time 2]]&lt;Table471519[[#This Row],[Int Time Start]],Table471519[[#This Row],[Int End]]&lt;Table471519[[#This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2" name="Table2123" displayName="Table2123" ref="A1:G16" totalsRowShown="0" dataDxfId="65">
  <autoFilter ref="A1:G16"/>
  <tableColumns count="7">
    <tableColumn id="1" name="Trial" dataDxfId="64"/>
    <tableColumn id="8" name="PM New Name" dataDxfId="63"/>
    <tableColumn id="2" name="OldPM Aircraft" dataDxfId="62"/>
    <tableColumn id="6" name="PM Key" dataDxfId="61"/>
    <tableColumn id="5" name="PM Encode" dataDxfId="60"/>
    <tableColumn id="4" name="PM Flash" dataDxfId="59"/>
    <tableColumn id="3" name="PM Final" dataDxfId="58">
      <calculatedColumnFormula>Table2123[[#This Row],[PM Flash]]+15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20" displayName="Table20" ref="A1:K61" totalsRowShown="0">
  <autoFilter ref="A1:K61"/>
  <sortState ref="A2:K61">
    <sortCondition ref="J1:J61"/>
  </sortState>
  <tableColumns count="11">
    <tableColumn id="1" name="Trial"/>
    <tableColumn id="2" name="CS1"/>
    <tableColumn id="3" name="CS2"/>
    <tableColumn id="4" name="Time 1"/>
    <tableColumn id="5" name="Time 2"/>
    <tableColumn id="6" name="Duration"/>
    <tableColumn id="12" name="Location"/>
    <tableColumn id="9" name="Int Start"/>
    <tableColumn id="10" name="Int Stop"/>
    <tableColumn id="8" name="Type (INT)"/>
    <tableColumn id="7" name="RT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1" name="Table21" displayName="Table21" ref="M30:O45" totalsRowShown="0">
  <autoFilter ref="M30:O45"/>
  <tableColumns count="3">
    <tableColumn id="1" name="Trial"/>
    <tableColumn id="2" name="Int. Start"/>
    <tableColumn id="3" name="Int. En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6:I12" totalsRowShown="0">
  <autoFilter ref="A6:I12"/>
  <tableColumns count="9">
    <tableColumn id="1" name="Aircraft 1" dataDxfId="57"/>
    <tableColumn id="2" name="Aircraft 2" dataDxfId="56"/>
    <tableColumn id="3" name="Time 1"/>
    <tableColumn id="4" name="Time 2"/>
    <tableColumn id="5" name="Duration ">
      <calculatedColumnFormula>Table4[[#This Row],[Time 2]]-Table4[[#This Row],[Time 1]]</calculatedColumnFormula>
    </tableColumn>
    <tableColumn id="6" name="Location"/>
    <tableColumn id="7" name="Int Time Start" dataDxfId="55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IF(OR(Table4[[#This Row],[Time 2]]&lt;Table4[[#This Row],[Int Time Start]],Table4[[#This Row],[Int End]]&lt;Table4[[#This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8" name="Table49" displayName="Table49" ref="A6:I12" totalsRowShown="0">
  <autoFilter ref="A6:I12"/>
  <tableColumns count="9">
    <tableColumn id="1" name="Aircraft 1" dataDxfId="54"/>
    <tableColumn id="2" name="Aircraft 2" dataDxfId="53"/>
    <tableColumn id="3" name="Time 1"/>
    <tableColumn id="4" name="Time 2"/>
    <tableColumn id="5" name="Duration ">
      <calculatedColumnFormula>Table49[[#This Row],[Time 2]]-Table49[[#This Row],[Time 1]]</calculatedColumnFormula>
    </tableColumn>
    <tableColumn id="6" name="Location"/>
    <tableColumn id="7" name="Int Time Start" dataDxfId="52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IF(OR(Table49[[#This Row],[Time 2]]&lt;Table49[[#This Row],[Int Time Start]],Table49[[#This Row],[Int End]]&lt;Table49[[#This Row],[Time 1]]),"Do not overlap","Overlap")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5" name="Table46" displayName="Table46" ref="A6:I10" totalsRowShown="0">
  <autoFilter ref="A6:I10"/>
  <tableColumns count="9">
    <tableColumn id="1" name="Aircraft 1" dataDxfId="51"/>
    <tableColumn id="2" name="Aircraft 2" dataDxfId="50"/>
    <tableColumn id="3" name="Time 1"/>
    <tableColumn id="4" name="Time 2"/>
    <tableColumn id="5" name="Duration "/>
    <tableColumn id="6" name="Location"/>
    <tableColumn id="7" name="Int Time Start" dataDxfId="49"/>
    <tableColumn id="9" name="Int End">
      <calculatedColumnFormula>Table46[[#This Row],[Int Time Start]]+27</calculatedColumnFormula>
    </tableColumn>
    <tableColumn id="8" name="Pure?">
      <calculatedColumnFormula>IF(Table46[[#This Row],[Time 2]]&lt;Table46[[#This Row],[Int Time Start]],"No Overlap (PRE)",IF(Table46[[#This Row],[Time 1]]&gt;Table46[[#This Row],[Int End]],"No overlap (POST)",IF((AND(Table46[[#This Row],[Time 2]]&gt;Table46[[#This Row],[Int End]],Table46[[#This Row],[Time 1]]&lt;Table46[[#This Row],[Int End]])),"OVERLAP CONFLICT AFTER","SERIOUS PROBLEM")))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6" name="Table47" displayName="Table47" ref="A6:I12" totalsRowShown="0">
  <autoFilter ref="A6:I12"/>
  <tableColumns count="9">
    <tableColumn id="1" name="Aircraft 1" dataDxfId="48"/>
    <tableColumn id="2" name="Aircraft 2" dataDxfId="47"/>
    <tableColumn id="3" name="Time 1"/>
    <tableColumn id="4" name="Time 2"/>
    <tableColumn id="5" name="Duration ">
      <calculatedColumnFormula>Table47[[#This Row],[Time 2]]-Table47[[#This Row],[Time 1]]</calculatedColumnFormula>
    </tableColumn>
    <tableColumn id="6" name="Location"/>
    <tableColumn id="7" name="Int Time Start" dataDxfId="46">
      <calculatedColumnFormula>'Key Times'!C2</calculatedColumnFormula>
    </tableColumn>
    <tableColumn id="9" name="Int End">
      <calculatedColumnFormula>'Key Times'!E2</calculatedColumnFormula>
    </tableColumn>
    <tableColumn id="8" name="Pure?">
      <calculatedColumnFormula>IF(OR(Table47[[#This Row],[Time 2]]&lt;Table47[[#This Row],[Int Time Start]],Table47[[#This Row],[Int End]]&lt;Table47[[#This Row],[Time 1]]),"Do not overlap","Overlap")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al%201:1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A3" sqref="A3"/>
    </sheetView>
  </sheetViews>
  <sheetFormatPr defaultRowHeight="15" x14ac:dyDescent="0.25"/>
  <cols>
    <col min="1" max="1" width="81.85546875" customWidth="1"/>
  </cols>
  <sheetData>
    <row r="1" spans="1:1" x14ac:dyDescent="0.25">
      <c r="A1" s="44" t="s">
        <v>127</v>
      </c>
    </row>
    <row r="2" spans="1:1" x14ac:dyDescent="0.25">
      <c r="A2" s="43" t="s">
        <v>128</v>
      </c>
    </row>
    <row r="3" spans="1:1" x14ac:dyDescent="0.25">
      <c r="A3" s="43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143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45" t="s">
        <v>145</v>
      </c>
      <c r="B7" s="23" t="s">
        <v>146</v>
      </c>
      <c r="C7" s="7">
        <v>0</v>
      </c>
      <c r="D7" s="8">
        <v>101</v>
      </c>
      <c r="E7" s="9">
        <f>Table4710[[#This Row],[Time 2]]-Table4710[[#This Row],[Time 1]]</f>
        <v>101</v>
      </c>
      <c r="G7" s="1">
        <v>148</v>
      </c>
      <c r="H7" s="9">
        <f>Table4710[[#This Row],[Int Time Start]]+27</f>
        <v>175</v>
      </c>
      <c r="I7" t="str">
        <f>IF(Table4710[[#This Row],[Time 2]]&lt;Table4710[[#This Row],[Int Time Start]],"No Overlap (PRE)",IF(Table4710[[#This Row],[Time 1]]&gt;Table4710[[#This Row],[Int End]],"No overlap (POST)",IF((AND(Table4710[[#This Row],[Time 2]]&gt;Table4710[[#This Row],[Int End]],Table4710[[#This Row],[Time 1]]&lt;Table4710[[#This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4" t="s">
        <v>75</v>
      </c>
      <c r="B8" s="34" t="s">
        <v>74</v>
      </c>
      <c r="C8" s="7">
        <v>175</v>
      </c>
      <c r="D8">
        <v>192</v>
      </c>
      <c r="E8" s="9">
        <f>Table4710[[#This Row],[Time 2]]-Table4710[[#This Row],[Time 1]]</f>
        <v>17</v>
      </c>
      <c r="F8" s="10"/>
      <c r="G8" s="1">
        <v>148</v>
      </c>
      <c r="H8" s="9">
        <f>Table4710[[#This Row],[Int Time Start]]+27</f>
        <v>175</v>
      </c>
      <c r="I8" t="str">
        <f>IF(Table4710[[#This Row],[Time 2]]&lt;Table4710[[#This Row],[Int Time Start]],"No Overlap (PRE)",IF(Table4710[[#This Row],[Time 1]]&gt;Table4710[[#This Row],[Int End]],"No overlap (POST)",IF((AND(Table4710[[#This Row],[Time 2]]&gt;Table4710[[#This Row],[Int End]],Table4710[[#This Row],[Time 1]]&lt;Table4710[[#This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23" t="s">
        <v>88</v>
      </c>
      <c r="B9" s="23" t="s">
        <v>147</v>
      </c>
      <c r="C9">
        <v>40</v>
      </c>
      <c r="D9">
        <v>222</v>
      </c>
      <c r="E9" s="9">
        <f>Table4710[[#This Row],[Time 2]]-Table4710[[#This Row],[Time 1]]</f>
        <v>182</v>
      </c>
      <c r="G9" s="1">
        <v>148</v>
      </c>
      <c r="H9" s="9">
        <f>Table4710[[#This Row],[Int Time Start]]+27</f>
        <v>175</v>
      </c>
      <c r="I9" t="str">
        <f>IF(Table4710[[#This Row],[Time 2]]&lt;Table4710[[#This Row],[Int Time Start]],"No Overlap (PRE)",IF(Table4710[[#This Row],[Time 1]]&gt;Table4710[[#This Row],[Int End]],"No overlap (POST)",IF((AND(Table4710[[#This Row],[Time 2]]&gt;Table4710[[#This Row],[Int End]],Table4710[[#This Row],[Time 1]]&lt;Table4710[[#This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s="52" t="s">
        <v>94</v>
      </c>
      <c r="B10" s="52" t="s">
        <v>71</v>
      </c>
      <c r="C10" s="53">
        <v>194</v>
      </c>
      <c r="D10" s="53">
        <v>272</v>
      </c>
      <c r="E10" s="54">
        <f>Table4710[[#This Row],[Time 2]]-Table4710[[#This Row],[Time 1]]</f>
        <v>78</v>
      </c>
      <c r="F10" s="53"/>
      <c r="G10" s="55">
        <v>148</v>
      </c>
      <c r="H10" s="54">
        <f>Table4710[[#This Row],[Int Time Start]]+27</f>
        <v>175</v>
      </c>
      <c r="I10" s="50" t="str">
        <f>IF(Table4710[[#This Row],[Time 2]]&lt;Table4710[[#This Row],[Int Time Start]],"No Overlap (PRE)",IF(Table4710[[#This Row],[Time 1]]&gt;Table4710[[#This Row],[Int End]],"No overlap (POST)",IF((AND(Table4710[[#This Row],[Time 2]]&gt;Table4710[[#This Row],[Int End]],Table4710[[#This Row],[Time 1]]&lt;Table4710[[#This Row],[Int End]])),"OVERLAP CONFLICT AFTER","SERIOUS PROBLEM")))</f>
        <v>No overlap (POST)</v>
      </c>
      <c r="L10" s="2"/>
      <c r="M10" s="2"/>
      <c r="N10" s="2"/>
      <c r="O10" s="2"/>
    </row>
    <row r="11" spans="1:15" x14ac:dyDescent="0.25">
      <c r="A11" s="23"/>
      <c r="B11" s="23"/>
      <c r="E11" s="9">
        <f>Table4710[[#This Row],[Time 2]]-Table4710[[#This Row],[Time 1]]</f>
        <v>0</v>
      </c>
      <c r="G11" s="1">
        <v>148</v>
      </c>
      <c r="H11" s="9">
        <f>Table4710[[#This Row],[Int Time Start]]+27</f>
        <v>175</v>
      </c>
      <c r="I11" t="str">
        <f>IF(OR(Table4710[[#This Row],[Time 2]]&lt;Table4710[[#This Row],[Int Time Start]],Table4710[[#This Row],[Int End]]&lt;Table4710[[#This Row],[Time 1]]),"Do not overlap","Overlap")</f>
        <v>Do not overlap</v>
      </c>
      <c r="L11" s="2"/>
      <c r="M11" s="2"/>
      <c r="N11" s="2"/>
      <c r="O11" s="2"/>
    </row>
    <row r="12" spans="1:15" x14ac:dyDescent="0.25">
      <c r="A12" s="23"/>
      <c r="B12" s="23"/>
      <c r="E12" s="9">
        <f>Table4710[[#This Row],[Time 2]]-Table4710[[#This Row],[Time 1]]</f>
        <v>0</v>
      </c>
      <c r="G12" s="1">
        <v>148</v>
      </c>
      <c r="H12" s="9">
        <f>Table4710[[#This Row],[Int Time Start]]+27</f>
        <v>175</v>
      </c>
      <c r="I12" t="str">
        <f>IF(OR(Table4710[[#This Row],[Time 2]]&lt;Table4710[[#This Row],[Int Time Start]],Table4710[[#This Row],[Int End]]&lt;Table4710[[#This Row],[Time 1]]),"Do not overlap","Overlap")</f>
        <v>Do not overlap</v>
      </c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24.42578125" bestFit="1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144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J6" t="s">
        <v>157</v>
      </c>
      <c r="L6" s="2"/>
      <c r="M6" s="2"/>
      <c r="N6" s="2"/>
      <c r="O6" s="2"/>
    </row>
    <row r="7" spans="1:15" x14ac:dyDescent="0.25">
      <c r="A7" t="s">
        <v>148</v>
      </c>
      <c r="B7" t="s">
        <v>97</v>
      </c>
      <c r="C7">
        <v>0</v>
      </c>
      <c r="D7">
        <v>54</v>
      </c>
      <c r="E7">
        <f>Table4711[[#This Row],[Time 2]]-Table4711[[#This Row],[Time 1]]</f>
        <v>54</v>
      </c>
      <c r="G7">
        <f>'Key Times'!C5</f>
        <v>96</v>
      </c>
      <c r="H7">
        <v>123</v>
      </c>
      <c r="I7" t="str">
        <f>IF(Table4711[[#This Row],[Time 2]]&lt;Table4711[[#This Row],[Int Time Start]],"No Overlap (PRE)",IF(Table4711[[#This Row],[Time 1]]&gt;Table4711[[#This Row],[Int End]],"No overlap (POST)",IF((AND(Table4711[[#This Row],[Time 2]]&gt;Table4711[[#This Row],[Int End]],Table4711[[#This Row],[Time 1]]&lt;Table4711[[#This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t="s">
        <v>75</v>
      </c>
      <c r="B8" t="s">
        <v>74</v>
      </c>
      <c r="C8">
        <v>123</v>
      </c>
      <c r="D8">
        <v>137</v>
      </c>
      <c r="E8">
        <f>Table4711[[#This Row],[Time 2]]-Table4711[[#This Row],[Time 1]]</f>
        <v>14</v>
      </c>
      <c r="G8">
        <v>96</v>
      </c>
      <c r="H8">
        <v>123</v>
      </c>
      <c r="I8" t="str">
        <f>IF(Table4711[[#This Row],[Time 2]]&lt;Table4711[[#This Row],[Int Time Start]],"No Overlap (PRE)",IF(Table4711[[#This Row],[Time 1]]&gt;Table4711[[#This Row],[Int End]],"No overlap (POST)",IF((AND(Table4711[[#This Row],[Time 2]]&gt;Table4711[[#This Row],[Int End]],Table4711[[#This Row],[Time 1]]&lt;Table4711[[#This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t="s">
        <v>85</v>
      </c>
      <c r="B9" t="s">
        <v>149</v>
      </c>
      <c r="C9">
        <v>137</v>
      </c>
      <c r="D9">
        <f>240+16</f>
        <v>256</v>
      </c>
      <c r="E9">
        <f>Table4711[[#This Row],[Time 2]]-Table4711[[#This Row],[Time 1]]</f>
        <v>119</v>
      </c>
      <c r="G9">
        <v>96</v>
      </c>
      <c r="H9">
        <v>123</v>
      </c>
      <c r="I9" t="str">
        <f>IF(Table4711[[#This Row],[Time 2]]&lt;Table4711[[#This Row],[Int Time Start]],"No Overlap (PRE)",IF(Table4711[[#This Row],[Time 1]]&gt;Table4711[[#This Row],[Int End]],"No overlap (POST)",IF((AND(Table4711[[#This Row],[Time 2]]&gt;Table4711[[#This Row],[Int End]],Table4711[[#This Row],[Time 1]]&lt;Table4711[[#This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t="s">
        <v>87</v>
      </c>
      <c r="B10" t="s">
        <v>84</v>
      </c>
      <c r="C10">
        <v>85</v>
      </c>
      <c r="D10">
        <v>260</v>
      </c>
      <c r="E10">
        <f>Table4711[[#This Row],[Time 2]]-Table4711[[#This Row],[Time 1]]</f>
        <v>175</v>
      </c>
      <c r="G10">
        <v>96</v>
      </c>
      <c r="H10">
        <v>123</v>
      </c>
      <c r="I10" t="str">
        <f>IF(Table4711[[#This Row],[Time 2]]&lt;Table4711[[#This Row],[Int Time Start]],"No Overlap (PRE)",IF(Table4711[[#This Row],[Time 1]]&gt;Table4711[[#This Row],[Int End]],"No overlap (POST)",IF((AND(Table4711[[#This Row],[Time 2]]&gt;Table4711[[#This Row],[Int End]],Table4711[[#This Row],[Time 1]]&lt;Table4711[[#This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24.42578125" bestFit="1" customWidth="1"/>
    <col min="10" max="10" width="20.85546875" bestFit="1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150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J6" t="s">
        <v>157</v>
      </c>
      <c r="L6" s="2"/>
      <c r="M6" s="2"/>
      <c r="N6" s="2"/>
      <c r="O6" s="2"/>
    </row>
    <row r="7" spans="1:15" x14ac:dyDescent="0.25">
      <c r="A7" s="23" t="s">
        <v>11</v>
      </c>
      <c r="B7" s="23" t="s">
        <v>16</v>
      </c>
      <c r="C7" s="7">
        <v>0</v>
      </c>
      <c r="D7" s="8">
        <v>72</v>
      </c>
      <c r="E7" s="9">
        <f>Table4712[[#This Row],[Time 2]]-Table4712[[#This Row],[Time 1]]</f>
        <v>72</v>
      </c>
      <c r="G7">
        <v>123</v>
      </c>
      <c r="H7" s="9">
        <v>150</v>
      </c>
      <c r="I7" t="str">
        <f>IF(Table4712[[#This Row],[Time 2]]&lt;Table4712[[#This Row],[Int Time Start]],"No Overlap (PRE)",IF(Table4712[[#This Row],[Time 1]]&gt;Table4712[[#This Row],[Int End]],"No overlap (POST)",IF((AND(Table4712[[#This Row],[Time 2]]&gt;Table4712[[#This Row],[Int End]],Table4712[[#This Row],[Time 1]]&lt;Table4712[[#This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74</v>
      </c>
      <c r="B8" s="3" t="s">
        <v>75</v>
      </c>
      <c r="C8">
        <v>150</v>
      </c>
      <c r="D8" s="7">
        <v>170</v>
      </c>
      <c r="E8" s="9">
        <f>Table4712[[#This Row],[Time 2]]-Table4712[[#This Row],[Time 1]]</f>
        <v>20</v>
      </c>
      <c r="F8" s="10"/>
      <c r="G8">
        <v>123</v>
      </c>
      <c r="H8" s="9">
        <v>150</v>
      </c>
      <c r="I8" t="str">
        <f>IF(Table4712[[#This Row],[Time 2]]&lt;Table4712[[#This Row],[Int Time Start]],"No Overlap (PRE)",IF(Table4712[[#This Row],[Time 1]]&gt;Table4712[[#This Row],[Int End]],"No overlap (POST)",IF((AND(Table4712[[#This Row],[Time 2]]&gt;Table4712[[#This Row],[Int End]],Table4712[[#This Row],[Time 1]]&lt;Table4712[[#This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23" t="s">
        <v>40</v>
      </c>
      <c r="B9" s="23" t="s">
        <v>151</v>
      </c>
      <c r="C9">
        <v>100</v>
      </c>
      <c r="D9">
        <v>208</v>
      </c>
      <c r="E9" s="9">
        <f>Table4712[[#This Row],[Time 2]]-Table4712[[#This Row],[Time 1]]</f>
        <v>108</v>
      </c>
      <c r="G9">
        <v>123</v>
      </c>
      <c r="H9" s="9">
        <v>150</v>
      </c>
      <c r="I9" t="str">
        <f>IF(Table4712[[#This Row],[Time 2]]&lt;Table4712[[#This Row],[Int Time Start]],"No Overlap (PRE)",IF(Table4712[[#This Row],[Time 1]]&gt;Table4712[[#This Row],[Int End]],"No overlap (POST)",IF((AND(Table4712[[#This Row],[Time 2]]&gt;Table4712[[#This Row],[Int End]],Table4712[[#This Row],[Time 1]]&lt;Table4712[[#This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t="s">
        <v>61</v>
      </c>
      <c r="B10" t="s">
        <v>46</v>
      </c>
      <c r="C10">
        <v>180</v>
      </c>
      <c r="D10">
        <f>240+34</f>
        <v>274</v>
      </c>
      <c r="E10">
        <f>Table4712[[#This Row],[Time 2]]-Table4712[[#This Row],[Time 1]]</f>
        <v>94</v>
      </c>
      <c r="G10">
        <v>123</v>
      </c>
      <c r="H10" s="9">
        <v>150</v>
      </c>
      <c r="I10" t="str">
        <f>IF(Table4712[[#This Row],[Time 2]]&lt;Table4712[[#This Row],[Int Time Start]],"No Overlap (PRE)",IF(Table4712[[#This Row],[Time 1]]&gt;Table4712[[#This Row],[Int End]],"No overlap (POST)",IF((AND(Table4712[[#This Row],[Time 2]]&gt;Table4712[[#This Row],[Int End]],Table4712[[#This Row],[Time 1]]&lt;Table4712[[#This Row],[Int End]])),"OVERLAP CONFLICT AFTER","SERIOUS PROBLEM")))</f>
        <v>No overlap (POST)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24.42578125" bestFit="1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152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23" t="s">
        <v>153</v>
      </c>
      <c r="B7" s="23" t="s">
        <v>149</v>
      </c>
      <c r="C7" s="7">
        <v>0</v>
      </c>
      <c r="D7" s="8">
        <v>72</v>
      </c>
      <c r="E7" s="9">
        <f>Table4713[[#This Row],[Time 2]]-Table4713[[#This Row],[Time 1]]</f>
        <v>72</v>
      </c>
      <c r="G7">
        <v>91</v>
      </c>
      <c r="H7" s="9">
        <v>118</v>
      </c>
      <c r="I7" t="str">
        <f>IF(Table4713[[#This Row],[Time 2]]&lt;Table4713[[#This Row],[Int Time Start]],"No Overlap (PRE)",IF(Table4713[[#This Row],[Time 1]]&gt;Table4713[[#This Row],[Int End]],"No overlap (POST)",IF((AND(Table4713[[#This Row],[Time 2]]&gt;Table4713[[#This Row],[Int End]],Table4713[[#This Row],[Time 1]]&lt;Table4713[[#This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75</v>
      </c>
      <c r="B8" s="3" t="s">
        <v>74</v>
      </c>
      <c r="C8">
        <v>118</v>
      </c>
      <c r="D8" s="7">
        <v>139</v>
      </c>
      <c r="E8" s="9">
        <f>Table4713[[#This Row],[Time 2]]-Table4713[[#This Row],[Time 1]]</f>
        <v>21</v>
      </c>
      <c r="F8" s="10"/>
      <c r="G8">
        <v>91</v>
      </c>
      <c r="H8" s="9">
        <v>118</v>
      </c>
      <c r="I8" t="str">
        <f>IF(Table4713[[#This Row],[Time 2]]&lt;Table4713[[#This Row],[Int Time Start]],"No Overlap (PRE)",IF(Table4713[[#This Row],[Time 1]]&gt;Table4713[[#This Row],[Int End]],"No overlap (POST)",IF((AND(Table4713[[#This Row],[Time 2]]&gt;Table4713[[#This Row],[Int End]],Table4713[[#This Row],[Time 1]]&lt;Table4713[[#This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23" t="s">
        <v>104</v>
      </c>
      <c r="B9" s="23" t="s">
        <v>10</v>
      </c>
      <c r="C9">
        <v>140</v>
      </c>
      <c r="D9">
        <f>180+33</f>
        <v>213</v>
      </c>
      <c r="E9" s="9">
        <f>Table4713[[#This Row],[Time 2]]-Table4713[[#This Row],[Time 1]]</f>
        <v>73</v>
      </c>
      <c r="G9">
        <v>91</v>
      </c>
      <c r="H9" s="9">
        <v>118</v>
      </c>
      <c r="I9" t="str">
        <f>IF(Table4713[[#This Row],[Time 2]]&lt;Table4713[[#This Row],[Int Time Start]],"No Overlap (PRE)",IF(Table4713[[#This Row],[Time 1]]&gt;Table4713[[#This Row],[Int End]],"No overlap (POST)",IF((AND(Table4713[[#This Row],[Time 2]]&gt;Table4713[[#This Row],[Int End]],Table4713[[#This Row],[Time 1]]&lt;Table4713[[#This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s="23" t="s">
        <v>154</v>
      </c>
      <c r="B10" s="23" t="s">
        <v>155</v>
      </c>
      <c r="C10">
        <v>25</v>
      </c>
      <c r="D10">
        <f>180+43</f>
        <v>223</v>
      </c>
      <c r="E10" s="9">
        <f>Table4713[[#This Row],[Time 2]]-Table4713[[#This Row],[Time 1]]</f>
        <v>198</v>
      </c>
      <c r="G10">
        <v>91</v>
      </c>
      <c r="H10" s="9">
        <v>118</v>
      </c>
      <c r="I10" t="str">
        <f>IF(Table4713[[#This Row],[Time 2]]&lt;Table4713[[#This Row],[Int Time Start]],"No Overlap (PRE)",IF(Table4713[[#This Row],[Time 1]]&gt;Table4713[[#This Row],[Int End]],"No overlap (POST)",IF((AND(Table4713[[#This Row],[Time 2]]&gt;Table4713[[#This Row],[Int End]],Table4713[[#This Row],[Time 1]]&lt;Table4713[[#This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2:O35"/>
  <sheetViews>
    <sheetView workbookViewId="0">
      <selection activeCell="I8" sqref="I8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156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45" t="s">
        <v>89</v>
      </c>
      <c r="B7" s="45" t="s">
        <v>12</v>
      </c>
      <c r="C7" s="46">
        <v>0</v>
      </c>
      <c r="D7" s="47">
        <v>88</v>
      </c>
      <c r="E7" s="48">
        <f>Table4714[[#This Row],[Time 2]]-Table4714[[#This Row],[Time 1]]</f>
        <v>88</v>
      </c>
      <c r="F7" s="45"/>
      <c r="G7" s="45">
        <v>133</v>
      </c>
      <c r="H7" s="48">
        <v>160</v>
      </c>
      <c r="I7" s="45" t="str">
        <f>IF(Table4714[[#This Row],[Time 2]]&lt;Table4714[[#This Row],[Int Time Start]],"No Overlap (PRE)",IF(Table4714[[#This Row],[Time 1]]&gt;Table4714[[#This Row],[Int End]],"No overlap (POST)",IF((AND(Table4714[[#This Row],[Time 2]]&gt;Table4714[[#This Row],[Int End]],Table4714[[#This Row],[Time 1]]&lt;Table4714[[#This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10" t="s">
        <v>86</v>
      </c>
      <c r="B8" s="10" t="s">
        <v>101</v>
      </c>
      <c r="C8" s="45">
        <v>160</v>
      </c>
      <c r="D8" s="46">
        <v>176</v>
      </c>
      <c r="E8" s="48">
        <f>Table4714[[#This Row],[Time 2]]-Table4714[[#This Row],[Time 1]]</f>
        <v>16</v>
      </c>
      <c r="F8" s="10"/>
      <c r="G8" s="45">
        <v>133</v>
      </c>
      <c r="H8" s="48">
        <v>160</v>
      </c>
      <c r="I8" s="45" t="str">
        <f>IF(Table4714[[#This Row],[Time 2]]&lt;Table4714[[#This Row],[Int Time Start]],"No Overlap (PRE)",IF(Table4714[[#This Row],[Time 1]]&gt;Table4714[[#This Row],[Int End]],"No overlap (POST)",IF((AND(Table4714[[#This Row],[Time 2]]&gt;Table4714[[#This Row],[Int End]],Table4714[[#This Row],[Time 1]]&lt;Table4714[[#This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45" t="s">
        <v>40</v>
      </c>
      <c r="B9" s="45" t="s">
        <v>39</v>
      </c>
      <c r="C9" s="45">
        <v>180</v>
      </c>
      <c r="D9" s="45">
        <v>255</v>
      </c>
      <c r="E9" s="48">
        <f>Table4714[[#This Row],[Time 2]]-Table4714[[#This Row],[Time 1]]</f>
        <v>75</v>
      </c>
      <c r="F9" s="45"/>
      <c r="G9" s="45">
        <v>133</v>
      </c>
      <c r="H9" s="48">
        <v>160</v>
      </c>
      <c r="I9" s="45" t="str">
        <f>IF(Table4714[[#This Row],[Time 2]]&lt;Table4714[[#This Row],[Int Time Start]],"No Overlap (PRE)",IF(Table4714[[#This Row],[Time 1]]&gt;Table4714[[#This Row],[Int End]],"No overlap (POST)",IF((AND(Table4714[[#This Row],[Time 2]]&gt;Table4714[[#This Row],[Int End]],Table4714[[#This Row],[Time 1]]&lt;Table4714[[#This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s="45" t="s">
        <v>67</v>
      </c>
      <c r="B10" s="45" t="s">
        <v>85</v>
      </c>
      <c r="C10" s="45">
        <v>90</v>
      </c>
      <c r="D10" s="45">
        <v>288</v>
      </c>
      <c r="E10" s="48">
        <f>Table4714[[#This Row],[Time 2]]-Table4714[[#This Row],[Time 1]]</f>
        <v>198</v>
      </c>
      <c r="F10" s="45"/>
      <c r="G10" s="45">
        <v>133</v>
      </c>
      <c r="H10" s="48">
        <v>160</v>
      </c>
      <c r="I10" s="45" t="str">
        <f>IF(Table4714[[#This Row],[Time 2]]&lt;Table4714[[#This Row],[Int Time Start]],"No Overlap (PRE)",IF(Table4714[[#This Row],[Time 1]]&gt;Table4714[[#This Row],[Int End]],"No overlap (POST)",IF((AND(Table4714[[#This Row],[Time 2]]&gt;Table4714[[#This Row],[Int End]],Table4714[[#This Row],[Time 1]]&lt;Table4714[[#This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45"/>
      <c r="B11" s="45"/>
      <c r="C11" s="45"/>
      <c r="D11" s="45"/>
      <c r="E11" s="48"/>
      <c r="F11" s="45"/>
      <c r="G11" s="45"/>
      <c r="H11" s="48"/>
      <c r="I11" s="45"/>
      <c r="L11" s="2"/>
      <c r="M11" s="2"/>
      <c r="N11" s="2"/>
      <c r="O11" s="2"/>
    </row>
    <row r="12" spans="1:15" x14ac:dyDescent="0.25">
      <c r="A12" s="45"/>
      <c r="B12" s="45"/>
      <c r="C12" s="45"/>
      <c r="D12" s="45"/>
      <c r="E12" s="48"/>
      <c r="F12" s="45"/>
      <c r="G12" s="45"/>
      <c r="H12" s="48"/>
      <c r="I12" s="45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2:O35"/>
  <sheetViews>
    <sheetView workbookViewId="0">
      <selection activeCell="I7" sqref="I7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21.14062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158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J6" t="s">
        <v>157</v>
      </c>
      <c r="L6" s="2"/>
      <c r="M6" s="2"/>
      <c r="N6" s="2"/>
      <c r="O6" s="2"/>
    </row>
    <row r="7" spans="1:15" x14ac:dyDescent="0.25">
      <c r="A7" s="23" t="s">
        <v>159</v>
      </c>
      <c r="B7" s="23" t="s">
        <v>160</v>
      </c>
      <c r="C7" s="7">
        <v>0</v>
      </c>
      <c r="D7" s="8">
        <v>81</v>
      </c>
      <c r="E7" s="9">
        <f>Table4715[[#This Row],[Time 2]]-Table4715[[#This Row],[Time 1]]</f>
        <v>81</v>
      </c>
      <c r="G7">
        <v>123</v>
      </c>
      <c r="H7" s="9">
        <v>150</v>
      </c>
      <c r="I7" t="str">
        <f>IF(Table4715[[#This Row],[Time 2]]&lt;Table4715[[#This Row],[Int Time Start]],"No Overlap (PRE)",IF(Table4715[[#This Row],[Time 1]]&gt;Table4715[[#This Row],[Int End]],"No overlap (POST)",IF((AND(Table4715[[#This Row],[Time 2]]&gt;Table4715[[#This Row],[Int End]],Table4715[[#This Row],[Time 1]]&lt;Table4715[[#This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75</v>
      </c>
      <c r="B8" s="3" t="s">
        <v>74</v>
      </c>
      <c r="C8">
        <v>150</v>
      </c>
      <c r="D8" s="7">
        <v>162</v>
      </c>
      <c r="E8" s="9">
        <f>Table4715[[#This Row],[Time 2]]-Table4715[[#This Row],[Time 1]]</f>
        <v>12</v>
      </c>
      <c r="F8" s="10"/>
      <c r="G8">
        <v>123</v>
      </c>
      <c r="H8" s="9">
        <v>150</v>
      </c>
      <c r="I8" t="str">
        <f>IF(Table4715[[#This Row],[Time 2]]&lt;Table4715[[#This Row],[Int Time Start]],"No Overlap (PRE)",IF(Table4715[[#This Row],[Time 1]]&gt;Table4715[[#This Row],[Int End]],"No overlap (POST)",IF((AND(Table4715[[#This Row],[Time 2]]&gt;Table4715[[#This Row],[Int End]],Table4715[[#This Row],[Time 1]]&lt;Table4715[[#This Row],[Int End]])),"OVERLAP CONFLICT AFTER","RT OR SERIOUS PROBLEM")))</f>
        <v>RT OR SERIOUS PROBLEM</v>
      </c>
      <c r="L8" s="2"/>
      <c r="M8" s="2"/>
      <c r="N8" s="2"/>
      <c r="O8" s="2"/>
    </row>
    <row r="9" spans="1:15" x14ac:dyDescent="0.25">
      <c r="A9" s="23" t="s">
        <v>161</v>
      </c>
      <c r="B9" s="23" t="s">
        <v>162</v>
      </c>
      <c r="C9">
        <v>83</v>
      </c>
      <c r="D9">
        <v>183</v>
      </c>
      <c r="E9" s="9">
        <f>Table4715[[#This Row],[Time 2]]-Table4715[[#This Row],[Time 1]]</f>
        <v>100</v>
      </c>
      <c r="G9">
        <v>123</v>
      </c>
      <c r="H9" s="9">
        <v>150</v>
      </c>
      <c r="I9" t="str">
        <f>IF(Table4715[[#This Row],[Time 2]]&lt;Table4715[[#This Row],[Int Time Start]],"No Overlap (PRE)",IF(Table4715[[#This Row],[Time 1]]&gt;Table4715[[#This Row],[Int End]],"No overlap (POST)",IF((AND(Table4715[[#This Row],[Time 2]]&gt;Table4715[[#This Row],[Int End]],Table4715[[#This Row],[Time 1]]&lt;Table4715[[#This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s="56" t="s">
        <v>163</v>
      </c>
      <c r="B10" s="56" t="s">
        <v>164</v>
      </c>
      <c r="C10" s="7">
        <v>151</v>
      </c>
      <c r="D10" s="7">
        <f>240+16</f>
        <v>256</v>
      </c>
      <c r="E10" s="57">
        <f>Table4715[[#This Row],[Time 2]]-Table4715[[#This Row],[Time 1]]</f>
        <v>105</v>
      </c>
      <c r="F10" s="7"/>
      <c r="G10" s="7">
        <v>123</v>
      </c>
      <c r="H10" s="57">
        <v>150</v>
      </c>
      <c r="I10" s="7" t="str">
        <f>IF(Table4715[[#This Row],[Time 2]]&lt;Table4715[[#This Row],[Int Time Start]],"No Overlap (PRE)",IF(Table4715[[#This Row],[Time 1]]&gt;Table4715[[#This Row],[Int End]],"No overlap (POST)",IF((AND(Table4715[[#This Row],[Time 2]]&gt;Table4715[[#This Row],[Int End]],Table4715[[#This Row],[Time 1]]&lt;Table4715[[#This Row],[Int End]])),"OVERLAP CONFLICT AFTER","SERIOUS PROBLEM")))</f>
        <v>No overlap (POST)</v>
      </c>
      <c r="J10" s="7" t="s">
        <v>171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B17" t="s">
        <v>165</v>
      </c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 t="str">
        <f>IF(D7&lt;G7,"No Overlap (PRE)",IF(C7&gt;H7,"No overlap (POST)",IF((D7&gt;H7),"OVERLAP CONFLICT AFTER","SERIOUS PROBLEM")))</f>
        <v>No Overlap (PRE)</v>
      </c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166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45" t="s">
        <v>149</v>
      </c>
      <c r="B7" s="45" t="s">
        <v>153</v>
      </c>
      <c r="C7" s="46">
        <v>0</v>
      </c>
      <c r="D7" s="47">
        <v>97</v>
      </c>
      <c r="E7" s="48">
        <f>Table47158[[#This Row],[Time 2]]-Table47158[[#This Row],[Time 1]]</f>
        <v>97</v>
      </c>
      <c r="F7" s="45"/>
      <c r="G7" s="45">
        <v>144</v>
      </c>
      <c r="H7" s="9">
        <v>171</v>
      </c>
      <c r="I7" t="str">
        <f>IF(Table47158[[#This Row],[Time 2]]&lt;Table47158[[#This Row],[Int Time Start]],"No Overlap (PRE)",IF(Table47158[[#This Row],[Time 1]]&gt;Table47158[[#This Row],[Int End]],"No overlap (POST)",IF((AND(Table47158[[#This Row],[Time 2]]&gt;Table47158[[#This Row],[Int End]],Table47158[[#This Row],[Time 1]]&lt;Table47158[[#This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10" t="s">
        <v>75</v>
      </c>
      <c r="B8" s="10" t="s">
        <v>74</v>
      </c>
      <c r="C8" s="45">
        <v>171</v>
      </c>
      <c r="D8" s="46">
        <v>190</v>
      </c>
      <c r="E8" s="48">
        <f>Table47158[[#This Row],[Time 2]]-Table47158[[#This Row],[Time 1]]</f>
        <v>19</v>
      </c>
      <c r="F8" s="10"/>
      <c r="G8" s="45">
        <v>144</v>
      </c>
      <c r="H8" s="9">
        <v>171</v>
      </c>
      <c r="I8" t="str">
        <f>IF(Table47158[[#This Row],[Time 2]]&lt;Table47158[[#This Row],[Int Time Start]],"No Overlap (PRE)",IF(Table47158[[#This Row],[Time 1]]&gt;Table47158[[#This Row],[Int End]],"No overlap (POST)",IF((AND(Table47158[[#This Row],[Time 2]]&gt;Table47158[[#This Row],[Int End]],Table47158[[#This Row],[Time 1]]&lt;Table47158[[#This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45" t="s">
        <v>10</v>
      </c>
      <c r="B9" s="45" t="s">
        <v>104</v>
      </c>
      <c r="C9" s="45">
        <v>140</v>
      </c>
      <c r="D9" s="45">
        <v>213</v>
      </c>
      <c r="E9" s="48">
        <f>Table47158[[#This Row],[Time 2]]-Table47158[[#This Row],[Time 1]]</f>
        <v>73</v>
      </c>
      <c r="F9" s="45"/>
      <c r="G9" s="45">
        <v>144</v>
      </c>
      <c r="H9" s="9">
        <v>171</v>
      </c>
      <c r="I9" t="str">
        <f>IF(Table47158[[#This Row],[Time 2]]&lt;Table47158[[#This Row],[Int Time Start]],"No Overlap (PRE)",IF(Table47158[[#This Row],[Time 1]]&gt;Table47158[[#This Row],[Int End]],"No overlap (POST)",IF((AND(Table47158[[#This Row],[Time 2]]&gt;Table47158[[#This Row],[Int End]],Table47158[[#This Row],[Time 1]]&lt;Table47158[[#This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s="45" t="s">
        <v>40</v>
      </c>
      <c r="B10" s="45" t="s">
        <v>11</v>
      </c>
      <c r="C10" s="45">
        <v>180</v>
      </c>
      <c r="D10" s="45">
        <f>240+46</f>
        <v>286</v>
      </c>
      <c r="E10" s="48">
        <f>Table47158[[#This Row],[Time 2]]-Table47158[[#This Row],[Time 1]]</f>
        <v>106</v>
      </c>
      <c r="F10" s="45"/>
      <c r="G10" s="45">
        <v>144</v>
      </c>
      <c r="H10" s="9">
        <v>171</v>
      </c>
      <c r="I10" t="str">
        <f>IF(Table47158[[#This Row],[Time 2]]&lt;Table47158[[#This Row],[Int Time Start]],"No Overlap (PRE)",IF(Table47158[[#This Row],[Time 1]]&gt;Table47158[[#This Row],[Int End]],"No overlap (POST)",IF((AND(Table47158[[#This Row],[Time 2]]&gt;Table47158[[#This Row],[Int End]],Table47158[[#This Row],[Time 1]]&lt;Table47158[[#This Row],[Int End]])),"OVERLAP CONFLICT AFTER","SERIOUS PROBLEM")))</f>
        <v>No overlap (POST)</v>
      </c>
      <c r="L10" s="2"/>
      <c r="M10" s="2"/>
      <c r="N10" s="2"/>
      <c r="O10" s="2"/>
    </row>
    <row r="11" spans="1:15" x14ac:dyDescent="0.25">
      <c r="A11" s="45"/>
      <c r="B11" s="45"/>
      <c r="C11" s="45"/>
      <c r="D11" s="45"/>
      <c r="E11" s="48"/>
      <c r="F11" s="45"/>
      <c r="G11" s="45"/>
      <c r="H11" s="9"/>
      <c r="L11" s="2"/>
      <c r="M11" s="2"/>
      <c r="N11" s="2"/>
      <c r="O11" s="2"/>
    </row>
    <row r="12" spans="1:15" x14ac:dyDescent="0.25">
      <c r="A12" s="45"/>
      <c r="B12" s="45"/>
      <c r="C12" s="45"/>
      <c r="D12" s="45"/>
      <c r="E12" s="48"/>
      <c r="F12" s="45"/>
      <c r="G12" s="45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167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t="s">
        <v>168</v>
      </c>
      <c r="B7" t="s">
        <v>58</v>
      </c>
      <c r="C7">
        <v>0</v>
      </c>
      <c r="D7">
        <v>54</v>
      </c>
      <c r="E7">
        <f>Table471516[[#This Row],[Time 2]]-Table471516[[#This Row],[Time 1]]</f>
        <v>54</v>
      </c>
      <c r="G7">
        <f>'Key Times'!C13</f>
        <v>120</v>
      </c>
      <c r="H7">
        <f>'Key Times'!E2</f>
        <v>147</v>
      </c>
      <c r="I7" t="str">
        <f>IF(Table471516[[#This Row],[Time 2]]&lt;Table471516[[#This Row],[Int Time Start]],"No Overlap (PRE)",IF(Table471516[[#This Row],[Time 1]]&gt;Table471516[[#This Row],[Int End]],"No overlap (POST)",IF((AND(Table471516[[#This Row],[Time 2]]&gt;Table471516[[#This Row],[Int End]],Table471516[[#This Row],[Time 1]]&lt;Table471516[[#This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t="s">
        <v>75</v>
      </c>
      <c r="B8" t="s">
        <v>74</v>
      </c>
      <c r="C8">
        <v>147</v>
      </c>
      <c r="D8">
        <v>170</v>
      </c>
      <c r="E8">
        <f>Table471516[[#This Row],[Time 2]]-Table471516[[#This Row],[Time 1]]</f>
        <v>23</v>
      </c>
      <c r="G8">
        <v>120</v>
      </c>
      <c r="H8">
        <v>147</v>
      </c>
      <c r="I8" t="str">
        <f>IF(Table471516[[#This Row],[Time 2]]&lt;Table471516[[#This Row],[Int Time Start]],"No Overlap (PRE)",IF(Table471516[[#This Row],[Time 1]]&gt;Table471516[[#This Row],[Int End]],"No overlap (POST)",IF((AND(Table471516[[#This Row],[Time 2]]&gt;Table471516[[#This Row],[Int End]],Table471516[[#This Row],[Time 1]]&lt;Table471516[[#This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t="s">
        <v>83</v>
      </c>
      <c r="B9" t="s">
        <v>170</v>
      </c>
      <c r="C9">
        <v>148</v>
      </c>
      <c r="D9">
        <v>246</v>
      </c>
      <c r="E9">
        <f>Table471516[[#This Row],[Time 2]]-Table471516[[#This Row],[Time 1]]</f>
        <v>98</v>
      </c>
      <c r="G9">
        <v>120</v>
      </c>
      <c r="H9">
        <v>147</v>
      </c>
      <c r="I9" t="str">
        <f>IF(Table471516[[#This Row],[Time 2]]&lt;Table471516[[#This Row],[Int Time Start]],"No Overlap (PRE)",IF(Table471516[[#This Row],[Time 1]]&gt;Table471516[[#This Row],[Int End]],"No overlap (POST)",IF((AND(Table471516[[#This Row],[Time 2]]&gt;Table471516[[#This Row],[Int End]],Table471516[[#This Row],[Time 1]]&lt;Table471516[[#This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t="s">
        <v>15</v>
      </c>
      <c r="B10" t="s">
        <v>88</v>
      </c>
      <c r="C10">
        <f>120+55</f>
        <v>175</v>
      </c>
      <c r="D10">
        <v>287</v>
      </c>
      <c r="E10">
        <f>Table471516[[#This Row],[Time 2]]-Table471516[[#This Row],[Time 1]]</f>
        <v>112</v>
      </c>
      <c r="G10">
        <v>120</v>
      </c>
      <c r="H10">
        <v>147</v>
      </c>
      <c r="I10" t="str">
        <f>IF(Table471516[[#This Row],[Time 2]]&lt;Table471516[[#This Row],[Int Time Start]],"No Overlap (PRE)",IF(Table471516[[#This Row],[Time 1]]&gt;Table471516[[#This Row],[Int End]],"No overlap (POST)",IF((AND(Table471516[[#This Row],[Time 2]]&gt;Table471516[[#This Row],[Int End]],Table471516[[#This Row],[Time 1]]&lt;Table471516[[#This Row],[Int End]])),"OVERLAP CONFLICT AFTER","SERIOUS PROBLEM")))</f>
        <v>No overlap (POST)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2:O35"/>
  <sheetViews>
    <sheetView workbookViewId="0">
      <selection activeCell="I14" sqref="I14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172</v>
      </c>
      <c r="B2" t="s">
        <v>174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45" t="s">
        <v>89</v>
      </c>
      <c r="B7" s="45" t="s">
        <v>12</v>
      </c>
      <c r="C7" s="46">
        <v>0</v>
      </c>
      <c r="D7" s="47">
        <v>75</v>
      </c>
      <c r="E7" s="9">
        <f>Table471517[[#This Row],[Time 2]]-Table471517[[#This Row],[Time 1]]</f>
        <v>75</v>
      </c>
      <c r="G7">
        <f>'Key Times'!C14</f>
        <v>106</v>
      </c>
      <c r="H7" s="9">
        <f>Table471517[[#This Row],[Int Time Start]]+27</f>
        <v>133</v>
      </c>
      <c r="I7" t="str">
        <f>IF(Table471517[[#This Row],[Time 2]]&lt;Table471517[[#This Row],[Int Time Start]],"No Overlap (PRE)",IF(Table471517[[#This Row],[Time 1]]&gt;Table471517[[#This Row],[Int End]],"No overlap (POST)",IF((AND(Table471517[[#This Row],[Time 2]]&gt;Table471517[[#This Row],[Int End]],Table471517[[#This Row],[Time 1]]&lt;Table471517[[#This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173</v>
      </c>
      <c r="B8" s="3" t="s">
        <v>86</v>
      </c>
      <c r="C8" s="45">
        <v>133</v>
      </c>
      <c r="D8" s="46">
        <v>148</v>
      </c>
      <c r="E8" s="9">
        <f>Table471517[[#This Row],[Time 2]]-Table471517[[#This Row],[Time 1]]</f>
        <v>15</v>
      </c>
      <c r="F8" s="10"/>
      <c r="G8">
        <v>106</v>
      </c>
      <c r="H8" s="9">
        <f>Table471517[[#This Row],[Int Time Start]]+27</f>
        <v>133</v>
      </c>
      <c r="I8" t="str">
        <f>IF(Table471517[[#This Row],[Time 2]]&lt;Table471517[[#This Row],[Int Time Start]],"No Overlap (PRE)",IF(Table471517[[#This Row],[Time 1]]&gt;Table471517[[#This Row],[Int End]],"No overlap (POST)",IF((AND(Table471517[[#This Row],[Time 2]]&gt;Table471517[[#This Row],[Int End]],Table471517[[#This Row],[Time 1]]&lt;Table471517[[#This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45" t="s">
        <v>162</v>
      </c>
      <c r="B9" s="45" t="s">
        <v>40</v>
      </c>
      <c r="C9" s="45">
        <v>180</v>
      </c>
      <c r="D9" s="45">
        <f>(60*4)+40</f>
        <v>280</v>
      </c>
      <c r="E9" s="9">
        <f>Table471517[[#This Row],[Time 2]]-Table471517[[#This Row],[Time 1]]</f>
        <v>100</v>
      </c>
      <c r="G9">
        <v>106</v>
      </c>
      <c r="H9" s="9">
        <v>133</v>
      </c>
      <c r="I9" t="str">
        <f>IF(Table471517[[#This Row],[Time 2]]&lt;Table471517[[#This Row],[Int Time Start]],"No Overlap (PRE)",IF(Table471517[[#This Row],[Time 1]]&gt;Table471517[[#This Row],[Int End]],"No overlap (POST)",IF((AND(Table471517[[#This Row],[Time 2]]&gt;Table471517[[#This Row],[Int End]],Table471517[[#This Row],[Time 1]]&lt;Table471517[[#This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s="45" t="s">
        <v>101</v>
      </c>
      <c r="B10" s="45" t="s">
        <v>46</v>
      </c>
      <c r="C10" s="45">
        <v>35</v>
      </c>
      <c r="D10" s="45">
        <f>(60*3)+40</f>
        <v>220</v>
      </c>
      <c r="E10" s="9">
        <f>Table471517[[#This Row],[Time 2]]-Table471517[[#This Row],[Time 1]]</f>
        <v>185</v>
      </c>
      <c r="G10">
        <v>106</v>
      </c>
      <c r="H10" s="9">
        <f>Table471517[[#This Row],[Int Time Start]]+27</f>
        <v>133</v>
      </c>
      <c r="I10" t="str">
        <f>IF(Table471517[[#This Row],[Time 2]]&lt;Table471517[[#This Row],[Int Time Start]],"No Overlap (PRE)",IF(Table471517[[#This Row],[Time 1]]&gt;Table471517[[#This Row],[Int End]],"No overlap (POST)",IF((AND(Table471517[[#This Row],[Time 2]]&gt;Table471517[[#This Row],[Int End]],Table471517[[#This Row],[Time 1]]&lt;Table471517[[#This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2:O35"/>
  <sheetViews>
    <sheetView zoomScale="115" zoomScaleNormal="115" workbookViewId="0">
      <selection activeCell="E25" sqref="E25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175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45" t="s">
        <v>159</v>
      </c>
      <c r="B7" s="45" t="s">
        <v>160</v>
      </c>
      <c r="C7" s="46">
        <v>0</v>
      </c>
      <c r="D7" s="47">
        <v>81</v>
      </c>
      <c r="E7" s="48">
        <f>Table471518[[#This Row],[Time 2]]-Table471518[[#This Row],[Time 1]]</f>
        <v>81</v>
      </c>
      <c r="F7" s="45"/>
      <c r="G7" s="45">
        <f>'Key Times'!C15</f>
        <v>111</v>
      </c>
      <c r="H7" s="48">
        <f>'Key Times'!E15</f>
        <v>138</v>
      </c>
      <c r="I7" s="45" t="str">
        <f>IF(Table471518[[#This Row],[Time 2]]&lt;Table471518[[#This Row],[Int Time Start]],"No Overlap (PRE)",IF(Table471518[[#This Row],[Time 1]]&gt;Table471518[[#This Row],[Int End]],"No overlap (POST)",IF((AND(Table471518[[#This Row],[Time 2]]&gt;Table471518[[#This Row],[Int End]],Table471518[[#This Row],[Time 1]]&lt;Table471518[[#This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10" t="s">
        <v>75</v>
      </c>
      <c r="B8" s="10" t="s">
        <v>74</v>
      </c>
      <c r="C8" s="45">
        <v>138</v>
      </c>
      <c r="D8" s="46">
        <v>156</v>
      </c>
      <c r="E8" s="48">
        <f>Table471518[[#This Row],[Time 2]]-Table471518[[#This Row],[Time 1]]</f>
        <v>18</v>
      </c>
      <c r="F8" s="10"/>
      <c r="G8" s="45">
        <v>111</v>
      </c>
      <c r="H8" s="48">
        <v>138</v>
      </c>
      <c r="I8" s="45" t="str">
        <f>IF(Table471518[[#This Row],[Time 2]]&lt;Table471518[[#This Row],[Int Time Start]],"No Overlap (PRE)",IF(Table471518[[#This Row],[Time 1]]&gt;Table471518[[#This Row],[Int End]],"No overlap (POST)",IF((AND(Table471518[[#This Row],[Time 2]]&gt;Table471518[[#This Row],[Int End]],Table471518[[#This Row],[Time 1]]&lt;Table471518[[#This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45" t="s">
        <v>161</v>
      </c>
      <c r="B9" s="45" t="s">
        <v>162</v>
      </c>
      <c r="C9" s="45">
        <v>93</v>
      </c>
      <c r="D9" s="45">
        <v>191</v>
      </c>
      <c r="E9" s="48">
        <f>Table471518[[#This Row],[Time 2]]-Table471518[[#This Row],[Time 1]]</f>
        <v>98</v>
      </c>
      <c r="F9" s="45"/>
      <c r="G9" s="45">
        <v>111</v>
      </c>
      <c r="H9" s="48">
        <v>138</v>
      </c>
      <c r="I9" s="45" t="str">
        <f>IF(Table471518[[#This Row],[Time 2]]&lt;Table471518[[#This Row],[Int Time Start]],"No Overlap (PRE)",IF(Table471518[[#This Row],[Time 1]]&gt;Table471518[[#This Row],[Int End]],"No overlap (POST)",IF((AND(Table471518[[#This Row],[Time 2]]&gt;Table471518[[#This Row],[Int End]],Table471518[[#This Row],[Time 1]]&lt;Table471518[[#This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s="45" t="s">
        <v>13</v>
      </c>
      <c r="B10" s="45" t="s">
        <v>176</v>
      </c>
      <c r="C10" s="45">
        <v>180</v>
      </c>
      <c r="D10" s="45">
        <f>240+38</f>
        <v>278</v>
      </c>
      <c r="E10" s="48">
        <f>Table471518[[#This Row],[Time 2]]-Table471518[[#This Row],[Time 1]]</f>
        <v>98</v>
      </c>
      <c r="F10" s="45"/>
      <c r="G10" s="45">
        <v>111</v>
      </c>
      <c r="H10" s="48">
        <v>138</v>
      </c>
      <c r="I10" s="45" t="str">
        <f>IF(OR(Table471518[[#This Row],[Time 2]]&lt;Table471518[[#This Row],[Int Time Start]],Table471518[[#This Row],[Int End]]&lt;Table471518[[#This Row],[Time 1]]),"Do not overlap","Overlap")</f>
        <v>Do not overlap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A5" sqref="A5"/>
    </sheetView>
  </sheetViews>
  <sheetFormatPr defaultRowHeight="15" x14ac:dyDescent="0.25"/>
  <cols>
    <col min="1" max="1" width="108.5703125" customWidth="1"/>
  </cols>
  <sheetData>
    <row r="1" spans="1:1" x14ac:dyDescent="0.25">
      <c r="A1" t="s">
        <v>124</v>
      </c>
    </row>
    <row r="2" spans="1:1" ht="45" x14ac:dyDescent="0.25">
      <c r="A2" s="38" t="s">
        <v>125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2:O35"/>
  <sheetViews>
    <sheetView workbookViewId="0">
      <selection activeCell="F18" sqref="F18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49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23" t="s">
        <v>147</v>
      </c>
      <c r="B7" s="23" t="s">
        <v>45</v>
      </c>
      <c r="C7" s="7">
        <v>25</v>
      </c>
      <c r="D7" s="8">
        <v>118</v>
      </c>
      <c r="E7" s="9">
        <f>Table471519[[#This Row],[Time 2]]-Table471519[[#This Row],[Time 1]]</f>
        <v>93</v>
      </c>
      <c r="G7">
        <v>144</v>
      </c>
      <c r="H7" s="9">
        <f>Table471519[[#This Row],[Int Time Start]]+27</f>
        <v>171</v>
      </c>
      <c r="I7" t="str">
        <f>IF(Table471519[[#This Row],[Time 2]]&lt;Table471519[[#This Row],[Int Time Start]],"No Overlap (PRE)",IF(Table471519[[#This Row],[Time 1]]&gt;Table471519[[#This Row],[Int End]],"No overlap (POST)",IF((AND(Table471519[[#This Row],[Time 2]]&gt;Table471519[[#This Row],[Int End]],Table471519[[#This Row],[Time 1]]&lt;Table471519[[#This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145</v>
      </c>
      <c r="B8" s="3" t="s">
        <v>146</v>
      </c>
      <c r="C8">
        <v>171</v>
      </c>
      <c r="D8" s="7">
        <v>187</v>
      </c>
      <c r="E8" s="9">
        <f>Table471519[[#This Row],[Time 2]]-Table471519[[#This Row],[Time 1]]</f>
        <v>16</v>
      </c>
      <c r="F8" s="10"/>
      <c r="G8">
        <v>144</v>
      </c>
      <c r="H8" s="9">
        <f>Table471519[[#This Row],[Int Time Start]]+27</f>
        <v>171</v>
      </c>
      <c r="I8" t="str">
        <f>IF(Table471519[[#This Row],[Time 2]]&lt;Table471519[[#This Row],[Int Time Start]],"No Overlap (PRE)",IF(Table471519[[#This Row],[Time 1]]&gt;Table471519[[#This Row],[Int End]],"No overlap (POST)",IF((AND(Table471519[[#This Row],[Time 2]]&gt;Table471519[[#This Row],[Int End]],Table471519[[#This Row],[Time 1]]&lt;Table471519[[#This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23" t="s">
        <v>71</v>
      </c>
      <c r="B9" s="23" t="s">
        <v>94</v>
      </c>
      <c r="C9">
        <v>190</v>
      </c>
      <c r="D9">
        <f>240+29</f>
        <v>269</v>
      </c>
      <c r="E9" s="9">
        <f>Table471519[[#This Row],[Time 2]]-Table471519[[#This Row],[Time 1]]</f>
        <v>79</v>
      </c>
      <c r="G9">
        <v>144</v>
      </c>
      <c r="H9" s="9">
        <f>Table471519[[#This Row],[Int Time Start]]+27</f>
        <v>171</v>
      </c>
      <c r="I9" t="str">
        <f>IF(Table471519[[#This Row],[Time 2]]&lt;Table471519[[#This Row],[Int Time Start]],"No Overlap (PRE)",IF(Table471519[[#This Row],[Time 1]]&gt;Table471519[[#This Row],[Int End]],"No overlap (POST)",IF((AND(Table471519[[#This Row],[Time 2]]&gt;Table471519[[#This Row],[Int End]],Table471519[[#This Row],[Time 1]]&lt;Table471519[[#This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s="23" t="s">
        <v>162</v>
      </c>
      <c r="B10" s="23" t="s">
        <v>155</v>
      </c>
      <c r="C10">
        <v>165</v>
      </c>
      <c r="D10">
        <v>286</v>
      </c>
      <c r="E10" s="9">
        <f>Table471519[[#This Row],[Time 2]]-Table471519[[#This Row],[Time 1]]</f>
        <v>121</v>
      </c>
      <c r="G10">
        <v>144</v>
      </c>
      <c r="H10" s="9">
        <f>Table471519[[#This Row],[Int Time Start]]+27</f>
        <v>171</v>
      </c>
      <c r="I10" t="str">
        <f>IF(Table471519[[#This Row],[Time 2]]&lt;Table471519[[#This Row],[Int Time Start]],"No Overlap (PRE)",IF(Table471519[[#This Row],[Time 1]]&gt;Table471519[[#This Row],[Int End]],"No overlap (POST)",IF((AND(Table471519[[#This Row],[Time 2]]&gt;Table471519[[#This Row],[Int End]],Table471519[[#This Row],[Time 1]]&lt;Table471519[[#This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M18" sqref="M18"/>
    </sheetView>
  </sheetViews>
  <sheetFormatPr defaultRowHeight="15" x14ac:dyDescent="0.25"/>
  <sheetData/>
  <dataConsolidate function="var">
    <dataRefs count="1">
      <dataRef ref="A7:I10" r:id="rId1"/>
    </dataRefs>
  </dataConsolid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T42"/>
  <sheetViews>
    <sheetView workbookViewId="0">
      <selection activeCell="E13" sqref="E13"/>
    </sheetView>
  </sheetViews>
  <sheetFormatPr defaultRowHeight="15" x14ac:dyDescent="0.25"/>
  <cols>
    <col min="1" max="1" width="6.42578125" customWidth="1"/>
    <col min="2" max="2" width="10.28515625" bestFit="1" customWidth="1"/>
    <col min="3" max="3" width="8.7109375" bestFit="1" customWidth="1"/>
    <col min="4" max="4" width="9.42578125" bestFit="1" customWidth="1"/>
    <col min="5" max="5" width="8.7109375" bestFit="1" customWidth="1"/>
    <col min="6" max="8" width="11.140625" customWidth="1"/>
    <col min="9" max="9" width="14.140625" customWidth="1"/>
    <col min="10" max="10" width="11.85546875" customWidth="1"/>
    <col min="11" max="11" width="3.28515625" customWidth="1"/>
    <col min="12" max="12" width="8.140625" customWidth="1"/>
    <col min="13" max="13" width="8.5703125" customWidth="1"/>
    <col min="14" max="15" width="11" bestFit="1" customWidth="1"/>
    <col min="16" max="16" width="11" customWidth="1"/>
    <col min="17" max="17" width="29.140625" customWidth="1"/>
    <col min="18" max="18" width="15.5703125" bestFit="1" customWidth="1"/>
    <col min="20" max="20" width="36.7109375" customWidth="1"/>
  </cols>
  <sheetData>
    <row r="1" spans="1:20" ht="15.75" thickBot="1" x14ac:dyDescent="0.3">
      <c r="A1" t="s">
        <v>0</v>
      </c>
      <c r="B1" t="s">
        <v>32</v>
      </c>
      <c r="C1" t="s">
        <v>35</v>
      </c>
      <c r="D1" t="s">
        <v>31</v>
      </c>
      <c r="E1" t="s">
        <v>36</v>
      </c>
      <c r="F1" t="s">
        <v>169</v>
      </c>
      <c r="G1" t="s">
        <v>188</v>
      </c>
      <c r="H1" t="s">
        <v>189</v>
      </c>
      <c r="I1" t="s">
        <v>38</v>
      </c>
      <c r="J1" t="s">
        <v>190</v>
      </c>
      <c r="K1" t="s">
        <v>1</v>
      </c>
      <c r="L1" t="s">
        <v>131</v>
      </c>
      <c r="M1" t="s">
        <v>37</v>
      </c>
      <c r="N1" t="s">
        <v>33</v>
      </c>
      <c r="O1" t="s">
        <v>116</v>
      </c>
      <c r="P1" t="s">
        <v>214</v>
      </c>
      <c r="Q1" t="s">
        <v>111</v>
      </c>
      <c r="R1" t="s">
        <v>118</v>
      </c>
    </row>
    <row r="2" spans="1:20" s="49" customFormat="1" x14ac:dyDescent="0.25">
      <c r="A2">
        <v>1</v>
      </c>
      <c r="B2" s="60">
        <f>TIME(,,Table1[[#This Row],[S-secs]])</f>
        <v>1.3888888888888889E-3</v>
      </c>
      <c r="C2">
        <v>120</v>
      </c>
      <c r="D2" s="60">
        <f t="shared" ref="D2:D16" si="0">B2+TIME(0,0,27)</f>
        <v>1.701388888888889E-3</v>
      </c>
      <c r="E2">
        <f>Table1[[#This Row],[S-secs]]+27</f>
        <v>147</v>
      </c>
      <c r="F2">
        <v>56</v>
      </c>
      <c r="G2">
        <v>217</v>
      </c>
      <c r="H2">
        <v>232</v>
      </c>
      <c r="I2">
        <f>Table1[[#This Row],[PM Flash]]-Table1[[#This Row],[PM Encode Approximation]]</f>
        <v>161</v>
      </c>
      <c r="J2" t="s">
        <v>83</v>
      </c>
      <c r="K2">
        <v>3</v>
      </c>
      <c r="L2">
        <f>Table1[[#This Row],[S-secs]]-20</f>
        <v>100</v>
      </c>
      <c r="M2" s="61">
        <v>84</v>
      </c>
      <c r="N2">
        <v>170</v>
      </c>
      <c r="O2">
        <f>Table1[[#This Row],[RT Deadline]]-Table1[[#This Row],[E-secs]]</f>
        <v>23</v>
      </c>
      <c r="P2" s="61" t="s">
        <v>215</v>
      </c>
      <c r="Q2" t="s">
        <v>117</v>
      </c>
      <c r="R2" t="s">
        <v>119</v>
      </c>
      <c r="T2" s="39" t="s">
        <v>121</v>
      </c>
    </row>
    <row r="3" spans="1:20" s="49" customFormat="1" x14ac:dyDescent="0.25">
      <c r="A3">
        <v>2</v>
      </c>
      <c r="B3" s="60">
        <f>TIME(,,Table1[[#This Row],[S-secs]])</f>
        <v>1.6435185185185183E-3</v>
      </c>
      <c r="C3">
        <v>142</v>
      </c>
      <c r="D3" s="60">
        <f t="shared" si="0"/>
        <v>1.9560185185185184E-3</v>
      </c>
      <c r="E3">
        <f>Table1[[#This Row],[S-secs]]+27</f>
        <v>169</v>
      </c>
      <c r="F3">
        <v>89</v>
      </c>
      <c r="G3">
        <v>226</v>
      </c>
      <c r="H3">
        <v>241</v>
      </c>
      <c r="I3">
        <f>Table1[[#This Row],[PM Flash]]-Table1[[#This Row],[PM Encode Approximation]]</f>
        <v>137</v>
      </c>
      <c r="J3" t="s">
        <v>193</v>
      </c>
      <c r="K3">
        <v>3</v>
      </c>
      <c r="L3">
        <f>Table1[[#This Row],[S-secs]]-20</f>
        <v>122</v>
      </c>
      <c r="M3" s="61">
        <v>55</v>
      </c>
      <c r="N3">
        <v>180</v>
      </c>
      <c r="O3">
        <f>Table1[[#This Row],[RT Deadline]]-Table1[[#This Row],[E-secs]]</f>
        <v>11</v>
      </c>
      <c r="P3" s="61" t="s">
        <v>215</v>
      </c>
      <c r="Q3" t="s">
        <v>117</v>
      </c>
      <c r="R3" t="s">
        <v>119</v>
      </c>
      <c r="T3" s="40" t="s">
        <v>122</v>
      </c>
    </row>
    <row r="4" spans="1:20" s="49" customFormat="1" ht="15.75" thickBot="1" x14ac:dyDescent="0.3">
      <c r="A4">
        <v>3</v>
      </c>
      <c r="B4" s="60">
        <f>TIME(,,Table1[[#This Row],[S-secs]])</f>
        <v>1.0995370370370371E-3</v>
      </c>
      <c r="C4">
        <v>95</v>
      </c>
      <c r="D4" s="60">
        <f t="shared" si="0"/>
        <v>1.4120370370370372E-3</v>
      </c>
      <c r="E4">
        <f>Table1[[#This Row],[S-secs]]+27</f>
        <v>122</v>
      </c>
      <c r="F4">
        <v>32</v>
      </c>
      <c r="G4">
        <v>190</v>
      </c>
      <c r="H4">
        <v>205</v>
      </c>
      <c r="I4">
        <f>Table1[[#This Row],[PM Flash]]-Table1[[#This Row],[PM Encode Approximation]]</f>
        <v>158</v>
      </c>
      <c r="J4" t="s">
        <v>73</v>
      </c>
      <c r="K4">
        <v>3</v>
      </c>
      <c r="L4">
        <f>Table1[[#This Row],[S-secs]]-20</f>
        <v>75</v>
      </c>
      <c r="M4" s="61">
        <v>50</v>
      </c>
      <c r="N4">
        <v>142</v>
      </c>
      <c r="O4">
        <f>Table1[[#This Row],[RT Deadline]]-Table1[[#This Row],[E-secs]]</f>
        <v>20</v>
      </c>
      <c r="P4" s="61" t="s">
        <v>215</v>
      </c>
      <c r="Q4" t="s">
        <v>117</v>
      </c>
      <c r="R4" t="s">
        <v>119</v>
      </c>
      <c r="T4" s="41" t="s">
        <v>123</v>
      </c>
    </row>
    <row r="5" spans="1:20" s="49" customFormat="1" ht="16.5" thickTop="1" thickBot="1" x14ac:dyDescent="0.3">
      <c r="A5">
        <v>4</v>
      </c>
      <c r="B5" s="60">
        <f>TIME(,,Table1[[#This Row],[S-secs]])</f>
        <v>1.1111111111111111E-3</v>
      </c>
      <c r="C5">
        <v>96</v>
      </c>
      <c r="D5" s="60">
        <f t="shared" si="0"/>
        <v>1.4236111111111112E-3</v>
      </c>
      <c r="E5">
        <f>Table1[[#This Row],[S-secs]]+27</f>
        <v>123</v>
      </c>
      <c r="F5">
        <v>31</v>
      </c>
      <c r="G5">
        <v>181</v>
      </c>
      <c r="H5">
        <v>196</v>
      </c>
      <c r="I5">
        <f>Table1[[#This Row],[PM Flash]]-Table1[[#This Row],[PM Encode Approximation]]</f>
        <v>150</v>
      </c>
      <c r="J5" t="s">
        <v>197</v>
      </c>
      <c r="K5">
        <v>3</v>
      </c>
      <c r="L5">
        <f>Table1[[#This Row],[S-secs]]-20</f>
        <v>76</v>
      </c>
      <c r="M5" s="61">
        <v>37</v>
      </c>
      <c r="N5">
        <v>134</v>
      </c>
      <c r="O5">
        <f>Table1[[#This Row],[RT Deadline]]-Table1[[#This Row],[E-secs]]</f>
        <v>11</v>
      </c>
      <c r="P5" s="61" t="s">
        <v>215</v>
      </c>
      <c r="Q5" t="s">
        <v>112</v>
      </c>
      <c r="R5" t="s">
        <v>119</v>
      </c>
      <c r="T5" s="42" t="s">
        <v>126</v>
      </c>
    </row>
    <row r="6" spans="1:20" ht="15.75" thickTop="1" x14ac:dyDescent="0.25">
      <c r="A6">
        <v>5</v>
      </c>
      <c r="B6" s="60">
        <f>TIME(,,Table1[[#This Row],[S-secs]])</f>
        <v>1.712962962962963E-3</v>
      </c>
      <c r="C6">
        <v>148</v>
      </c>
      <c r="D6" s="60">
        <f t="shared" si="0"/>
        <v>2.0254629629629629E-3</v>
      </c>
      <c r="E6">
        <f>Table1[[#This Row],[S-secs]]+27</f>
        <v>175</v>
      </c>
      <c r="F6">
        <v>89</v>
      </c>
      <c r="G6">
        <v>249</v>
      </c>
      <c r="H6">
        <v>264</v>
      </c>
      <c r="I6">
        <f>Table1[[#This Row],[PM Flash]]-Table1[[#This Row],[PM Encode Approximation]]</f>
        <v>160</v>
      </c>
      <c r="J6" t="s">
        <v>198</v>
      </c>
      <c r="K6">
        <v>4</v>
      </c>
      <c r="L6">
        <f>Table1[[#This Row],[S-secs]]-20</f>
        <v>128</v>
      </c>
      <c r="M6" s="61">
        <v>96</v>
      </c>
      <c r="N6">
        <v>192</v>
      </c>
      <c r="O6">
        <f>Table1[[#This Row],[RT Deadline]]-Table1[[#This Row],[E-secs]]</f>
        <v>17</v>
      </c>
      <c r="P6" s="61" t="s">
        <v>215</v>
      </c>
      <c r="Q6" t="s">
        <v>120</v>
      </c>
    </row>
    <row r="7" spans="1:20" x14ac:dyDescent="0.25">
      <c r="A7">
        <v>6</v>
      </c>
      <c r="B7" s="60">
        <f>TIME(,,Table1[[#This Row],[S-secs]])</f>
        <v>1.1111111111111111E-3</v>
      </c>
      <c r="C7">
        <v>96</v>
      </c>
      <c r="D7" s="60">
        <f t="shared" si="0"/>
        <v>1.4236111111111112E-3</v>
      </c>
      <c r="E7">
        <f>Table1[[#This Row],[S-secs]]+27</f>
        <v>123</v>
      </c>
      <c r="F7">
        <v>40</v>
      </c>
      <c r="G7">
        <v>200</v>
      </c>
      <c r="H7">
        <v>215</v>
      </c>
      <c r="I7">
        <f>Table1[[#This Row],[PM Flash]]-Table1[[#This Row],[PM Encode Approximation]]</f>
        <v>160</v>
      </c>
      <c r="J7" t="s">
        <v>200</v>
      </c>
      <c r="K7">
        <v>3</v>
      </c>
      <c r="L7">
        <f>Table1[[#This Row],[S-secs]]-20</f>
        <v>76</v>
      </c>
      <c r="M7" s="61">
        <v>46</v>
      </c>
      <c r="N7">
        <v>137</v>
      </c>
      <c r="O7">
        <f>Table1[[#This Row],[RT Deadline]]-Table1[[#This Row],[E-secs]]</f>
        <v>14</v>
      </c>
      <c r="P7" s="61" t="s">
        <v>215</v>
      </c>
      <c r="Q7" t="s">
        <v>138</v>
      </c>
      <c r="R7" t="s">
        <v>142</v>
      </c>
    </row>
    <row r="8" spans="1:20" x14ac:dyDescent="0.25">
      <c r="A8">
        <v>7</v>
      </c>
      <c r="B8" s="60">
        <f>TIME(,,Table1[[#This Row],[S-secs]])</f>
        <v>1.423611111111111E-3</v>
      </c>
      <c r="C8">
        <v>123</v>
      </c>
      <c r="D8" s="60">
        <f t="shared" si="0"/>
        <v>1.736111111111111E-3</v>
      </c>
      <c r="E8">
        <f>Table1[[#This Row],[S-secs]]+27</f>
        <v>150</v>
      </c>
      <c r="F8">
        <v>69</v>
      </c>
      <c r="G8">
        <v>199</v>
      </c>
      <c r="H8">
        <v>214</v>
      </c>
      <c r="I8">
        <f>Table1[[#This Row],[PM Flash]]-Table1[[#This Row],[PM Encode Approximation]]</f>
        <v>130</v>
      </c>
      <c r="J8" t="s">
        <v>203</v>
      </c>
      <c r="K8">
        <v>4</v>
      </c>
      <c r="L8">
        <f>Table1[[#This Row],[S-secs]]-20</f>
        <v>103</v>
      </c>
      <c r="M8" s="61">
        <v>85</v>
      </c>
      <c r="N8">
        <v>170</v>
      </c>
      <c r="O8">
        <f>Table1[[#This Row],[RT Deadline]]-Table1[[#This Row],[E-secs]]</f>
        <v>20</v>
      </c>
      <c r="P8" s="61" t="s">
        <v>215</v>
      </c>
      <c r="Q8" t="s">
        <v>130</v>
      </c>
      <c r="R8" t="s">
        <v>142</v>
      </c>
    </row>
    <row r="9" spans="1:20" x14ac:dyDescent="0.25">
      <c r="A9">
        <v>8</v>
      </c>
      <c r="B9" s="60">
        <f>TIME(,,Table1[[#This Row],[S-secs]])</f>
        <v>1.0532407407407407E-3</v>
      </c>
      <c r="C9">
        <v>91</v>
      </c>
      <c r="D9" s="60">
        <f t="shared" si="0"/>
        <v>1.3657407407407407E-3</v>
      </c>
      <c r="E9">
        <f>Table1[[#This Row],[S-secs]]+27</f>
        <v>118</v>
      </c>
      <c r="F9">
        <v>27</v>
      </c>
      <c r="G9">
        <v>197</v>
      </c>
      <c r="H9">
        <v>212</v>
      </c>
      <c r="I9">
        <f>Table1[[#This Row],[PM Flash]]-Table1[[#This Row],[PM Encode Approximation]]</f>
        <v>170</v>
      </c>
      <c r="J9" t="s">
        <v>201</v>
      </c>
      <c r="K9">
        <v>4</v>
      </c>
      <c r="L9">
        <f>Table1[[#This Row],[S-secs]]-20</f>
        <v>71</v>
      </c>
      <c r="M9" s="61"/>
      <c r="N9">
        <v>139</v>
      </c>
      <c r="O9">
        <f>Table1[[#This Row],[RT Deadline]]-Table1[[#This Row],[E-secs]]</f>
        <v>21</v>
      </c>
      <c r="P9" s="61" t="s">
        <v>215</v>
      </c>
      <c r="Q9" t="s">
        <v>132</v>
      </c>
      <c r="R9" t="s">
        <v>142</v>
      </c>
    </row>
    <row r="10" spans="1:20" x14ac:dyDescent="0.25">
      <c r="A10">
        <v>9</v>
      </c>
      <c r="B10" s="60">
        <f>TIME(,,Table1[[#This Row],[S-secs]])</f>
        <v>1.5393518518518519E-3</v>
      </c>
      <c r="C10">
        <v>133</v>
      </c>
      <c r="D10" s="60">
        <f t="shared" si="0"/>
        <v>1.8518518518518519E-3</v>
      </c>
      <c r="E10">
        <f>Table1[[#This Row],[S-secs]]+27</f>
        <v>160</v>
      </c>
      <c r="F10">
        <v>73</v>
      </c>
      <c r="G10">
        <v>213</v>
      </c>
      <c r="H10">
        <v>228</v>
      </c>
      <c r="I10">
        <f>Table1[[#This Row],[PM Flash]]-Table1[[#This Row],[PM Encode Approximation]]</f>
        <v>140</v>
      </c>
      <c r="J10" t="s">
        <v>202</v>
      </c>
      <c r="K10">
        <v>3</v>
      </c>
      <c r="L10">
        <f>Table1[[#This Row],[S-secs]]-20</f>
        <v>113</v>
      </c>
      <c r="M10" s="61">
        <v>92</v>
      </c>
      <c r="N10">
        <v>176</v>
      </c>
      <c r="O10">
        <f>Table1[[#This Row],[RT Deadline]]-Table1[[#This Row],[E-secs]]</f>
        <v>16</v>
      </c>
      <c r="P10" s="61" t="s">
        <v>215</v>
      </c>
      <c r="Q10" t="s">
        <v>133</v>
      </c>
      <c r="R10" t="s">
        <v>142</v>
      </c>
    </row>
    <row r="11" spans="1:20" x14ac:dyDescent="0.25">
      <c r="A11">
        <v>10</v>
      </c>
      <c r="B11" s="60">
        <f>TIME(,,Table1[[#This Row],[S-secs]])</f>
        <v>1.423611111111111E-3</v>
      </c>
      <c r="C11">
        <v>123</v>
      </c>
      <c r="D11" s="60">
        <f t="shared" si="0"/>
        <v>1.736111111111111E-3</v>
      </c>
      <c r="E11">
        <f>Table1[[#This Row],[S-secs]]+27</f>
        <v>150</v>
      </c>
      <c r="F11">
        <v>60</v>
      </c>
      <c r="G11">
        <v>210</v>
      </c>
      <c r="H11">
        <v>225</v>
      </c>
      <c r="I11">
        <f>Table1[[#This Row],[PM Flash]]-Table1[[#This Row],[PM Encode Approximation]]</f>
        <v>150</v>
      </c>
      <c r="J11" t="s">
        <v>58</v>
      </c>
      <c r="K11">
        <v>3</v>
      </c>
      <c r="L11">
        <f>Table1[[#This Row],[S-secs]]-20</f>
        <v>103</v>
      </c>
      <c r="M11" s="61"/>
      <c r="N11">
        <v>162</v>
      </c>
      <c r="O11">
        <f>Table1[[#This Row],[RT Deadline]]-Table1[[#This Row],[E-secs]]</f>
        <v>12</v>
      </c>
      <c r="P11" s="61" t="s">
        <v>215</v>
      </c>
      <c r="Q11" t="s">
        <v>134</v>
      </c>
      <c r="R11" t="s">
        <v>142</v>
      </c>
    </row>
    <row r="12" spans="1:20" x14ac:dyDescent="0.25">
      <c r="A12">
        <v>11</v>
      </c>
      <c r="B12" s="60">
        <f>TIME(,,Table1[[#This Row],[S-secs]])</f>
        <v>1.6666666666666668E-3</v>
      </c>
      <c r="C12">
        <v>144</v>
      </c>
      <c r="D12" s="60">
        <f t="shared" si="0"/>
        <v>1.9791666666666668E-3</v>
      </c>
      <c r="E12">
        <f>Table1[[#This Row],[S-secs]]+27</f>
        <v>171</v>
      </c>
      <c r="F12">
        <v>85</v>
      </c>
      <c r="G12">
        <v>221</v>
      </c>
      <c r="H12">
        <v>236</v>
      </c>
      <c r="I12">
        <f>Table1[[#This Row],[PM Flash]]-Table1[[#This Row],[PM Encode Approximation]]</f>
        <v>136</v>
      </c>
      <c r="J12" t="s">
        <v>205</v>
      </c>
      <c r="K12">
        <v>4</v>
      </c>
      <c r="L12">
        <f>Table1[[#This Row],[S-secs]]-20</f>
        <v>124</v>
      </c>
      <c r="M12" s="61"/>
      <c r="N12">
        <v>190</v>
      </c>
      <c r="O12">
        <f>Table1[[#This Row],[RT Deadline]]-Table1[[#This Row],[E-secs]]</f>
        <v>19</v>
      </c>
      <c r="P12" s="61" t="s">
        <v>215</v>
      </c>
      <c r="Q12" t="s">
        <v>135</v>
      </c>
      <c r="R12" t="s">
        <v>142</v>
      </c>
    </row>
    <row r="13" spans="1:20" x14ac:dyDescent="0.25">
      <c r="A13">
        <v>12</v>
      </c>
      <c r="B13" s="60">
        <f>TIME(,,Table1[[#This Row],[S-secs]])</f>
        <v>1.3888888888888889E-3</v>
      </c>
      <c r="C13">
        <v>120</v>
      </c>
      <c r="D13" s="60">
        <f t="shared" si="0"/>
        <v>1.701388888888889E-3</v>
      </c>
      <c r="E13">
        <f>Table1[[#This Row],[S-secs]]+27</f>
        <v>147</v>
      </c>
      <c r="F13">
        <v>69</v>
      </c>
      <c r="G13">
        <v>204</v>
      </c>
      <c r="H13">
        <v>219</v>
      </c>
      <c r="I13">
        <f>Table1[[#This Row],[PM Flash]]-Table1[[#This Row],[PM Encode Approximation]]</f>
        <v>135</v>
      </c>
      <c r="J13" t="s">
        <v>95</v>
      </c>
      <c r="K13">
        <v>4</v>
      </c>
      <c r="L13">
        <f>Table1[[#This Row],[S-secs]]-20</f>
        <v>100</v>
      </c>
      <c r="M13" s="61"/>
      <c r="N13">
        <v>170</v>
      </c>
      <c r="O13">
        <f>Table1[[#This Row],[RT Deadline]]-Table1[[#This Row],[E-secs]]</f>
        <v>23</v>
      </c>
      <c r="P13" s="61" t="s">
        <v>215</v>
      </c>
      <c r="Q13" t="s">
        <v>137</v>
      </c>
      <c r="R13" t="s">
        <v>181</v>
      </c>
    </row>
    <row r="14" spans="1:20" x14ac:dyDescent="0.25">
      <c r="A14">
        <v>13</v>
      </c>
      <c r="B14" s="60">
        <f>TIME(,,Table1[[#This Row],[S-secs]])</f>
        <v>1.2268518518518518E-3</v>
      </c>
      <c r="C14">
        <v>106</v>
      </c>
      <c r="D14" s="60">
        <f t="shared" si="0"/>
        <v>1.5393518518518519E-3</v>
      </c>
      <c r="E14">
        <f>Table1[[#This Row],[S-secs]]+27</f>
        <v>133</v>
      </c>
      <c r="F14">
        <v>53</v>
      </c>
      <c r="G14">
        <v>182</v>
      </c>
      <c r="H14">
        <v>197</v>
      </c>
      <c r="I14">
        <f>Table1[[#This Row],[PM Flash]]-Table1[[#This Row],[PM Encode Approximation]]</f>
        <v>129</v>
      </c>
      <c r="J14" t="s">
        <v>208</v>
      </c>
      <c r="K14">
        <v>4</v>
      </c>
      <c r="L14">
        <f>Table1[[#This Row],[S-secs]]-20</f>
        <v>86</v>
      </c>
      <c r="M14" s="61"/>
      <c r="N14">
        <v>148</v>
      </c>
      <c r="O14">
        <f>Table1[[#This Row],[RT Deadline]]-Table1[[#This Row],[E-secs]]</f>
        <v>15</v>
      </c>
      <c r="P14" s="61" t="s">
        <v>215</v>
      </c>
      <c r="Q14" t="s">
        <v>139</v>
      </c>
      <c r="R14" t="s">
        <v>182</v>
      </c>
    </row>
    <row r="15" spans="1:20" x14ac:dyDescent="0.25">
      <c r="A15">
        <v>14</v>
      </c>
      <c r="B15" s="60">
        <f>TIME(,,Table1[[#This Row],[S-secs]])</f>
        <v>1.2847222222222223E-3</v>
      </c>
      <c r="C15">
        <v>111</v>
      </c>
      <c r="D15" s="60">
        <f t="shared" si="0"/>
        <v>1.5972222222222223E-3</v>
      </c>
      <c r="E15">
        <f>Table1[[#This Row],[S-secs]]+27</f>
        <v>138</v>
      </c>
      <c r="F15">
        <v>59</v>
      </c>
      <c r="G15">
        <v>210</v>
      </c>
      <c r="H15">
        <v>225</v>
      </c>
      <c r="I15">
        <f>Table1[[#This Row],[PM Flash]]-Table1[[#This Row],[PM Encode Approximation]]</f>
        <v>151</v>
      </c>
      <c r="J15" t="s">
        <v>209</v>
      </c>
      <c r="K15">
        <v>4</v>
      </c>
      <c r="L15">
        <f>Table1[[#This Row],[S-secs]]-20</f>
        <v>91</v>
      </c>
      <c r="M15" s="61"/>
      <c r="N15">
        <v>156</v>
      </c>
      <c r="O15">
        <f>Table1[[#This Row],[RT Deadline]]-Table1[[#This Row],[E-secs]]</f>
        <v>18</v>
      </c>
      <c r="P15" s="61" t="s">
        <v>215</v>
      </c>
      <c r="Q15" t="s">
        <v>140</v>
      </c>
      <c r="R15" t="s">
        <v>183</v>
      </c>
    </row>
    <row r="16" spans="1:20" x14ac:dyDescent="0.25">
      <c r="A16">
        <v>15</v>
      </c>
      <c r="B16" s="60">
        <f>TIME(,,Table1[[#This Row],[S-secs]])</f>
        <v>1.6666666666666668E-3</v>
      </c>
      <c r="C16">
        <v>144</v>
      </c>
      <c r="D16" s="60">
        <f t="shared" si="0"/>
        <v>1.9791666666666668E-3</v>
      </c>
      <c r="E16">
        <f>Table1[[#This Row],[S-secs]]+27</f>
        <v>171</v>
      </c>
      <c r="F16">
        <v>81</v>
      </c>
      <c r="G16">
        <v>243</v>
      </c>
      <c r="H16">
        <v>258</v>
      </c>
      <c r="I16">
        <f>Table1[[#This Row],[PM Flash]]-Table1[[#This Row],[PM Encode Approximation]]</f>
        <v>162</v>
      </c>
      <c r="J16" t="s">
        <v>210</v>
      </c>
      <c r="K16">
        <v>4</v>
      </c>
      <c r="L16">
        <f>Table1[[#This Row],[S-secs]]-20</f>
        <v>124</v>
      </c>
      <c r="M16" s="61"/>
      <c r="N16">
        <v>187</v>
      </c>
      <c r="O16">
        <f>Table1[[#This Row],[RT Deadline]]-Table1[[#This Row],[E-secs]]</f>
        <v>16</v>
      </c>
      <c r="P16" s="61" t="s">
        <v>215</v>
      </c>
      <c r="Q16" t="s">
        <v>141</v>
      </c>
      <c r="R16" t="s">
        <v>184</v>
      </c>
    </row>
    <row r="17" spans="1:17" x14ac:dyDescent="0.25">
      <c r="A17" s="50"/>
      <c r="B17" s="50"/>
      <c r="C17" s="50"/>
      <c r="D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9" spans="1:17" x14ac:dyDescent="0.25">
      <c r="E19" s="59" t="s">
        <v>213</v>
      </c>
      <c r="J19">
        <v>144</v>
      </c>
    </row>
    <row r="20" spans="1:17" x14ac:dyDescent="0.25">
      <c r="D20" t="s">
        <v>136</v>
      </c>
      <c r="J20">
        <v>120</v>
      </c>
    </row>
    <row r="21" spans="1:17" x14ac:dyDescent="0.25">
      <c r="J21">
        <v>106</v>
      </c>
    </row>
    <row r="22" spans="1:17" x14ac:dyDescent="0.25">
      <c r="J22">
        <v>111</v>
      </c>
    </row>
    <row r="26" spans="1:17" x14ac:dyDescent="0.25">
      <c r="O26">
        <v>171</v>
      </c>
      <c r="Q26">
        <v>190</v>
      </c>
    </row>
    <row r="42" spans="5:5" x14ac:dyDescent="0.25">
      <c r="E42" t="s">
        <v>51</v>
      </c>
    </row>
  </sheetData>
  <pageMargins left="0.25" right="0.25" top="0.75" bottom="0.75" header="0.3" footer="0.3"/>
  <pageSetup paperSize="9" scale="7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4"/>
  </sheetPr>
  <dimension ref="A1:G16"/>
  <sheetViews>
    <sheetView tabSelected="1" workbookViewId="0">
      <selection activeCell="K9" sqref="K9"/>
    </sheetView>
  </sheetViews>
  <sheetFormatPr defaultRowHeight="15" x14ac:dyDescent="0.25"/>
  <cols>
    <col min="2" max="2" width="17.85546875" customWidth="1"/>
    <col min="3" max="3" width="14.28515625" customWidth="1"/>
    <col min="4" max="4" width="13.28515625" bestFit="1" customWidth="1"/>
    <col min="5" max="5" width="13.28515625" customWidth="1"/>
    <col min="6" max="6" width="13.140625" bestFit="1" customWidth="1"/>
    <col min="7" max="7" width="11.28515625" bestFit="1" customWidth="1"/>
  </cols>
  <sheetData>
    <row r="1" spans="1:7" x14ac:dyDescent="0.25">
      <c r="A1" t="s">
        <v>2</v>
      </c>
      <c r="B1" t="s">
        <v>217</v>
      </c>
      <c r="C1" t="s">
        <v>218</v>
      </c>
      <c r="D1" t="s">
        <v>194</v>
      </c>
      <c r="E1" t="s">
        <v>34</v>
      </c>
      <c r="F1" t="s">
        <v>188</v>
      </c>
      <c r="G1" t="s">
        <v>195</v>
      </c>
    </row>
    <row r="2" spans="1:7" x14ac:dyDescent="0.25">
      <c r="A2" s="51" t="s">
        <v>230</v>
      </c>
      <c r="B2" s="51" t="s">
        <v>66</v>
      </c>
      <c r="C2" s="51" t="s">
        <v>83</v>
      </c>
      <c r="D2" s="51" t="s">
        <v>196</v>
      </c>
      <c r="E2" s="51">
        <v>56</v>
      </c>
      <c r="F2" s="51">
        <v>217</v>
      </c>
      <c r="G2" s="51">
        <f>Table2123[[#This Row],[PM Flash]]+15</f>
        <v>232</v>
      </c>
    </row>
    <row r="3" spans="1:7" x14ac:dyDescent="0.25">
      <c r="A3" s="51" t="s">
        <v>231</v>
      </c>
      <c r="B3" s="51" t="s">
        <v>162</v>
      </c>
      <c r="C3" s="51" t="s">
        <v>193</v>
      </c>
      <c r="D3" s="51" t="s">
        <v>196</v>
      </c>
      <c r="E3" s="51">
        <v>89</v>
      </c>
      <c r="F3" s="51">
        <v>226</v>
      </c>
      <c r="G3" s="51">
        <f>Table2123[[#This Row],[PM Flash]]+15</f>
        <v>241</v>
      </c>
    </row>
    <row r="4" spans="1:7" x14ac:dyDescent="0.25">
      <c r="A4" s="51" t="s">
        <v>232</v>
      </c>
      <c r="B4" s="51" t="s">
        <v>27</v>
      </c>
      <c r="C4" s="51" t="s">
        <v>73</v>
      </c>
      <c r="D4" s="51" t="s">
        <v>199</v>
      </c>
      <c r="E4" s="51">
        <v>32</v>
      </c>
      <c r="F4" s="51">
        <v>190</v>
      </c>
      <c r="G4" s="51">
        <f>Table2123[[#This Row],[PM Flash]]+15</f>
        <v>205</v>
      </c>
    </row>
    <row r="5" spans="1:7" x14ac:dyDescent="0.25">
      <c r="A5" s="51" t="s">
        <v>233</v>
      </c>
      <c r="B5" s="51" t="s">
        <v>110</v>
      </c>
      <c r="C5" s="51" t="s">
        <v>197</v>
      </c>
      <c r="D5" s="51" t="s">
        <v>196</v>
      </c>
      <c r="E5" s="51">
        <v>31</v>
      </c>
      <c r="F5" s="51">
        <v>181</v>
      </c>
      <c r="G5" s="51">
        <f>Table2123[[#This Row],[PM Flash]]+15</f>
        <v>196</v>
      </c>
    </row>
    <row r="6" spans="1:7" x14ac:dyDescent="0.25">
      <c r="A6" s="51" t="s">
        <v>234</v>
      </c>
      <c r="B6" s="51" t="s">
        <v>160</v>
      </c>
      <c r="C6" s="51" t="s">
        <v>245</v>
      </c>
      <c r="D6" s="51" t="s">
        <v>199</v>
      </c>
      <c r="E6" s="51">
        <v>89</v>
      </c>
      <c r="F6" s="51">
        <v>249</v>
      </c>
      <c r="G6" s="51">
        <f>Table2123[[#This Row],[PM Flash]]+15</f>
        <v>264</v>
      </c>
    </row>
    <row r="7" spans="1:7" x14ac:dyDescent="0.25">
      <c r="A7" s="51" t="s">
        <v>235</v>
      </c>
      <c r="B7" s="51" t="s">
        <v>93</v>
      </c>
      <c r="C7" s="51" t="s">
        <v>200</v>
      </c>
      <c r="D7" s="51" t="s">
        <v>199</v>
      </c>
      <c r="E7" s="51">
        <v>40</v>
      </c>
      <c r="F7" s="51">
        <v>200</v>
      </c>
      <c r="G7" s="51">
        <f>Table2123[[#This Row],[PM Flash]]+15</f>
        <v>215</v>
      </c>
    </row>
    <row r="8" spans="1:7" x14ac:dyDescent="0.25">
      <c r="A8" s="51" t="s">
        <v>236</v>
      </c>
      <c r="B8" s="51" t="s">
        <v>44</v>
      </c>
      <c r="C8" s="51" t="s">
        <v>203</v>
      </c>
      <c r="D8" s="51" t="s">
        <v>196</v>
      </c>
      <c r="E8" s="51">
        <v>69</v>
      </c>
      <c r="F8" s="51">
        <v>199</v>
      </c>
      <c r="G8" s="51">
        <f>Table2123[[#This Row],[PM Flash]]+15</f>
        <v>214</v>
      </c>
    </row>
    <row r="9" spans="1:7" x14ac:dyDescent="0.25">
      <c r="A9" s="51" t="s">
        <v>237</v>
      </c>
      <c r="B9" s="51" t="s">
        <v>47</v>
      </c>
      <c r="C9" s="51" t="s">
        <v>201</v>
      </c>
      <c r="D9" s="51" t="s">
        <v>196</v>
      </c>
      <c r="E9" s="51">
        <v>27</v>
      </c>
      <c r="F9" s="51">
        <v>197</v>
      </c>
      <c r="G9" s="51">
        <f>Table2123[[#This Row],[PM Flash]]+15</f>
        <v>212</v>
      </c>
    </row>
    <row r="10" spans="1:7" x14ac:dyDescent="0.25">
      <c r="A10" s="51" t="s">
        <v>238</v>
      </c>
      <c r="B10" s="51" t="s">
        <v>148</v>
      </c>
      <c r="C10" s="51" t="s">
        <v>202</v>
      </c>
      <c r="D10" s="51" t="s">
        <v>204</v>
      </c>
      <c r="E10" s="51">
        <v>73</v>
      </c>
      <c r="F10" s="51">
        <v>213</v>
      </c>
      <c r="G10" s="51">
        <f>Table2123[[#This Row],[PM Flash]]+15</f>
        <v>228</v>
      </c>
    </row>
    <row r="11" spans="1:7" x14ac:dyDescent="0.25">
      <c r="A11" s="51" t="s">
        <v>239</v>
      </c>
      <c r="B11" s="51" t="s">
        <v>173</v>
      </c>
      <c r="C11" s="51" t="s">
        <v>58</v>
      </c>
      <c r="D11" s="51" t="s">
        <v>196</v>
      </c>
      <c r="E11" s="51">
        <v>60</v>
      </c>
      <c r="F11" s="51">
        <v>210</v>
      </c>
      <c r="G11" s="51">
        <f>Table2123[[#This Row],[PM Flash]]+15</f>
        <v>225</v>
      </c>
    </row>
    <row r="12" spans="1:7" x14ac:dyDescent="0.25">
      <c r="A12" s="51" t="s">
        <v>240</v>
      </c>
      <c r="B12" s="51" t="s">
        <v>68</v>
      </c>
      <c r="C12" s="51" t="s">
        <v>205</v>
      </c>
      <c r="D12" s="51" t="s">
        <v>206</v>
      </c>
      <c r="E12" s="51">
        <v>85</v>
      </c>
      <c r="F12" s="51">
        <f>180+41</f>
        <v>221</v>
      </c>
      <c r="G12" s="51">
        <f>Table2123[[#This Row],[PM Flash]]+15</f>
        <v>236</v>
      </c>
    </row>
    <row r="13" spans="1:7" x14ac:dyDescent="0.25">
      <c r="A13" s="51" t="s">
        <v>241</v>
      </c>
      <c r="B13" s="51" t="s">
        <v>71</v>
      </c>
      <c r="C13" s="51" t="s">
        <v>216</v>
      </c>
      <c r="D13" s="51" t="s">
        <v>199</v>
      </c>
      <c r="E13" s="51">
        <v>69</v>
      </c>
      <c r="F13" s="51">
        <v>204</v>
      </c>
      <c r="G13" s="51">
        <f>Table2123[[#This Row],[PM Flash]]+15</f>
        <v>219</v>
      </c>
    </row>
    <row r="14" spans="1:7" x14ac:dyDescent="0.25">
      <c r="A14" s="51" t="s">
        <v>242</v>
      </c>
      <c r="B14" s="51" t="s">
        <v>67</v>
      </c>
      <c r="C14" s="51" t="s">
        <v>208</v>
      </c>
      <c r="D14" s="51" t="s">
        <v>199</v>
      </c>
      <c r="E14" s="51">
        <v>53</v>
      </c>
      <c r="F14" s="51">
        <v>182</v>
      </c>
      <c r="G14" s="51">
        <f>Table2123[[#This Row],[PM Flash]]+15</f>
        <v>197</v>
      </c>
    </row>
    <row r="15" spans="1:7" x14ac:dyDescent="0.25">
      <c r="A15" s="51" t="s">
        <v>243</v>
      </c>
      <c r="B15" s="51" t="s">
        <v>224</v>
      </c>
      <c r="C15" s="51" t="s">
        <v>209</v>
      </c>
      <c r="D15" s="51" t="s">
        <v>196</v>
      </c>
      <c r="E15" s="51">
        <v>59</v>
      </c>
      <c r="F15" s="51">
        <v>210</v>
      </c>
      <c r="G15" s="51">
        <f>Table2123[[#This Row],[PM Flash]]+15</f>
        <v>225</v>
      </c>
    </row>
    <row r="16" spans="1:7" x14ac:dyDescent="0.25">
      <c r="A16" s="51" t="s">
        <v>244</v>
      </c>
      <c r="B16" s="51" t="s">
        <v>221</v>
      </c>
      <c r="C16" s="51" t="s">
        <v>210</v>
      </c>
      <c r="D16" s="51" t="s">
        <v>204</v>
      </c>
      <c r="E16" s="51">
        <v>81</v>
      </c>
      <c r="F16" s="51">
        <v>243</v>
      </c>
      <c r="G16" s="51">
        <f>Table2123[[#This Row],[PM Flash]]+15</f>
        <v>258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R61"/>
  <sheetViews>
    <sheetView topLeftCell="A34" zoomScaleNormal="100" workbookViewId="0">
      <selection activeCell="B53" sqref="B53"/>
    </sheetView>
  </sheetViews>
  <sheetFormatPr defaultRowHeight="15" x14ac:dyDescent="0.25"/>
  <cols>
    <col min="2" max="2" width="10.7109375" customWidth="1"/>
    <col min="3" max="3" width="9.85546875" customWidth="1"/>
    <col min="4" max="4" width="9.5703125" customWidth="1"/>
    <col min="8" max="8" width="10.28515625" bestFit="1" customWidth="1"/>
    <col min="9" max="9" width="10.85546875" customWidth="1"/>
    <col min="10" max="10" width="25" customWidth="1"/>
    <col min="11" max="11" width="5.85546875" customWidth="1"/>
  </cols>
  <sheetData>
    <row r="1" spans="1:11" x14ac:dyDescent="0.25">
      <c r="A1" t="s">
        <v>2</v>
      </c>
      <c r="B1" t="s">
        <v>177</v>
      </c>
      <c r="C1" t="s">
        <v>178</v>
      </c>
      <c r="D1" t="s">
        <v>5</v>
      </c>
      <c r="E1" t="s">
        <v>6</v>
      </c>
      <c r="F1" t="s">
        <v>179</v>
      </c>
      <c r="G1" t="s">
        <v>8</v>
      </c>
      <c r="H1" t="s">
        <v>32</v>
      </c>
      <c r="I1" t="s">
        <v>187</v>
      </c>
      <c r="J1" t="s">
        <v>180</v>
      </c>
      <c r="K1" t="s">
        <v>207</v>
      </c>
    </row>
    <row r="2" spans="1:11" x14ac:dyDescent="0.25">
      <c r="A2">
        <v>3</v>
      </c>
      <c r="B2" t="s">
        <v>11</v>
      </c>
      <c r="C2" t="s">
        <v>29</v>
      </c>
      <c r="D2">
        <v>154</v>
      </c>
      <c r="E2">
        <v>241</v>
      </c>
      <c r="F2">
        <v>87</v>
      </c>
      <c r="H2">
        <v>95</v>
      </c>
      <c r="I2">
        <v>122</v>
      </c>
      <c r="J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2">
        <v>0</v>
      </c>
    </row>
    <row r="3" spans="1:11" x14ac:dyDescent="0.25">
      <c r="A3">
        <v>5</v>
      </c>
      <c r="B3" t="s">
        <v>94</v>
      </c>
      <c r="C3" t="s">
        <v>71</v>
      </c>
      <c r="D3">
        <v>194</v>
      </c>
      <c r="E3">
        <v>272</v>
      </c>
      <c r="F3">
        <v>78</v>
      </c>
      <c r="H3">
        <v>148</v>
      </c>
      <c r="I3">
        <v>175</v>
      </c>
      <c r="J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3">
        <v>0</v>
      </c>
    </row>
    <row r="4" spans="1:11" x14ac:dyDescent="0.25">
      <c r="A4">
        <v>6</v>
      </c>
      <c r="B4" t="s">
        <v>85</v>
      </c>
      <c r="C4" t="s">
        <v>149</v>
      </c>
      <c r="D4">
        <v>137</v>
      </c>
      <c r="E4">
        <v>256</v>
      </c>
      <c r="F4">
        <v>119</v>
      </c>
      <c r="H4">
        <v>96</v>
      </c>
      <c r="I4">
        <v>123</v>
      </c>
      <c r="J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4">
        <v>0</v>
      </c>
    </row>
    <row r="5" spans="1:11" x14ac:dyDescent="0.25">
      <c r="A5">
        <v>7</v>
      </c>
      <c r="B5" t="s">
        <v>61</v>
      </c>
      <c r="C5" t="s">
        <v>46</v>
      </c>
      <c r="D5">
        <v>180</v>
      </c>
      <c r="E5">
        <v>274</v>
      </c>
      <c r="F5">
        <v>94</v>
      </c>
      <c r="H5">
        <v>123</v>
      </c>
      <c r="I5">
        <v>150</v>
      </c>
      <c r="J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5">
        <v>0</v>
      </c>
    </row>
    <row r="6" spans="1:11" x14ac:dyDescent="0.25">
      <c r="A6">
        <v>8</v>
      </c>
      <c r="B6" t="s">
        <v>104</v>
      </c>
      <c r="C6" t="s">
        <v>10</v>
      </c>
      <c r="D6">
        <v>140</v>
      </c>
      <c r="E6">
        <v>213</v>
      </c>
      <c r="F6">
        <v>73</v>
      </c>
      <c r="H6">
        <v>91</v>
      </c>
      <c r="I6">
        <v>118</v>
      </c>
      <c r="J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6">
        <v>0</v>
      </c>
    </row>
    <row r="7" spans="1:11" x14ac:dyDescent="0.25">
      <c r="A7">
        <v>9</v>
      </c>
      <c r="B7" t="s">
        <v>40</v>
      </c>
      <c r="C7" t="s">
        <v>39</v>
      </c>
      <c r="D7">
        <v>180</v>
      </c>
      <c r="E7">
        <v>255</v>
      </c>
      <c r="F7">
        <v>75</v>
      </c>
      <c r="H7">
        <v>133</v>
      </c>
      <c r="I7">
        <v>160</v>
      </c>
      <c r="J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7">
        <v>0</v>
      </c>
    </row>
    <row r="8" spans="1:11" x14ac:dyDescent="0.25">
      <c r="A8">
        <v>10</v>
      </c>
      <c r="B8" t="s">
        <v>163</v>
      </c>
      <c r="C8" t="s">
        <v>164</v>
      </c>
      <c r="D8">
        <v>151</v>
      </c>
      <c r="E8">
        <v>256</v>
      </c>
      <c r="F8">
        <v>105</v>
      </c>
      <c r="H8">
        <v>123</v>
      </c>
      <c r="I8">
        <v>150</v>
      </c>
      <c r="J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8">
        <v>0</v>
      </c>
    </row>
    <row r="9" spans="1:11" x14ac:dyDescent="0.25">
      <c r="A9">
        <v>11</v>
      </c>
      <c r="B9" t="s">
        <v>40</v>
      </c>
      <c r="C9" t="s">
        <v>11</v>
      </c>
      <c r="D9">
        <v>180</v>
      </c>
      <c r="E9">
        <v>286</v>
      </c>
      <c r="F9">
        <v>106</v>
      </c>
      <c r="H9">
        <v>144</v>
      </c>
      <c r="I9">
        <v>171</v>
      </c>
      <c r="J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9">
        <v>0</v>
      </c>
    </row>
    <row r="10" spans="1:11" x14ac:dyDescent="0.25">
      <c r="A10">
        <v>12</v>
      </c>
      <c r="B10" t="s">
        <v>83</v>
      </c>
      <c r="C10" t="s">
        <v>170</v>
      </c>
      <c r="D10">
        <v>148</v>
      </c>
      <c r="E10">
        <v>246</v>
      </c>
      <c r="F10">
        <v>98</v>
      </c>
      <c r="H10">
        <v>120</v>
      </c>
      <c r="I10">
        <v>147</v>
      </c>
      <c r="J1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10">
        <v>0</v>
      </c>
    </row>
    <row r="11" spans="1:11" x14ac:dyDescent="0.25">
      <c r="A11">
        <v>12</v>
      </c>
      <c r="B11" t="s">
        <v>15</v>
      </c>
      <c r="C11" t="s">
        <v>88</v>
      </c>
      <c r="D11">
        <v>175</v>
      </c>
      <c r="E11">
        <v>287</v>
      </c>
      <c r="F11">
        <v>112</v>
      </c>
      <c r="H11">
        <v>120</v>
      </c>
      <c r="I11">
        <v>147</v>
      </c>
      <c r="J1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11">
        <v>0</v>
      </c>
    </row>
    <row r="12" spans="1:11" x14ac:dyDescent="0.25">
      <c r="A12">
        <v>13</v>
      </c>
      <c r="B12" t="s">
        <v>162</v>
      </c>
      <c r="C12" t="s">
        <v>40</v>
      </c>
      <c r="D12">
        <v>180</v>
      </c>
      <c r="E12">
        <v>280</v>
      </c>
      <c r="F12">
        <v>100</v>
      </c>
      <c r="H12">
        <v>106</v>
      </c>
      <c r="I12">
        <v>133</v>
      </c>
      <c r="J1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12">
        <v>0</v>
      </c>
    </row>
    <row r="13" spans="1:11" x14ac:dyDescent="0.25">
      <c r="A13">
        <v>14</v>
      </c>
      <c r="B13" t="s">
        <v>13</v>
      </c>
      <c r="C13" t="s">
        <v>176</v>
      </c>
      <c r="D13">
        <v>180</v>
      </c>
      <c r="E13">
        <v>278</v>
      </c>
      <c r="F13">
        <v>98</v>
      </c>
      <c r="H13">
        <v>111</v>
      </c>
      <c r="I13">
        <v>138</v>
      </c>
      <c r="J1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13">
        <v>0</v>
      </c>
    </row>
    <row r="14" spans="1:11" x14ac:dyDescent="0.25">
      <c r="A14">
        <v>15</v>
      </c>
      <c r="B14" t="s">
        <v>71</v>
      </c>
      <c r="C14" t="s">
        <v>94</v>
      </c>
      <c r="D14">
        <v>190</v>
      </c>
      <c r="E14">
        <v>269</v>
      </c>
      <c r="F14">
        <v>79</v>
      </c>
      <c r="H14">
        <v>144</v>
      </c>
      <c r="I14">
        <v>171</v>
      </c>
      <c r="J1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(Post-Int)</v>
      </c>
      <c r="K14">
        <v>0</v>
      </c>
    </row>
    <row r="15" spans="1:11" x14ac:dyDescent="0.25">
      <c r="A15">
        <v>1</v>
      </c>
      <c r="B15" t="s">
        <v>14</v>
      </c>
      <c r="C15" t="s">
        <v>26</v>
      </c>
      <c r="D15">
        <v>0</v>
      </c>
      <c r="E15">
        <v>38</v>
      </c>
      <c r="F15">
        <v>38</v>
      </c>
      <c r="H15">
        <v>120</v>
      </c>
      <c r="I15">
        <v>147</v>
      </c>
      <c r="J1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15">
        <v>0</v>
      </c>
    </row>
    <row r="16" spans="1:11" x14ac:dyDescent="0.25">
      <c r="A16">
        <v>1</v>
      </c>
      <c r="B16" t="s">
        <v>102</v>
      </c>
      <c r="C16" t="s">
        <v>100</v>
      </c>
      <c r="D16">
        <v>0</v>
      </c>
      <c r="E16">
        <v>91</v>
      </c>
      <c r="F16">
        <v>91</v>
      </c>
      <c r="G16">
        <v>9</v>
      </c>
      <c r="H16">
        <v>120</v>
      </c>
      <c r="I16">
        <v>147</v>
      </c>
      <c r="J1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16">
        <v>0</v>
      </c>
    </row>
    <row r="17" spans="1:15" x14ac:dyDescent="0.25">
      <c r="A17">
        <v>2</v>
      </c>
      <c r="B17" t="s">
        <v>48</v>
      </c>
      <c r="C17" t="s">
        <v>12</v>
      </c>
      <c r="D17">
        <v>0</v>
      </c>
      <c r="E17">
        <v>123</v>
      </c>
      <c r="F17">
        <v>123</v>
      </c>
      <c r="G17">
        <v>9</v>
      </c>
      <c r="H17">
        <v>142</v>
      </c>
      <c r="I17">
        <v>169</v>
      </c>
      <c r="J1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17">
        <v>0</v>
      </c>
    </row>
    <row r="18" spans="1:15" x14ac:dyDescent="0.25">
      <c r="A18">
        <v>3</v>
      </c>
      <c r="B18" t="s">
        <v>44</v>
      </c>
      <c r="C18" t="s">
        <v>45</v>
      </c>
      <c r="D18">
        <v>0</v>
      </c>
      <c r="E18">
        <v>49</v>
      </c>
      <c r="F18">
        <v>49</v>
      </c>
      <c r="H18">
        <v>95</v>
      </c>
      <c r="I18">
        <v>122</v>
      </c>
      <c r="J1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18">
        <v>0</v>
      </c>
    </row>
    <row r="19" spans="1:15" x14ac:dyDescent="0.25">
      <c r="A19">
        <v>4</v>
      </c>
      <c r="B19" t="s">
        <v>44</v>
      </c>
      <c r="C19" t="s">
        <v>113</v>
      </c>
      <c r="D19">
        <v>0</v>
      </c>
      <c r="E19">
        <v>44</v>
      </c>
      <c r="F19">
        <v>44</v>
      </c>
      <c r="G19">
        <v>8</v>
      </c>
      <c r="H19">
        <v>96</v>
      </c>
      <c r="I19">
        <v>123</v>
      </c>
      <c r="J1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19">
        <v>0</v>
      </c>
    </row>
    <row r="20" spans="1:15" x14ac:dyDescent="0.25">
      <c r="A20">
        <v>5</v>
      </c>
      <c r="B20" t="s">
        <v>145</v>
      </c>
      <c r="C20" t="s">
        <v>146</v>
      </c>
      <c r="D20">
        <v>0</v>
      </c>
      <c r="E20">
        <v>101</v>
      </c>
      <c r="F20">
        <v>101</v>
      </c>
      <c r="H20">
        <v>148</v>
      </c>
      <c r="I20">
        <v>175</v>
      </c>
      <c r="J2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0">
        <v>0</v>
      </c>
    </row>
    <row r="21" spans="1:15" x14ac:dyDescent="0.25">
      <c r="A21">
        <v>6</v>
      </c>
      <c r="B21" t="s">
        <v>148</v>
      </c>
      <c r="C21" t="s">
        <v>97</v>
      </c>
      <c r="D21">
        <v>0</v>
      </c>
      <c r="E21">
        <v>54</v>
      </c>
      <c r="F21">
        <v>54</v>
      </c>
      <c r="H21">
        <v>96</v>
      </c>
      <c r="I21">
        <v>123</v>
      </c>
      <c r="J2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1">
        <v>0</v>
      </c>
    </row>
    <row r="22" spans="1:15" x14ac:dyDescent="0.25">
      <c r="A22">
        <v>7</v>
      </c>
      <c r="B22" t="s">
        <v>11</v>
      </c>
      <c r="C22" t="s">
        <v>16</v>
      </c>
      <c r="D22">
        <v>0</v>
      </c>
      <c r="E22">
        <v>72</v>
      </c>
      <c r="F22">
        <v>72</v>
      </c>
      <c r="H22">
        <v>123</v>
      </c>
      <c r="I22">
        <v>150</v>
      </c>
      <c r="J2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2">
        <v>0</v>
      </c>
    </row>
    <row r="23" spans="1:15" x14ac:dyDescent="0.25">
      <c r="A23">
        <v>8</v>
      </c>
      <c r="B23" t="s">
        <v>153</v>
      </c>
      <c r="C23" t="s">
        <v>149</v>
      </c>
      <c r="D23">
        <v>0</v>
      </c>
      <c r="E23">
        <v>72</v>
      </c>
      <c r="F23">
        <v>72</v>
      </c>
      <c r="H23">
        <v>91</v>
      </c>
      <c r="I23">
        <v>118</v>
      </c>
      <c r="J2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3">
        <v>0</v>
      </c>
    </row>
    <row r="24" spans="1:15" x14ac:dyDescent="0.25">
      <c r="A24">
        <v>9</v>
      </c>
      <c r="B24" t="s">
        <v>89</v>
      </c>
      <c r="C24" t="s">
        <v>12</v>
      </c>
      <c r="D24">
        <v>0</v>
      </c>
      <c r="E24">
        <v>88</v>
      </c>
      <c r="F24">
        <v>88</v>
      </c>
      <c r="H24">
        <v>133</v>
      </c>
      <c r="I24">
        <v>160</v>
      </c>
      <c r="J2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4">
        <v>0</v>
      </c>
    </row>
    <row r="25" spans="1:15" x14ac:dyDescent="0.25">
      <c r="A25">
        <v>10</v>
      </c>
      <c r="B25" t="s">
        <v>159</v>
      </c>
      <c r="C25" t="s">
        <v>160</v>
      </c>
      <c r="D25">
        <v>0</v>
      </c>
      <c r="E25">
        <v>81</v>
      </c>
      <c r="F25">
        <v>81</v>
      </c>
      <c r="H25">
        <v>123</v>
      </c>
      <c r="I25">
        <v>150</v>
      </c>
      <c r="J2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5">
        <v>0</v>
      </c>
    </row>
    <row r="26" spans="1:15" x14ac:dyDescent="0.25">
      <c r="A26">
        <v>11</v>
      </c>
      <c r="B26" t="s">
        <v>149</v>
      </c>
      <c r="C26" t="s">
        <v>153</v>
      </c>
      <c r="D26">
        <v>0</v>
      </c>
      <c r="E26">
        <v>97</v>
      </c>
      <c r="F26">
        <v>97</v>
      </c>
      <c r="H26">
        <v>144</v>
      </c>
      <c r="I26">
        <v>171</v>
      </c>
      <c r="J2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6">
        <v>0</v>
      </c>
    </row>
    <row r="27" spans="1:15" x14ac:dyDescent="0.25">
      <c r="A27">
        <v>12</v>
      </c>
      <c r="B27" t="s">
        <v>168</v>
      </c>
      <c r="C27" t="s">
        <v>58</v>
      </c>
      <c r="D27">
        <v>0</v>
      </c>
      <c r="E27">
        <v>54</v>
      </c>
      <c r="F27">
        <v>54</v>
      </c>
      <c r="H27">
        <v>120</v>
      </c>
      <c r="I27">
        <v>147</v>
      </c>
      <c r="J2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7">
        <v>0</v>
      </c>
    </row>
    <row r="28" spans="1:15" x14ac:dyDescent="0.25">
      <c r="A28">
        <v>13</v>
      </c>
      <c r="B28" t="s">
        <v>220</v>
      </c>
      <c r="C28" t="s">
        <v>12</v>
      </c>
      <c r="D28">
        <v>0</v>
      </c>
      <c r="E28">
        <v>75</v>
      </c>
      <c r="F28">
        <v>75</v>
      </c>
      <c r="H28">
        <v>106</v>
      </c>
      <c r="I28">
        <v>133</v>
      </c>
      <c r="J2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8">
        <v>0</v>
      </c>
    </row>
    <row r="29" spans="1:15" x14ac:dyDescent="0.25">
      <c r="A29">
        <v>14</v>
      </c>
      <c r="B29" t="s">
        <v>159</v>
      </c>
      <c r="C29" t="s">
        <v>160</v>
      </c>
      <c r="D29">
        <v>0</v>
      </c>
      <c r="E29">
        <v>81</v>
      </c>
      <c r="F29">
        <v>81</v>
      </c>
      <c r="H29">
        <v>111</v>
      </c>
      <c r="I29">
        <v>138</v>
      </c>
      <c r="J2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29">
        <v>0</v>
      </c>
    </row>
    <row r="30" spans="1:15" x14ac:dyDescent="0.25">
      <c r="A30">
        <v>15</v>
      </c>
      <c r="B30" t="s">
        <v>147</v>
      </c>
      <c r="C30" t="s">
        <v>45</v>
      </c>
      <c r="D30">
        <v>25</v>
      </c>
      <c r="E30">
        <v>118</v>
      </c>
      <c r="F30">
        <v>93</v>
      </c>
      <c r="H30">
        <v>144</v>
      </c>
      <c r="I30">
        <v>171</v>
      </c>
      <c r="J3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No Overlap (Pre-Int)</v>
      </c>
      <c r="K30">
        <v>0</v>
      </c>
      <c r="M30" t="s">
        <v>2</v>
      </c>
      <c r="N30" t="s">
        <v>185</v>
      </c>
      <c r="O30" t="s">
        <v>186</v>
      </c>
    </row>
    <row r="31" spans="1:15" x14ac:dyDescent="0.25">
      <c r="A31">
        <v>1</v>
      </c>
      <c r="B31" t="s">
        <v>106</v>
      </c>
      <c r="C31" t="s">
        <v>105</v>
      </c>
      <c r="D31">
        <v>119</v>
      </c>
      <c r="E31">
        <v>210</v>
      </c>
      <c r="F31">
        <v>91</v>
      </c>
      <c r="G31">
        <v>3</v>
      </c>
      <c r="H31">
        <v>120</v>
      </c>
      <c r="I31">
        <v>147</v>
      </c>
      <c r="J3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1">
        <v>0</v>
      </c>
      <c r="M31">
        <v>1</v>
      </c>
      <c r="N31">
        <v>120</v>
      </c>
      <c r="O31">
        <v>147</v>
      </c>
    </row>
    <row r="32" spans="1:15" x14ac:dyDescent="0.25">
      <c r="A32">
        <v>2</v>
      </c>
      <c r="B32" t="s">
        <v>39</v>
      </c>
      <c r="C32" t="s">
        <v>28</v>
      </c>
      <c r="D32">
        <v>110</v>
      </c>
      <c r="E32">
        <v>212</v>
      </c>
      <c r="F32">
        <v>102</v>
      </c>
      <c r="G32">
        <v>1</v>
      </c>
      <c r="H32">
        <v>142</v>
      </c>
      <c r="I32">
        <v>169</v>
      </c>
      <c r="J3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2">
        <v>0</v>
      </c>
      <c r="M32">
        <v>2</v>
      </c>
      <c r="N32">
        <v>142</v>
      </c>
      <c r="O32">
        <v>169</v>
      </c>
    </row>
    <row r="33" spans="1:18" x14ac:dyDescent="0.25">
      <c r="A33">
        <v>2</v>
      </c>
      <c r="B33" t="s">
        <v>88</v>
      </c>
      <c r="C33" t="s">
        <v>83</v>
      </c>
      <c r="D33">
        <v>80</v>
      </c>
      <c r="E33">
        <v>245</v>
      </c>
      <c r="F33">
        <v>165</v>
      </c>
      <c r="G33">
        <v>2</v>
      </c>
      <c r="H33">
        <v>142</v>
      </c>
      <c r="I33">
        <v>169</v>
      </c>
      <c r="J3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3">
        <v>0</v>
      </c>
      <c r="M33">
        <v>3</v>
      </c>
      <c r="N33">
        <v>95</v>
      </c>
      <c r="O33">
        <v>122</v>
      </c>
      <c r="R33">
        <v>6</v>
      </c>
    </row>
    <row r="34" spans="1:18" x14ac:dyDescent="0.25">
      <c r="A34">
        <v>3</v>
      </c>
      <c r="B34" t="s">
        <v>46</v>
      </c>
      <c r="C34" t="s">
        <v>47</v>
      </c>
      <c r="D34">
        <v>45</v>
      </c>
      <c r="E34">
        <v>166</v>
      </c>
      <c r="F34">
        <v>122</v>
      </c>
      <c r="H34">
        <v>95</v>
      </c>
      <c r="I34">
        <v>122</v>
      </c>
      <c r="J3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4">
        <v>0</v>
      </c>
      <c r="M34">
        <v>4</v>
      </c>
      <c r="N34">
        <v>96</v>
      </c>
      <c r="O34">
        <v>123</v>
      </c>
    </row>
    <row r="35" spans="1:18" x14ac:dyDescent="0.25">
      <c r="A35">
        <v>4</v>
      </c>
      <c r="B35" t="s">
        <v>110</v>
      </c>
      <c r="C35" t="s">
        <v>17</v>
      </c>
      <c r="D35">
        <v>120</v>
      </c>
      <c r="E35">
        <v>223</v>
      </c>
      <c r="F35">
        <v>103</v>
      </c>
      <c r="H35">
        <v>96</v>
      </c>
      <c r="I35">
        <v>123</v>
      </c>
      <c r="J3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5">
        <v>0</v>
      </c>
      <c r="M35">
        <v>5</v>
      </c>
      <c r="N35">
        <v>148</v>
      </c>
      <c r="O35">
        <v>175</v>
      </c>
    </row>
    <row r="36" spans="1:18" x14ac:dyDescent="0.25">
      <c r="A36">
        <v>4</v>
      </c>
      <c r="B36" t="s">
        <v>114</v>
      </c>
      <c r="C36" t="s">
        <v>115</v>
      </c>
      <c r="D36">
        <v>100</v>
      </c>
      <c r="E36">
        <v>257</v>
      </c>
      <c r="F36">
        <v>157</v>
      </c>
      <c r="H36">
        <v>96</v>
      </c>
      <c r="I36">
        <v>123</v>
      </c>
      <c r="J3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6">
        <v>0</v>
      </c>
      <c r="M36">
        <v>6</v>
      </c>
      <c r="N36">
        <v>96</v>
      </c>
      <c r="O36">
        <v>123</v>
      </c>
    </row>
    <row r="37" spans="1:18" x14ac:dyDescent="0.25">
      <c r="A37">
        <v>5</v>
      </c>
      <c r="B37" t="s">
        <v>88</v>
      </c>
      <c r="C37" t="s">
        <v>147</v>
      </c>
      <c r="D37">
        <v>40</v>
      </c>
      <c r="E37">
        <v>222</v>
      </c>
      <c r="F37">
        <v>182</v>
      </c>
      <c r="H37">
        <v>148</v>
      </c>
      <c r="I37">
        <v>175</v>
      </c>
      <c r="J3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7">
        <v>0</v>
      </c>
      <c r="M37">
        <v>7</v>
      </c>
      <c r="N37">
        <v>123</v>
      </c>
      <c r="O37">
        <v>150</v>
      </c>
    </row>
    <row r="38" spans="1:18" x14ac:dyDescent="0.25">
      <c r="A38">
        <v>6</v>
      </c>
      <c r="B38" t="s">
        <v>87</v>
      </c>
      <c r="C38" t="s">
        <v>84</v>
      </c>
      <c r="D38">
        <v>85</v>
      </c>
      <c r="E38">
        <v>260</v>
      </c>
      <c r="F38">
        <v>175</v>
      </c>
      <c r="H38">
        <v>96</v>
      </c>
      <c r="I38">
        <v>123</v>
      </c>
      <c r="J3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8">
        <v>0</v>
      </c>
      <c r="M38">
        <v>8</v>
      </c>
      <c r="N38">
        <v>91</v>
      </c>
      <c r="O38">
        <v>118</v>
      </c>
    </row>
    <row r="39" spans="1:18" x14ac:dyDescent="0.25">
      <c r="A39">
        <v>7</v>
      </c>
      <c r="B39" t="s">
        <v>40</v>
      </c>
      <c r="C39" t="s">
        <v>151</v>
      </c>
      <c r="D39">
        <v>100</v>
      </c>
      <c r="E39">
        <v>208</v>
      </c>
      <c r="F39">
        <v>108</v>
      </c>
      <c r="H39">
        <v>123</v>
      </c>
      <c r="I39">
        <v>150</v>
      </c>
      <c r="J3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39">
        <v>0</v>
      </c>
      <c r="M39">
        <v>9</v>
      </c>
      <c r="N39">
        <v>133</v>
      </c>
      <c r="O39">
        <v>160</v>
      </c>
    </row>
    <row r="40" spans="1:18" x14ac:dyDescent="0.25">
      <c r="A40">
        <v>8</v>
      </c>
      <c r="B40" t="s">
        <v>154</v>
      </c>
      <c r="C40" t="s">
        <v>155</v>
      </c>
      <c r="D40">
        <v>25</v>
      </c>
      <c r="E40">
        <v>223</v>
      </c>
      <c r="F40">
        <v>198</v>
      </c>
      <c r="H40">
        <v>91</v>
      </c>
      <c r="I40">
        <v>118</v>
      </c>
      <c r="J4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0">
        <v>0</v>
      </c>
      <c r="M40">
        <v>10</v>
      </c>
      <c r="N40">
        <v>123</v>
      </c>
      <c r="O40">
        <v>150</v>
      </c>
    </row>
    <row r="41" spans="1:18" x14ac:dyDescent="0.25">
      <c r="A41">
        <v>9</v>
      </c>
      <c r="B41" t="s">
        <v>67</v>
      </c>
      <c r="C41" t="s">
        <v>85</v>
      </c>
      <c r="D41">
        <v>90</v>
      </c>
      <c r="E41">
        <v>288</v>
      </c>
      <c r="F41">
        <v>198</v>
      </c>
      <c r="H41">
        <v>133</v>
      </c>
      <c r="I41">
        <v>160</v>
      </c>
      <c r="J4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1">
        <v>0</v>
      </c>
      <c r="M41">
        <v>11</v>
      </c>
      <c r="N41">
        <v>150</v>
      </c>
      <c r="O41">
        <v>177</v>
      </c>
    </row>
    <row r="42" spans="1:18" x14ac:dyDescent="0.25">
      <c r="A42">
        <v>10</v>
      </c>
      <c r="B42" t="s">
        <v>161</v>
      </c>
      <c r="C42" t="s">
        <v>219</v>
      </c>
      <c r="D42">
        <v>83</v>
      </c>
      <c r="E42">
        <v>183</v>
      </c>
      <c r="F42">
        <v>100</v>
      </c>
      <c r="H42">
        <v>123</v>
      </c>
      <c r="I42">
        <v>150</v>
      </c>
      <c r="J4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2">
        <v>0</v>
      </c>
      <c r="M42">
        <v>12</v>
      </c>
      <c r="N42">
        <v>120</v>
      </c>
      <c r="O42">
        <v>147</v>
      </c>
    </row>
    <row r="43" spans="1:18" x14ac:dyDescent="0.25">
      <c r="A43">
        <v>11</v>
      </c>
      <c r="B43" t="s">
        <v>10</v>
      </c>
      <c r="C43" t="s">
        <v>104</v>
      </c>
      <c r="D43">
        <v>140</v>
      </c>
      <c r="E43">
        <v>213</v>
      </c>
      <c r="F43">
        <v>73</v>
      </c>
      <c r="H43">
        <v>144</v>
      </c>
      <c r="I43">
        <v>171</v>
      </c>
      <c r="J4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3">
        <v>0</v>
      </c>
      <c r="M43">
        <v>13</v>
      </c>
      <c r="N43">
        <v>106</v>
      </c>
      <c r="O43">
        <v>133</v>
      </c>
    </row>
    <row r="44" spans="1:18" x14ac:dyDescent="0.25">
      <c r="A44">
        <v>13</v>
      </c>
      <c r="B44" t="s">
        <v>101</v>
      </c>
      <c r="C44" t="s">
        <v>46</v>
      </c>
      <c r="D44">
        <v>35</v>
      </c>
      <c r="E44">
        <v>220</v>
      </c>
      <c r="F44">
        <v>185</v>
      </c>
      <c r="H44">
        <v>106</v>
      </c>
      <c r="I44">
        <v>133</v>
      </c>
      <c r="J4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4">
        <v>0</v>
      </c>
      <c r="M44">
        <v>14</v>
      </c>
      <c r="N44">
        <v>111</v>
      </c>
      <c r="O44">
        <v>138</v>
      </c>
    </row>
    <row r="45" spans="1:18" x14ac:dyDescent="0.25">
      <c r="A45">
        <v>14</v>
      </c>
      <c r="B45" t="s">
        <v>161</v>
      </c>
      <c r="C45" t="s">
        <v>162</v>
      </c>
      <c r="D45">
        <v>93</v>
      </c>
      <c r="E45">
        <v>191</v>
      </c>
      <c r="F45">
        <v>98</v>
      </c>
      <c r="H45">
        <v>111</v>
      </c>
      <c r="I45">
        <v>138</v>
      </c>
      <c r="J4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5">
        <v>0</v>
      </c>
      <c r="M45">
        <v>15</v>
      </c>
      <c r="N45">
        <v>144</v>
      </c>
      <c r="O45">
        <v>171</v>
      </c>
    </row>
    <row r="46" spans="1:18" x14ac:dyDescent="0.25">
      <c r="A46">
        <v>15</v>
      </c>
      <c r="B46" t="s">
        <v>162</v>
      </c>
      <c r="C46" t="s">
        <v>155</v>
      </c>
      <c r="D46">
        <v>165</v>
      </c>
      <c r="E46">
        <v>286</v>
      </c>
      <c r="F46">
        <v>121</v>
      </c>
      <c r="H46">
        <v>144</v>
      </c>
      <c r="I46">
        <v>171</v>
      </c>
      <c r="J4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Overlap - Conflict After</v>
      </c>
      <c r="K46">
        <v>0</v>
      </c>
    </row>
    <row r="47" spans="1:18" x14ac:dyDescent="0.25">
      <c r="A47">
        <v>1</v>
      </c>
      <c r="B47" t="s">
        <v>104</v>
      </c>
      <c r="C47" t="s">
        <v>222</v>
      </c>
      <c r="D47">
        <v>147</v>
      </c>
      <c r="E47">
        <v>170</v>
      </c>
      <c r="F47">
        <v>23</v>
      </c>
      <c r="G47">
        <v>5</v>
      </c>
      <c r="H47">
        <v>120</v>
      </c>
      <c r="I47">
        <v>147</v>
      </c>
      <c r="J4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47">
        <v>1</v>
      </c>
    </row>
    <row r="48" spans="1:18" x14ac:dyDescent="0.25">
      <c r="A48">
        <v>2</v>
      </c>
      <c r="B48" t="s">
        <v>84</v>
      </c>
      <c r="C48" t="s">
        <v>90</v>
      </c>
      <c r="D48">
        <v>169</v>
      </c>
      <c r="E48">
        <v>180</v>
      </c>
      <c r="F48">
        <v>11</v>
      </c>
      <c r="G48">
        <v>8</v>
      </c>
      <c r="H48">
        <v>142</v>
      </c>
      <c r="I48">
        <v>169</v>
      </c>
      <c r="J4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48">
        <v>1</v>
      </c>
    </row>
    <row r="49" spans="1:15" x14ac:dyDescent="0.25">
      <c r="A49">
        <v>3</v>
      </c>
      <c r="B49" t="s">
        <v>209</v>
      </c>
      <c r="C49" t="s">
        <v>153</v>
      </c>
      <c r="D49">
        <v>122</v>
      </c>
      <c r="E49">
        <v>142</v>
      </c>
      <c r="F49">
        <v>20</v>
      </c>
      <c r="H49">
        <v>95</v>
      </c>
      <c r="I49">
        <v>122</v>
      </c>
      <c r="J4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49">
        <v>1</v>
      </c>
    </row>
    <row r="50" spans="1:15" x14ac:dyDescent="0.25">
      <c r="A50">
        <v>4</v>
      </c>
      <c r="B50" t="s">
        <v>223</v>
      </c>
      <c r="C50" t="s">
        <v>66</v>
      </c>
      <c r="D50">
        <v>123</v>
      </c>
      <c r="E50">
        <v>134</v>
      </c>
      <c r="F50">
        <v>11</v>
      </c>
      <c r="H50">
        <v>96</v>
      </c>
      <c r="I50">
        <v>123</v>
      </c>
      <c r="J5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0">
        <v>1</v>
      </c>
    </row>
    <row r="51" spans="1:15" x14ac:dyDescent="0.25">
      <c r="A51">
        <v>5</v>
      </c>
      <c r="B51" t="s">
        <v>39</v>
      </c>
      <c r="C51" t="s">
        <v>92</v>
      </c>
      <c r="D51">
        <v>175</v>
      </c>
      <c r="E51">
        <v>192</v>
      </c>
      <c r="F51">
        <v>17</v>
      </c>
      <c r="H51">
        <v>148</v>
      </c>
      <c r="I51">
        <v>175</v>
      </c>
      <c r="J5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1">
        <v>1</v>
      </c>
    </row>
    <row r="52" spans="1:15" x14ac:dyDescent="0.25">
      <c r="A52">
        <v>6</v>
      </c>
      <c r="B52" t="s">
        <v>98</v>
      </c>
      <c r="C52" t="s">
        <v>224</v>
      </c>
      <c r="D52">
        <v>123</v>
      </c>
      <c r="E52">
        <v>137</v>
      </c>
      <c r="F52">
        <v>14</v>
      </c>
      <c r="H52">
        <v>96</v>
      </c>
      <c r="I52">
        <v>123</v>
      </c>
      <c r="J52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2">
        <v>1</v>
      </c>
      <c r="N52" t="s">
        <v>212</v>
      </c>
      <c r="O52">
        <f>COUNTIF(J2:J61, "No Overlap (Post-Int)")</f>
        <v>13</v>
      </c>
    </row>
    <row r="53" spans="1:15" x14ac:dyDescent="0.25">
      <c r="A53">
        <v>7</v>
      </c>
      <c r="B53" t="s">
        <v>29</v>
      </c>
      <c r="C53" t="s">
        <v>88</v>
      </c>
      <c r="D53">
        <v>150</v>
      </c>
      <c r="E53">
        <v>170</v>
      </c>
      <c r="F53">
        <v>20</v>
      </c>
      <c r="H53">
        <v>123</v>
      </c>
      <c r="I53">
        <v>150</v>
      </c>
      <c r="J53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3">
        <v>1</v>
      </c>
      <c r="N53" s="5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O53">
        <f>COUNTIF(J3:J62, "No Overlap (Pre-Int)")</f>
        <v>16</v>
      </c>
    </row>
    <row r="54" spans="1:15" x14ac:dyDescent="0.25">
      <c r="A54">
        <v>8</v>
      </c>
      <c r="B54" t="s">
        <v>86</v>
      </c>
      <c r="C54" t="s">
        <v>40</v>
      </c>
      <c r="D54">
        <v>118</v>
      </c>
      <c r="E54">
        <v>139</v>
      </c>
      <c r="F54">
        <v>21</v>
      </c>
      <c r="H54">
        <v>91</v>
      </c>
      <c r="I54">
        <v>118</v>
      </c>
      <c r="J54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4">
        <v>1</v>
      </c>
      <c r="N54" t="s">
        <v>211</v>
      </c>
      <c r="O54">
        <f>COUNTIF(J4:J63, "Overlap - Conflict After")</f>
        <v>16</v>
      </c>
    </row>
    <row r="55" spans="1:15" x14ac:dyDescent="0.25">
      <c r="A55">
        <v>9</v>
      </c>
      <c r="B55" t="s">
        <v>28</v>
      </c>
      <c r="C55" t="s">
        <v>10</v>
      </c>
      <c r="D55">
        <v>160</v>
      </c>
      <c r="E55">
        <v>176</v>
      </c>
      <c r="F55">
        <v>16</v>
      </c>
      <c r="H55">
        <v>133</v>
      </c>
      <c r="I55">
        <v>160</v>
      </c>
      <c r="J55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5">
        <v>1</v>
      </c>
    </row>
    <row r="56" spans="1:15" x14ac:dyDescent="0.25">
      <c r="A56">
        <v>10</v>
      </c>
      <c r="B56" t="s">
        <v>162</v>
      </c>
      <c r="C56" t="s">
        <v>225</v>
      </c>
      <c r="D56">
        <v>150</v>
      </c>
      <c r="E56">
        <v>162</v>
      </c>
      <c r="F56">
        <v>12</v>
      </c>
      <c r="H56">
        <v>123</v>
      </c>
      <c r="I56">
        <v>150</v>
      </c>
      <c r="J56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6">
        <v>1</v>
      </c>
    </row>
    <row r="57" spans="1:15" x14ac:dyDescent="0.25">
      <c r="A57">
        <v>11</v>
      </c>
      <c r="B57" t="s">
        <v>61</v>
      </c>
      <c r="C57" t="s">
        <v>226</v>
      </c>
      <c r="D57">
        <v>171</v>
      </c>
      <c r="E57">
        <v>190</v>
      </c>
      <c r="F57">
        <v>19</v>
      </c>
      <c r="H57">
        <v>144</v>
      </c>
      <c r="I57">
        <v>171</v>
      </c>
      <c r="J57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7">
        <v>1</v>
      </c>
    </row>
    <row r="58" spans="1:15" x14ac:dyDescent="0.25">
      <c r="A58">
        <v>12</v>
      </c>
      <c r="B58" t="s">
        <v>227</v>
      </c>
      <c r="C58" t="s">
        <v>228</v>
      </c>
      <c r="D58">
        <v>147</v>
      </c>
      <c r="E58">
        <v>170</v>
      </c>
      <c r="F58">
        <v>23</v>
      </c>
      <c r="H58">
        <v>120</v>
      </c>
      <c r="I58">
        <v>147</v>
      </c>
      <c r="J58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8">
        <v>1</v>
      </c>
    </row>
    <row r="59" spans="1:15" x14ac:dyDescent="0.25">
      <c r="A59">
        <v>13</v>
      </c>
      <c r="B59" t="s">
        <v>89</v>
      </c>
      <c r="C59" t="s">
        <v>96</v>
      </c>
      <c r="D59">
        <v>133</v>
      </c>
      <c r="E59">
        <v>148</v>
      </c>
      <c r="F59">
        <v>15</v>
      </c>
      <c r="H59">
        <v>106</v>
      </c>
      <c r="I59">
        <v>133</v>
      </c>
      <c r="J59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59">
        <v>1</v>
      </c>
    </row>
    <row r="60" spans="1:15" x14ac:dyDescent="0.25">
      <c r="A60">
        <v>14</v>
      </c>
      <c r="B60" t="s">
        <v>99</v>
      </c>
      <c r="C60" t="s">
        <v>229</v>
      </c>
      <c r="D60">
        <v>138</v>
      </c>
      <c r="E60">
        <v>156</v>
      </c>
      <c r="F60">
        <v>18</v>
      </c>
      <c r="H60">
        <v>111</v>
      </c>
      <c r="I60">
        <v>138</v>
      </c>
      <c r="J60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60">
        <v>1</v>
      </c>
    </row>
    <row r="61" spans="1:15" x14ac:dyDescent="0.25">
      <c r="A61">
        <v>15</v>
      </c>
      <c r="B61" t="s">
        <v>115</v>
      </c>
      <c r="C61" t="s">
        <v>64</v>
      </c>
      <c r="D61">
        <v>171</v>
      </c>
      <c r="E61">
        <v>187</v>
      </c>
      <c r="F61">
        <v>16</v>
      </c>
      <c r="H61">
        <v>144</v>
      </c>
      <c r="I61">
        <v>171</v>
      </c>
      <c r="J61" t="str">
        <f>IF(Table20[[#This Row],[Time 2]]&lt;Table20[[#This Row],[Int Start]],"No Overlap (Pre-Int)",IF(Table20[[#This Row],[Time 1]]&gt;Table20[[#This Row],[Int Stop]],"No overlap (Post-Int)",IF((AND(Table20[[#This Row],[Time 2]]&gt;Table20[[#This Row],[Int Stop]],Table20[[#This Row],[Time 1]]&lt;Table20[[#This Row],[Int Stop]])),"Overlap - Conflict After",IF(Table20[[#This Row],[RT]]&gt;0,"Resumption Task", "Serious Error"))))</f>
        <v>Resumption Task</v>
      </c>
      <c r="K61">
        <v>1</v>
      </c>
    </row>
  </sheetData>
  <dataConsolidate function="count">
    <dataRefs count="1">
      <dataRef ref="A2:A61" sheet="Conflicts"/>
    </dataRefs>
  </dataConsolid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2:P50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192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 t="s">
        <v>16</v>
      </c>
      <c r="M5" s="2">
        <v>8</v>
      </c>
      <c r="N5" s="2" t="s">
        <v>22</v>
      </c>
      <c r="O5" s="2" t="s">
        <v>23</v>
      </c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 t="s">
        <v>10</v>
      </c>
      <c r="M6" s="2">
        <v>8</v>
      </c>
      <c r="N6" s="2" t="s">
        <v>22</v>
      </c>
      <c r="O6" s="2" t="s">
        <v>23</v>
      </c>
    </row>
    <row r="7" spans="1:15" x14ac:dyDescent="0.25">
      <c r="A7" s="23" t="s">
        <v>14</v>
      </c>
      <c r="B7" s="23" t="s">
        <v>26</v>
      </c>
      <c r="C7" s="7">
        <v>0</v>
      </c>
      <c r="D7" s="8">
        <v>38</v>
      </c>
      <c r="E7" s="9">
        <f>Table4[[#This Row],[Time 2]]-Table4[[#This Row],[Time 1]]</f>
        <v>38</v>
      </c>
      <c r="G7">
        <f>'Key Times'!C2</f>
        <v>120</v>
      </c>
      <c r="H7" s="9">
        <f>Table4[[#This Row],[Int Time Start]]+27</f>
        <v>147</v>
      </c>
      <c r="I7" t="str">
        <f>IF(Table4[[#This Row],[Time 2]]&lt;Table4[[#This Row],[Int Time Start]],"No Overlap (PRE)",IF(Table4[[#This Row],[Time 1]]&gt;Table4[[#This Row],[Int End]],"No overlap (POST)",IF((AND(Table4[[#This Row],[Time 2]]&gt;Table4[[#This Row],[Int End]],Table4[[#This Row],[Time 1]]&lt;Table4[[#This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" t="s">
        <v>102</v>
      </c>
      <c r="B8" s="3" t="s">
        <v>100</v>
      </c>
      <c r="C8">
        <v>0</v>
      </c>
      <c r="D8" s="7">
        <v>91</v>
      </c>
      <c r="E8" s="9">
        <f>Table4[[#This Row],[Time 2]]-Table4[[#This Row],[Time 1]]</f>
        <v>91</v>
      </c>
      <c r="F8" s="10">
        <v>9</v>
      </c>
      <c r="G8">
        <f t="shared" ref="G8:H10" si="0">G7</f>
        <v>120</v>
      </c>
      <c r="H8" s="9">
        <f t="shared" si="0"/>
        <v>147</v>
      </c>
      <c r="I8" t="str">
        <f>IF(Table4[[#This Row],[Time 2]]&lt;Table4[[#This Row],[Int Time Start]],"No Overlap (PRE)",IF(Table4[[#This Row],[Time 1]]&gt;Table4[[#This Row],[Int End]],"No overlap (POST)",IF((AND(Table4[[#This Row],[Time 2]]&gt;Table4[[#This Row],[Int End]],Table4[[#This Row],[Time 1]]&lt;Table4[[#This Row],[Int End]])),"OVERLAP CONFLICT AFTER","SERIOUS PROBLEM")))</f>
        <v>No Overlap (PRE)</v>
      </c>
      <c r="L8" s="2"/>
      <c r="M8" s="2"/>
      <c r="N8" s="2"/>
      <c r="O8" s="2"/>
    </row>
    <row r="9" spans="1:15" x14ac:dyDescent="0.25">
      <c r="A9" s="23" t="s">
        <v>75</v>
      </c>
      <c r="B9" s="23" t="s">
        <v>74</v>
      </c>
      <c r="C9">
        <v>147</v>
      </c>
      <c r="D9">
        <v>170</v>
      </c>
      <c r="E9" s="9">
        <f>Table4[[#This Row],[Time 2]]-Table4[[#This Row],[Time 1]]</f>
        <v>23</v>
      </c>
      <c r="F9">
        <v>5</v>
      </c>
      <c r="G9">
        <f t="shared" si="0"/>
        <v>120</v>
      </c>
      <c r="H9" s="9">
        <f t="shared" si="0"/>
        <v>147</v>
      </c>
      <c r="I9" t="str">
        <f>IF(Table4[[#This Row],[Time 2]]&lt;Table4[[#This Row],[Int Time Start]],"No Overlap (PRE)",IF(Table4[[#This Row],[Time 1]]&gt;Table4[[#This Row],[Int End]],"No overlap (POST)",IF((AND(Table4[[#This Row],[Time 2]]&gt;Table4[[#This Row],[Int End]],Table4[[#This Row],[Time 1]]&lt;Table4[[#This Row],[Int End]])),"OVERLAP CONFLICT AFTER","SERIOUS PROBLEM")))</f>
        <v>SERIOUS PROBLEM</v>
      </c>
      <c r="L9" s="2"/>
      <c r="M9" s="2"/>
      <c r="N9" s="2"/>
      <c r="O9" s="2"/>
    </row>
    <row r="10" spans="1:15" x14ac:dyDescent="0.25">
      <c r="A10" s="23" t="s">
        <v>106</v>
      </c>
      <c r="B10" s="23" t="s">
        <v>105</v>
      </c>
      <c r="C10">
        <v>119</v>
      </c>
      <c r="D10">
        <v>210</v>
      </c>
      <c r="E10" s="9">
        <f>Table4[[#This Row],[Time 2]]-Table4[[#This Row],[Time 1]]</f>
        <v>91</v>
      </c>
      <c r="F10">
        <v>3</v>
      </c>
      <c r="G10">
        <f t="shared" si="0"/>
        <v>120</v>
      </c>
      <c r="H10" s="9">
        <f t="shared" si="0"/>
        <v>147</v>
      </c>
      <c r="I10" t="str">
        <f>IF(Table4[[#This Row],[Time 2]]&lt;Table4[[#This Row],[Int Time Start]],"No Overlap (PRE)",IF(Table4[[#This Row],[Time 1]]&gt;Table4[[#This Row],[Int End]],"No overlap (POST)",IF((AND(Table4[[#This Row],[Time 2]]&gt;Table4[[#This Row],[Int End]],Table4[[#This Row],[Time 1]]&lt;Table4[[#This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D16" t="s">
        <v>191</v>
      </c>
      <c r="L16" s="2"/>
      <c r="M16" s="2"/>
      <c r="N16" s="2"/>
      <c r="O16" s="2"/>
    </row>
    <row r="17" spans="1:16" x14ac:dyDescent="0.25">
      <c r="D17" t="s">
        <v>146</v>
      </c>
      <c r="L17" s="2"/>
      <c r="M17" s="2"/>
      <c r="N17" s="2"/>
      <c r="O17" s="2"/>
    </row>
    <row r="18" spans="1:16" x14ac:dyDescent="0.25">
      <c r="L18" s="2"/>
      <c r="M18" s="2"/>
      <c r="N18" s="2"/>
      <c r="O18" s="2"/>
    </row>
    <row r="19" spans="1:16" x14ac:dyDescent="0.25">
      <c r="L19" s="2"/>
      <c r="M19" s="2"/>
      <c r="N19" s="2"/>
      <c r="O19" s="2"/>
    </row>
    <row r="20" spans="1:16" x14ac:dyDescent="0.25">
      <c r="L20" s="2"/>
      <c r="M20" s="2"/>
      <c r="N20" s="2"/>
      <c r="O20" s="2"/>
    </row>
    <row r="21" spans="1:16" x14ac:dyDescent="0.25">
      <c r="L21" s="2"/>
      <c r="M21" s="2"/>
      <c r="N21" s="2"/>
      <c r="O21" s="2"/>
    </row>
    <row r="22" spans="1:16" x14ac:dyDescent="0.25">
      <c r="A22" s="13"/>
      <c r="B22" s="10"/>
      <c r="C22" s="10"/>
      <c r="D22" s="11"/>
      <c r="E22" s="13"/>
      <c r="F22" s="9"/>
      <c r="I22" s="13"/>
    </row>
    <row r="23" spans="1:16" x14ac:dyDescent="0.25">
      <c r="A23" s="6"/>
      <c r="D23" s="11"/>
      <c r="E23" s="6"/>
      <c r="F23" s="9"/>
      <c r="I23" s="6"/>
    </row>
    <row r="24" spans="1:16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  <c r="L24" t="s">
        <v>80</v>
      </c>
      <c r="M24" t="s">
        <v>79</v>
      </c>
      <c r="N24" t="s">
        <v>78</v>
      </c>
      <c r="O24" t="s">
        <v>77</v>
      </c>
      <c r="P24" t="s">
        <v>76</v>
      </c>
    </row>
    <row r="25" spans="1:16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  <c r="L25" t="s">
        <v>75</v>
      </c>
      <c r="M25" t="s">
        <v>60</v>
      </c>
      <c r="N25">
        <v>0</v>
      </c>
      <c r="O25">
        <v>35000</v>
      </c>
      <c r="P25">
        <v>430</v>
      </c>
    </row>
    <row r="26" spans="1:16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  <c r="L26" t="s">
        <v>74</v>
      </c>
      <c r="M26" t="s">
        <v>57</v>
      </c>
      <c r="N26">
        <v>0</v>
      </c>
      <c r="O26">
        <v>33000</v>
      </c>
      <c r="P26">
        <v>430</v>
      </c>
    </row>
    <row r="27" spans="1:16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  <c r="L27" t="s">
        <v>95</v>
      </c>
      <c r="M27" t="s">
        <v>69</v>
      </c>
      <c r="N27">
        <v>0</v>
      </c>
      <c r="O27">
        <v>33000</v>
      </c>
      <c r="P27">
        <v>430</v>
      </c>
    </row>
    <row r="28" spans="1:16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  <c r="L28" t="s">
        <v>27</v>
      </c>
      <c r="M28" t="s">
        <v>59</v>
      </c>
      <c r="N28">
        <v>0</v>
      </c>
      <c r="O28">
        <v>34000</v>
      </c>
      <c r="P28">
        <v>440</v>
      </c>
    </row>
    <row r="29" spans="1:16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  <c r="L29" t="s">
        <v>96</v>
      </c>
      <c r="M29" t="s">
        <v>60</v>
      </c>
      <c r="N29">
        <v>0</v>
      </c>
      <c r="O29">
        <v>37000</v>
      </c>
      <c r="P29">
        <v>450</v>
      </c>
    </row>
    <row r="30" spans="1:16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  <c r="L30" t="s">
        <v>9</v>
      </c>
      <c r="M30" t="s">
        <v>59</v>
      </c>
      <c r="N30">
        <v>0</v>
      </c>
      <c r="O30">
        <v>34000</v>
      </c>
      <c r="P30">
        <v>480</v>
      </c>
    </row>
    <row r="31" spans="1:16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  <c r="L31" t="s">
        <v>97</v>
      </c>
      <c r="M31" t="s">
        <v>55</v>
      </c>
      <c r="N31">
        <v>0</v>
      </c>
      <c r="O31">
        <v>34000</v>
      </c>
      <c r="P31">
        <v>430</v>
      </c>
    </row>
    <row r="32" spans="1:16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  <c r="L32" t="s">
        <v>98</v>
      </c>
      <c r="M32" t="s">
        <v>70</v>
      </c>
      <c r="N32">
        <v>0</v>
      </c>
      <c r="O32">
        <v>33000</v>
      </c>
      <c r="P32">
        <v>480</v>
      </c>
    </row>
    <row r="33" spans="1:16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  <c r="L33" t="s">
        <v>99</v>
      </c>
      <c r="M33" t="s">
        <v>59</v>
      </c>
      <c r="N33">
        <v>0</v>
      </c>
      <c r="O33">
        <v>30000</v>
      </c>
      <c r="P33">
        <v>490</v>
      </c>
    </row>
    <row r="34" spans="1:16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  <c r="L34" t="s">
        <v>100</v>
      </c>
      <c r="M34" t="s">
        <v>60</v>
      </c>
      <c r="N34">
        <v>0</v>
      </c>
      <c r="O34">
        <v>41000</v>
      </c>
      <c r="P34">
        <v>490</v>
      </c>
    </row>
    <row r="35" spans="1:16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  <c r="L35" t="s">
        <v>26</v>
      </c>
      <c r="M35" t="s">
        <v>60</v>
      </c>
      <c r="N35">
        <v>0</v>
      </c>
      <c r="O35">
        <v>39000</v>
      </c>
      <c r="P35">
        <v>510</v>
      </c>
    </row>
    <row r="36" spans="1:16" x14ac:dyDescent="0.25">
      <c r="L36" t="s">
        <v>14</v>
      </c>
      <c r="M36" t="s">
        <v>60</v>
      </c>
      <c r="N36">
        <v>0</v>
      </c>
      <c r="O36">
        <v>39000</v>
      </c>
      <c r="P36">
        <v>510</v>
      </c>
    </row>
    <row r="37" spans="1:16" x14ac:dyDescent="0.25">
      <c r="L37" t="s">
        <v>101</v>
      </c>
      <c r="M37" t="s">
        <v>60</v>
      </c>
      <c r="N37">
        <v>135</v>
      </c>
      <c r="O37">
        <v>35000</v>
      </c>
      <c r="P37">
        <v>460</v>
      </c>
    </row>
    <row r="38" spans="1:16" x14ac:dyDescent="0.25">
      <c r="L38" t="s">
        <v>102</v>
      </c>
      <c r="M38" t="s">
        <v>70</v>
      </c>
      <c r="N38">
        <v>0</v>
      </c>
      <c r="O38">
        <v>41000</v>
      </c>
      <c r="P38">
        <v>480</v>
      </c>
    </row>
    <row r="39" spans="1:16" x14ac:dyDescent="0.25">
      <c r="L39" t="s">
        <v>103</v>
      </c>
      <c r="M39" t="s">
        <v>69</v>
      </c>
      <c r="N39">
        <v>167</v>
      </c>
      <c r="O39">
        <v>39000</v>
      </c>
      <c r="P39">
        <v>450</v>
      </c>
    </row>
    <row r="40" spans="1:16" x14ac:dyDescent="0.25">
      <c r="L40" t="s">
        <v>104</v>
      </c>
      <c r="M40" t="s">
        <v>70</v>
      </c>
      <c r="N40">
        <v>0</v>
      </c>
      <c r="O40">
        <v>38000</v>
      </c>
      <c r="P40">
        <v>510</v>
      </c>
    </row>
    <row r="41" spans="1:16" x14ac:dyDescent="0.25">
      <c r="L41" t="s">
        <v>105</v>
      </c>
      <c r="M41" t="s">
        <v>70</v>
      </c>
      <c r="N41">
        <v>84</v>
      </c>
      <c r="O41">
        <v>38000</v>
      </c>
      <c r="P41">
        <v>510</v>
      </c>
    </row>
    <row r="42" spans="1:16" x14ac:dyDescent="0.25">
      <c r="L42" t="s">
        <v>106</v>
      </c>
      <c r="M42" t="s">
        <v>70</v>
      </c>
      <c r="N42">
        <v>100</v>
      </c>
      <c r="O42">
        <v>38000</v>
      </c>
      <c r="P42">
        <v>510</v>
      </c>
    </row>
    <row r="43" spans="1:16" x14ac:dyDescent="0.25">
      <c r="L43" t="s">
        <v>44</v>
      </c>
      <c r="M43" t="s">
        <v>62</v>
      </c>
      <c r="N43">
        <v>180</v>
      </c>
      <c r="O43">
        <v>32000</v>
      </c>
      <c r="P43">
        <v>480</v>
      </c>
    </row>
    <row r="44" spans="1:16" x14ac:dyDescent="0.25">
      <c r="L44" t="s">
        <v>107</v>
      </c>
      <c r="M44" t="s">
        <v>55</v>
      </c>
      <c r="N44">
        <v>166</v>
      </c>
      <c r="O44">
        <v>35000</v>
      </c>
      <c r="P44">
        <v>460</v>
      </c>
    </row>
    <row r="45" spans="1:16" x14ac:dyDescent="0.25">
      <c r="L45" t="s">
        <v>66</v>
      </c>
      <c r="M45" t="s">
        <v>57</v>
      </c>
      <c r="N45">
        <v>80</v>
      </c>
      <c r="O45">
        <v>42000</v>
      </c>
      <c r="P45">
        <v>490</v>
      </c>
    </row>
    <row r="46" spans="1:16" x14ac:dyDescent="0.25">
      <c r="L46" t="s">
        <v>30</v>
      </c>
      <c r="M46" t="s">
        <v>60</v>
      </c>
      <c r="N46">
        <v>160</v>
      </c>
      <c r="O46">
        <v>39000</v>
      </c>
      <c r="P46">
        <v>450</v>
      </c>
    </row>
    <row r="47" spans="1:16" x14ac:dyDescent="0.25">
      <c r="L47" t="s">
        <v>56</v>
      </c>
      <c r="M47" t="s">
        <v>55</v>
      </c>
      <c r="N47">
        <v>225</v>
      </c>
      <c r="O47">
        <v>35000</v>
      </c>
      <c r="P47">
        <v>480</v>
      </c>
    </row>
    <row r="48" spans="1:16" x14ac:dyDescent="0.25">
      <c r="L48" t="s">
        <v>108</v>
      </c>
      <c r="M48" t="s">
        <v>60</v>
      </c>
      <c r="N48">
        <v>5</v>
      </c>
      <c r="O48">
        <v>36000</v>
      </c>
      <c r="P48">
        <v>490</v>
      </c>
    </row>
    <row r="49" spans="12:16" x14ac:dyDescent="0.25">
      <c r="L49" t="s">
        <v>109</v>
      </c>
      <c r="M49" t="s">
        <v>57</v>
      </c>
      <c r="N49">
        <v>230</v>
      </c>
      <c r="O49">
        <v>40000</v>
      </c>
      <c r="P49">
        <v>500</v>
      </c>
    </row>
    <row r="50" spans="12:16" x14ac:dyDescent="0.25">
      <c r="L50" t="s">
        <v>110</v>
      </c>
      <c r="M50" t="s">
        <v>69</v>
      </c>
      <c r="N50">
        <v>247</v>
      </c>
      <c r="O50">
        <v>36000</v>
      </c>
      <c r="P50">
        <v>500</v>
      </c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2:S48"/>
  <sheetViews>
    <sheetView workbookViewId="0">
      <selection activeCell="A7" sqref="A7:I10"/>
    </sheetView>
  </sheetViews>
  <sheetFormatPr defaultRowHeight="15" x14ac:dyDescent="0.25"/>
  <cols>
    <col min="9" max="9" width="15.14062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25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 t="s">
        <v>16</v>
      </c>
      <c r="M5" s="2">
        <v>8</v>
      </c>
      <c r="N5" s="2" t="s">
        <v>22</v>
      </c>
      <c r="O5" s="2" t="s">
        <v>23</v>
      </c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 t="s">
        <v>10</v>
      </c>
      <c r="M6" s="2">
        <v>8</v>
      </c>
      <c r="N6" s="2" t="s">
        <v>22</v>
      </c>
      <c r="O6" s="2" t="s">
        <v>23</v>
      </c>
    </row>
    <row r="7" spans="1:15" x14ac:dyDescent="0.25">
      <c r="A7" t="s">
        <v>48</v>
      </c>
      <c r="B7" t="s">
        <v>12</v>
      </c>
      <c r="C7" s="7">
        <v>0</v>
      </c>
      <c r="D7" s="8">
        <v>123</v>
      </c>
      <c r="E7" s="9">
        <f>Table49[[#This Row],[Time 2]]-Table49[[#This Row],[Time 1]]</f>
        <v>123</v>
      </c>
      <c r="F7">
        <v>9</v>
      </c>
      <c r="G7">
        <f>'Key Times'!C3</f>
        <v>142</v>
      </c>
      <c r="H7" s="9">
        <f>Table49[[#This Row],[Int Time Start]]+27</f>
        <v>169</v>
      </c>
      <c r="I7" t="str">
        <f>IF(Table49[[#This Row],[Time 2]]&lt;Table49[[#This Row],[Int Time Start]],"No Overlap (PRE)",IF(Table49[[#This Row],[Time 1]]&gt;Table49[[#This Row],[Int End]],"No overlap (POST)",IF((AND(Table49[[#This Row],[Time 2]]&gt;Table49[[#This Row],[Int End]],Table49[[#This Row],[Time 1]]&lt;Table49[[#This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10" t="s">
        <v>75</v>
      </c>
      <c r="B8" s="10" t="s">
        <v>74</v>
      </c>
      <c r="C8">
        <v>169</v>
      </c>
      <c r="D8" s="7">
        <v>180</v>
      </c>
      <c r="E8" s="9">
        <f>Table49[[#This Row],[Time 2]]-Table49[[#This Row],[Time 1]]</f>
        <v>11</v>
      </c>
      <c r="F8" s="10">
        <v>8</v>
      </c>
      <c r="G8">
        <f t="shared" ref="G8:H10" si="0">G7</f>
        <v>142</v>
      </c>
      <c r="H8" s="9">
        <f t="shared" si="0"/>
        <v>169</v>
      </c>
      <c r="I8" t="str">
        <f>IF(Table49[[#This Row],[Time 2]]&lt;Table49[[#This Row],[Int Time Start]],"No Overlap (PRE)",IF(Table49[[#This Row],[Time 1]]&gt;Table49[[#This Row],[Int End]],"No overlap (POST)",IF((AND(Table49[[#This Row],[Time 2]]&gt;Table49[[#This Row],[Int End]],Table49[[#This Row],[Time 1]]&lt;Table49[[#This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t="s">
        <v>39</v>
      </c>
      <c r="B9" t="s">
        <v>28</v>
      </c>
      <c r="C9">
        <v>110</v>
      </c>
      <c r="D9">
        <v>212</v>
      </c>
      <c r="E9" s="9">
        <f>Table49[[#This Row],[Time 2]]-Table49[[#This Row],[Time 1]]</f>
        <v>102</v>
      </c>
      <c r="F9">
        <v>1</v>
      </c>
      <c r="G9">
        <f t="shared" si="0"/>
        <v>142</v>
      </c>
      <c r="H9" s="9">
        <f t="shared" si="0"/>
        <v>169</v>
      </c>
      <c r="I9" t="str">
        <f>IF(Table49[[#This Row],[Time 2]]&lt;Table49[[#This Row],[Int Time Start]],"No Overlap (PRE)",IF(Table49[[#This Row],[Time 1]]&gt;Table49[[#This Row],[Int End]],"No overlap (POST)",IF((AND(Table49[[#This Row],[Time 2]]&gt;Table49[[#This Row],[Int End]],Table49[[#This Row],[Time 1]]&lt;Table49[[#This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t="s">
        <v>88</v>
      </c>
      <c r="B10" t="s">
        <v>83</v>
      </c>
      <c r="C10">
        <v>80</v>
      </c>
      <c r="D10">
        <v>245</v>
      </c>
      <c r="E10" s="9">
        <f>Table49[[#This Row],[Time 2]]-Table49[[#This Row],[Time 1]]</f>
        <v>165</v>
      </c>
      <c r="F10">
        <v>2</v>
      </c>
      <c r="G10">
        <f t="shared" si="0"/>
        <v>142</v>
      </c>
      <c r="H10" s="9">
        <f t="shared" si="0"/>
        <v>169</v>
      </c>
      <c r="I10" t="str">
        <f>IF(Table49[[#This Row],[Time 2]]&lt;Table49[[#This Row],[Int Time Start]],"No Overlap (PRE)",IF(Table49[[#This Row],[Time 1]]&gt;Table49[[#This Row],[Int End]],"No overlap (POST)",IF((AND(Table49[[#This Row],[Time 2]]&gt;Table49[[#This Row],[Int End]],Table49[[#This Row],[Time 1]]&lt;Table49[[#This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E11" s="9"/>
      <c r="H11" s="9"/>
      <c r="L11" s="2"/>
      <c r="M11" s="2"/>
      <c r="N11" s="2"/>
      <c r="O11" s="2"/>
    </row>
    <row r="12" spans="1:15" x14ac:dyDescent="0.25">
      <c r="H12" s="9"/>
      <c r="L12" s="2"/>
      <c r="M12" s="2"/>
      <c r="N12" s="2"/>
      <c r="O12" s="2"/>
    </row>
    <row r="13" spans="1:15" x14ac:dyDescent="0.25">
      <c r="E13" s="9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9" x14ac:dyDescent="0.25">
      <c r="L17" s="2"/>
      <c r="M17" s="2"/>
      <c r="N17" s="2"/>
      <c r="O17" s="2"/>
    </row>
    <row r="18" spans="1:19" x14ac:dyDescent="0.25">
      <c r="L18" s="2"/>
      <c r="M18" s="2"/>
      <c r="N18" s="2"/>
      <c r="O18" s="2"/>
    </row>
    <row r="19" spans="1:19" x14ac:dyDescent="0.25">
      <c r="L19" s="2"/>
      <c r="M19" s="2"/>
      <c r="N19" s="2"/>
      <c r="O19" s="2"/>
    </row>
    <row r="20" spans="1:19" x14ac:dyDescent="0.25">
      <c r="L20" s="2"/>
      <c r="M20" s="2"/>
      <c r="N20" s="2"/>
      <c r="O20" s="2"/>
    </row>
    <row r="21" spans="1:19" x14ac:dyDescent="0.25">
      <c r="L21" s="2"/>
      <c r="M21" s="2"/>
      <c r="N21" s="2"/>
      <c r="O21" s="2"/>
    </row>
    <row r="22" spans="1:19" x14ac:dyDescent="0.25">
      <c r="A22" s="13"/>
      <c r="B22" s="10"/>
      <c r="C22" s="10"/>
      <c r="D22" s="11"/>
      <c r="E22" s="13"/>
      <c r="F22" s="9"/>
      <c r="I22" s="13"/>
    </row>
    <row r="23" spans="1:19" x14ac:dyDescent="0.25">
      <c r="A23" s="6"/>
      <c r="D23" s="11"/>
      <c r="E23" s="6"/>
      <c r="F23" s="9"/>
      <c r="I23" s="6"/>
    </row>
    <row r="24" spans="1:19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  <c r="N24" t="s">
        <v>80</v>
      </c>
      <c r="O24" t="s">
        <v>79</v>
      </c>
      <c r="P24" t="s">
        <v>78</v>
      </c>
      <c r="Q24" t="s">
        <v>77</v>
      </c>
      <c r="R24" t="s">
        <v>76</v>
      </c>
      <c r="S24" t="s">
        <v>81</v>
      </c>
    </row>
    <row r="25" spans="1:19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  <c r="N25" t="s">
        <v>75</v>
      </c>
      <c r="O25" t="s">
        <v>62</v>
      </c>
      <c r="P25">
        <v>0</v>
      </c>
      <c r="Q25">
        <v>32000</v>
      </c>
      <c r="R25">
        <v>430</v>
      </c>
    </row>
    <row r="26" spans="1:19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  <c r="N26" t="s">
        <v>74</v>
      </c>
      <c r="O26" t="s">
        <v>60</v>
      </c>
      <c r="P26">
        <v>68</v>
      </c>
      <c r="Q26">
        <v>34000</v>
      </c>
      <c r="R26">
        <v>480</v>
      </c>
    </row>
    <row r="27" spans="1:19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  <c r="N27" t="s">
        <v>82</v>
      </c>
      <c r="O27" t="s">
        <v>69</v>
      </c>
      <c r="P27">
        <v>0</v>
      </c>
      <c r="Q27">
        <v>46000</v>
      </c>
      <c r="R27">
        <v>450</v>
      </c>
    </row>
    <row r="28" spans="1:19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  <c r="N28" t="s">
        <v>83</v>
      </c>
      <c r="O28" t="s">
        <v>60</v>
      </c>
      <c r="P28">
        <v>0</v>
      </c>
      <c r="Q28">
        <v>36000</v>
      </c>
      <c r="R28">
        <v>480</v>
      </c>
    </row>
    <row r="29" spans="1:19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  <c r="N29" t="s">
        <v>28</v>
      </c>
      <c r="O29" t="s">
        <v>69</v>
      </c>
      <c r="P29">
        <v>0</v>
      </c>
      <c r="Q29">
        <v>39000</v>
      </c>
      <c r="R29">
        <v>450</v>
      </c>
    </row>
    <row r="30" spans="1:19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  <c r="N30" t="s">
        <v>84</v>
      </c>
      <c r="O30" t="s">
        <v>70</v>
      </c>
      <c r="P30">
        <v>0</v>
      </c>
      <c r="Q30">
        <v>40000</v>
      </c>
      <c r="R30">
        <v>480</v>
      </c>
    </row>
    <row r="31" spans="1:19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  <c r="N31" t="s">
        <v>10</v>
      </c>
      <c r="O31" t="s">
        <v>60</v>
      </c>
      <c r="P31">
        <v>0</v>
      </c>
      <c r="Q31">
        <v>43000</v>
      </c>
      <c r="R31">
        <v>440</v>
      </c>
    </row>
    <row r="32" spans="1:19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  <c r="N32" t="s">
        <v>85</v>
      </c>
      <c r="O32" t="s">
        <v>60</v>
      </c>
      <c r="P32">
        <v>0</v>
      </c>
      <c r="Q32">
        <v>35000</v>
      </c>
      <c r="R32">
        <v>440</v>
      </c>
    </row>
    <row r="33" spans="1:18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  <c r="N33" t="s">
        <v>86</v>
      </c>
      <c r="O33" t="s">
        <v>60</v>
      </c>
      <c r="P33">
        <v>0</v>
      </c>
      <c r="Q33">
        <v>38000</v>
      </c>
      <c r="R33">
        <v>490</v>
      </c>
    </row>
    <row r="34" spans="1:18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  <c r="N34" t="s">
        <v>67</v>
      </c>
      <c r="O34" t="s">
        <v>70</v>
      </c>
      <c r="P34">
        <v>0</v>
      </c>
      <c r="Q34">
        <v>33000</v>
      </c>
      <c r="R34">
        <v>420</v>
      </c>
    </row>
    <row r="35" spans="1:18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  <c r="N35" t="s">
        <v>87</v>
      </c>
      <c r="O35" t="s">
        <v>57</v>
      </c>
      <c r="P35">
        <v>0</v>
      </c>
      <c r="Q35">
        <v>39000</v>
      </c>
      <c r="R35">
        <v>470</v>
      </c>
    </row>
    <row r="36" spans="1:18" x14ac:dyDescent="0.25">
      <c r="N36" t="s">
        <v>48</v>
      </c>
      <c r="O36" t="s">
        <v>65</v>
      </c>
      <c r="P36">
        <v>0</v>
      </c>
      <c r="Q36">
        <v>35000</v>
      </c>
      <c r="R36">
        <v>450</v>
      </c>
    </row>
    <row r="37" spans="1:18" x14ac:dyDescent="0.25">
      <c r="N37" t="s">
        <v>88</v>
      </c>
      <c r="O37" t="s">
        <v>60</v>
      </c>
      <c r="P37">
        <v>0</v>
      </c>
      <c r="Q37">
        <v>36000</v>
      </c>
      <c r="R37">
        <v>480</v>
      </c>
    </row>
    <row r="38" spans="1:18" x14ac:dyDescent="0.25">
      <c r="N38" t="s">
        <v>89</v>
      </c>
      <c r="O38" t="s">
        <v>60</v>
      </c>
      <c r="P38">
        <v>0</v>
      </c>
      <c r="Q38">
        <v>31000</v>
      </c>
      <c r="R38">
        <v>470</v>
      </c>
    </row>
    <row r="39" spans="1:18" x14ac:dyDescent="0.25">
      <c r="N39" t="s">
        <v>12</v>
      </c>
      <c r="O39" t="s">
        <v>55</v>
      </c>
      <c r="P39">
        <v>0</v>
      </c>
      <c r="Q39">
        <v>35000</v>
      </c>
      <c r="R39">
        <v>460</v>
      </c>
    </row>
    <row r="40" spans="1:18" x14ac:dyDescent="0.25">
      <c r="N40" t="s">
        <v>90</v>
      </c>
      <c r="O40" t="s">
        <v>55</v>
      </c>
      <c r="P40">
        <v>157</v>
      </c>
      <c r="Q40">
        <v>32000</v>
      </c>
      <c r="R40">
        <v>480</v>
      </c>
    </row>
    <row r="41" spans="1:18" x14ac:dyDescent="0.25">
      <c r="N41" t="s">
        <v>91</v>
      </c>
      <c r="O41" t="s">
        <v>55</v>
      </c>
      <c r="P41">
        <v>262</v>
      </c>
      <c r="Q41">
        <v>32000</v>
      </c>
      <c r="R41">
        <v>480</v>
      </c>
    </row>
    <row r="42" spans="1:18" x14ac:dyDescent="0.25">
      <c r="N42" t="s">
        <v>40</v>
      </c>
      <c r="O42" t="s">
        <v>55</v>
      </c>
      <c r="P42">
        <v>150</v>
      </c>
      <c r="Q42">
        <v>33000</v>
      </c>
      <c r="R42">
        <v>460</v>
      </c>
    </row>
    <row r="43" spans="1:18" x14ac:dyDescent="0.25">
      <c r="N43" t="s">
        <v>92</v>
      </c>
      <c r="O43" t="s">
        <v>70</v>
      </c>
      <c r="P43">
        <v>200</v>
      </c>
      <c r="Q43">
        <v>32000</v>
      </c>
      <c r="R43">
        <v>460</v>
      </c>
    </row>
    <row r="44" spans="1:18" x14ac:dyDescent="0.25">
      <c r="N44" t="s">
        <v>61</v>
      </c>
      <c r="O44" t="s">
        <v>60</v>
      </c>
      <c r="P44">
        <v>66</v>
      </c>
      <c r="Q44">
        <v>40000</v>
      </c>
      <c r="R44">
        <v>450</v>
      </c>
    </row>
    <row r="45" spans="1:18" x14ac:dyDescent="0.25">
      <c r="N45" t="s">
        <v>93</v>
      </c>
      <c r="O45" t="s">
        <v>57</v>
      </c>
      <c r="P45">
        <v>15</v>
      </c>
      <c r="Q45">
        <v>34000</v>
      </c>
      <c r="R45">
        <v>500</v>
      </c>
    </row>
    <row r="46" spans="1:18" x14ac:dyDescent="0.25">
      <c r="N46" t="s">
        <v>39</v>
      </c>
      <c r="O46" t="s">
        <v>57</v>
      </c>
      <c r="P46">
        <v>90</v>
      </c>
      <c r="Q46">
        <v>39000</v>
      </c>
      <c r="R46">
        <v>450</v>
      </c>
    </row>
    <row r="47" spans="1:18" x14ac:dyDescent="0.25">
      <c r="N47" t="s">
        <v>94</v>
      </c>
      <c r="O47" t="s">
        <v>62</v>
      </c>
      <c r="P47">
        <v>175</v>
      </c>
      <c r="Q47">
        <v>34000</v>
      </c>
      <c r="R47">
        <v>430</v>
      </c>
    </row>
    <row r="48" spans="1:18" x14ac:dyDescent="0.25">
      <c r="N48" t="s">
        <v>15</v>
      </c>
      <c r="O48" t="s">
        <v>60</v>
      </c>
      <c r="P48">
        <v>173</v>
      </c>
      <c r="Q48">
        <v>39000</v>
      </c>
      <c r="R48">
        <v>460</v>
      </c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2:P49"/>
  <sheetViews>
    <sheetView workbookViewId="0">
      <selection activeCell="I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  <col min="16" max="16" width="10.28515625" customWidth="1"/>
  </cols>
  <sheetData>
    <row r="2" spans="1:15" ht="18" x14ac:dyDescent="0.25">
      <c r="A2" s="12" t="s">
        <v>41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>
        <v>1</v>
      </c>
      <c r="M5" s="2" t="s">
        <v>42</v>
      </c>
      <c r="N5" s="2" t="s">
        <v>43</v>
      </c>
      <c r="O5" s="2" t="s">
        <v>23</v>
      </c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t="s">
        <v>44</v>
      </c>
      <c r="B7" t="s">
        <v>45</v>
      </c>
      <c r="C7" s="7">
        <v>0</v>
      </c>
      <c r="D7" s="8">
        <v>49</v>
      </c>
      <c r="E7" s="9">
        <f>Table46[[#This Row],[Time 2]]-Table46[[#This Row],[Time 1]]</f>
        <v>49</v>
      </c>
      <c r="G7" s="24">
        <v>95</v>
      </c>
      <c r="H7" s="9">
        <f>Table46[[#This Row],[Int Time Start]]+27</f>
        <v>122</v>
      </c>
      <c r="I7" t="str">
        <f>IF(Table46[[#This Row],[Time 2]]&lt;Table46[[#This Row],[Int Time Start]],"No Overlap (PRE)",IF(Table46[[#This Row],[Time 1]]&gt;Table46[[#This Row],[Int End]],"No overlap (POST)",IF((AND(Table46[[#This Row],[Time 2]]&gt;Table46[[#This Row],[Int End]],Table46[[#This Row],[Time 1]]&lt;Table46[[#This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23" t="s">
        <v>46</v>
      </c>
      <c r="B8" s="23" t="s">
        <v>47</v>
      </c>
      <c r="C8">
        <v>45</v>
      </c>
      <c r="D8">
        <f>120+47</f>
        <v>167</v>
      </c>
      <c r="E8" s="9">
        <f>Table46[[#This Row],[Time 2]]-Table46[[#This Row],[Time 1]]</f>
        <v>122</v>
      </c>
      <c r="G8" s="24">
        <v>95</v>
      </c>
      <c r="H8" s="9">
        <f>Table46[[#This Row],[Int Time Start]]+27</f>
        <v>122</v>
      </c>
      <c r="I8" t="str">
        <f>IF(Table46[[#This Row],[Time 2]]&lt;Table46[[#This Row],[Int Time Start]],"No Overlap (PRE)",IF(Table46[[#This Row],[Time 1]]&gt;Table46[[#This Row],[Int End]],"No overlap (POST)",IF((AND(Table46[[#This Row],[Time 2]]&gt;Table46[[#This Row],[Int End]],Table46[[#This Row],[Time 1]]&lt;Table46[[#This Row],[Int End]])),"OVERLAP CONFLICT AFTER","SERIOUS PROBLEM")))</f>
        <v>OVERLAP CONFLICT AFTER</v>
      </c>
      <c r="L8" s="2"/>
      <c r="M8" s="2"/>
      <c r="N8" s="2"/>
      <c r="O8" s="2"/>
    </row>
    <row r="9" spans="1:15" x14ac:dyDescent="0.25">
      <c r="A9" t="s">
        <v>11</v>
      </c>
      <c r="B9" t="s">
        <v>29</v>
      </c>
      <c r="C9">
        <v>154</v>
      </c>
      <c r="D9">
        <v>241</v>
      </c>
      <c r="E9" s="9">
        <f>Table46[[#This Row],[Time 2]]-Table46[[#This Row],[Time 1]]</f>
        <v>87</v>
      </c>
      <c r="G9" s="24">
        <v>95</v>
      </c>
      <c r="H9" s="9">
        <f>Table46[[#This Row],[Int Time Start]]+27</f>
        <v>122</v>
      </c>
      <c r="I9" t="str">
        <f>IF(Table46[[#This Row],[Time 2]]&lt;Table46[[#This Row],[Int Time Start]],"No Overlap (PRE)",IF(Table46[[#This Row],[Time 1]]&gt;Table46[[#This Row],[Int End]],"No overlap (POST)",IF((AND(Table46[[#This Row],[Time 2]]&gt;Table46[[#This Row],[Int End]],Table46[[#This Row],[Time 1]]&lt;Table46[[#This Row],[Int End]])),"OVERLAP CONFLICT AFTER","SERIOUS PROBLEM")))</f>
        <v>No overlap (POST)</v>
      </c>
      <c r="L9" s="2"/>
      <c r="M9" s="2"/>
      <c r="N9" s="2"/>
      <c r="O9" s="2"/>
    </row>
    <row r="10" spans="1:15" x14ac:dyDescent="0.25">
      <c r="A10" s="23" t="s">
        <v>75</v>
      </c>
      <c r="B10" s="23" t="s">
        <v>74</v>
      </c>
      <c r="C10">
        <v>122</v>
      </c>
      <c r="D10">
        <v>144</v>
      </c>
      <c r="E10" s="9">
        <f>Table46[[#This Row],[Time 2]]-Table46[[#This Row],[Time 1]]</f>
        <v>22</v>
      </c>
      <c r="G10" s="24">
        <v>95</v>
      </c>
      <c r="H10" s="9">
        <f>Table46[[#This Row],[Int Time Start]]+27</f>
        <v>122</v>
      </c>
      <c r="I10" t="str">
        <f>IF(Table46[[#This Row],[Time 2]]&lt;Table46[[#This Row],[Int Time Start]],"No Overlap (PRE)",IF(Table46[[#This Row],[Time 1]]&gt;Table46[[#This Row],[Int End]],"No overlap (POST)",IF((AND(Table46[[#This Row],[Time 2]]&gt;Table46[[#This Row],[Int End]],Table46[[#This Row],[Time 1]]&lt;Table46[[#This Row],[Int End]])),"OVERLAP CONFLICT AFTER","SERIOUS PROBLEM")))</f>
        <v>SERIOUS PROBLEM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H12" s="9"/>
      <c r="L12" s="2"/>
      <c r="M12" s="2"/>
      <c r="N12" s="2"/>
      <c r="O12" s="2"/>
    </row>
    <row r="13" spans="1:15" x14ac:dyDescent="0.25"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6" x14ac:dyDescent="0.25">
      <c r="L17" s="2"/>
      <c r="M17" s="2"/>
      <c r="N17" s="2"/>
      <c r="O17" s="2"/>
    </row>
    <row r="18" spans="1:16" x14ac:dyDescent="0.25">
      <c r="L18" s="2"/>
      <c r="M18" s="2"/>
      <c r="N18" s="2"/>
      <c r="O18" s="2"/>
    </row>
    <row r="19" spans="1:16" x14ac:dyDescent="0.25">
      <c r="L19" s="2"/>
      <c r="M19" s="2"/>
      <c r="N19" s="2"/>
      <c r="O19" s="2"/>
    </row>
    <row r="20" spans="1:16" x14ac:dyDescent="0.25">
      <c r="L20" s="2"/>
      <c r="M20" s="2"/>
      <c r="N20" s="2"/>
      <c r="O20" s="2"/>
    </row>
    <row r="21" spans="1:16" x14ac:dyDescent="0.25">
      <c r="A21" s="13"/>
      <c r="B21" s="10"/>
      <c r="C21" s="10"/>
      <c r="D21" s="11"/>
      <c r="E21" s="13"/>
      <c r="F21" s="9"/>
      <c r="I21" s="13"/>
    </row>
    <row r="22" spans="1:16" ht="15.75" thickBot="1" x14ac:dyDescent="0.3">
      <c r="A22" s="6"/>
      <c r="D22" s="11"/>
      <c r="E22" s="6"/>
      <c r="F22" s="9"/>
      <c r="I22" s="6"/>
    </row>
    <row r="23" spans="1:16" x14ac:dyDescent="0.25">
      <c r="A23" s="3"/>
      <c r="B23" s="3"/>
      <c r="C23" s="3"/>
      <c r="D23" s="18"/>
      <c r="E23" s="3"/>
      <c r="F23" s="5"/>
      <c r="G23" s="3"/>
      <c r="H23" s="3"/>
      <c r="I23" s="3"/>
      <c r="J23" s="5"/>
      <c r="K23" s="3"/>
      <c r="L23" s="25" t="s">
        <v>80</v>
      </c>
      <c r="M23" s="26" t="s">
        <v>79</v>
      </c>
      <c r="N23" s="26" t="s">
        <v>78</v>
      </c>
      <c r="O23" s="26" t="s">
        <v>77</v>
      </c>
      <c r="P23" s="27" t="s">
        <v>76</v>
      </c>
    </row>
    <row r="24" spans="1:16" x14ac:dyDescent="0.25">
      <c r="A24" s="19"/>
      <c r="B24" s="19"/>
      <c r="C24" s="10"/>
      <c r="D24" s="20"/>
      <c r="E24" s="21"/>
      <c r="F24" s="10"/>
      <c r="G24" s="19"/>
      <c r="H24" s="19"/>
      <c r="I24" s="19"/>
      <c r="J24" s="19"/>
      <c r="K24" s="19"/>
      <c r="L24" s="28" t="s">
        <v>75</v>
      </c>
      <c r="M24" s="29" t="s">
        <v>55</v>
      </c>
      <c r="N24" s="29">
        <v>15</v>
      </c>
      <c r="O24" s="29">
        <v>40000</v>
      </c>
      <c r="P24" s="30">
        <v>420</v>
      </c>
    </row>
    <row r="25" spans="1:16" x14ac:dyDescent="0.25">
      <c r="A25" s="19"/>
      <c r="B25" s="10"/>
      <c r="C25" s="19"/>
      <c r="D25" s="20"/>
      <c r="E25" s="21"/>
      <c r="F25" s="10"/>
      <c r="G25" s="19"/>
      <c r="H25" s="19"/>
      <c r="I25" s="19"/>
      <c r="J25" s="19"/>
      <c r="K25" s="19"/>
      <c r="L25" s="28" t="s">
        <v>74</v>
      </c>
      <c r="M25" s="29" t="s">
        <v>57</v>
      </c>
      <c r="N25" s="29">
        <v>0</v>
      </c>
      <c r="O25" s="29">
        <v>43000</v>
      </c>
      <c r="P25" s="30">
        <v>450</v>
      </c>
    </row>
    <row r="26" spans="1:16" x14ac:dyDescent="0.25">
      <c r="A26" s="19"/>
      <c r="B26" s="10"/>
      <c r="C26" s="19"/>
      <c r="D26" s="20"/>
      <c r="E26" s="20"/>
      <c r="F26" s="11"/>
      <c r="G26" s="19"/>
      <c r="H26" s="19"/>
      <c r="I26" s="19"/>
      <c r="J26" s="19"/>
      <c r="K26" s="19"/>
      <c r="L26" s="28" t="s">
        <v>73</v>
      </c>
      <c r="M26" s="29" t="s">
        <v>59</v>
      </c>
      <c r="N26" s="29">
        <v>0</v>
      </c>
      <c r="O26" s="29">
        <v>42000</v>
      </c>
      <c r="P26" s="30">
        <v>480</v>
      </c>
    </row>
    <row r="27" spans="1:16" x14ac:dyDescent="0.25">
      <c r="A27" s="19"/>
      <c r="B27" s="10"/>
      <c r="C27" s="19"/>
      <c r="D27" s="20"/>
      <c r="E27" s="21"/>
      <c r="F27" s="11"/>
      <c r="G27" s="19"/>
      <c r="H27" s="19"/>
      <c r="I27" s="19"/>
      <c r="J27" s="19"/>
      <c r="K27" s="19"/>
      <c r="L27" s="28" t="s">
        <v>17</v>
      </c>
      <c r="M27" s="29" t="s">
        <v>55</v>
      </c>
      <c r="N27" s="29">
        <v>0</v>
      </c>
      <c r="O27" s="29">
        <v>34000</v>
      </c>
      <c r="P27" s="30">
        <v>460</v>
      </c>
    </row>
    <row r="28" spans="1:16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  <c r="L28" s="28" t="s">
        <v>72</v>
      </c>
      <c r="M28" s="29" t="s">
        <v>59</v>
      </c>
      <c r="N28" s="29">
        <v>0</v>
      </c>
      <c r="O28" s="29">
        <v>31000</v>
      </c>
      <c r="P28" s="30">
        <v>470</v>
      </c>
    </row>
    <row r="29" spans="1:16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  <c r="L29" s="28" t="s">
        <v>46</v>
      </c>
      <c r="M29" s="29" t="s">
        <v>60</v>
      </c>
      <c r="N29" s="29">
        <v>0</v>
      </c>
      <c r="O29" s="29">
        <v>40000</v>
      </c>
      <c r="P29" s="30">
        <v>460</v>
      </c>
    </row>
    <row r="30" spans="1:16" x14ac:dyDescent="0.25">
      <c r="A30" s="19"/>
      <c r="B30" s="10"/>
      <c r="C30" s="19"/>
      <c r="D30" s="20"/>
      <c r="E30" s="22"/>
      <c r="F30" s="11"/>
      <c r="G30" s="19"/>
      <c r="H30" s="19"/>
      <c r="I30" s="19"/>
      <c r="J30" s="19"/>
      <c r="K30" s="19"/>
      <c r="L30" s="28" t="s">
        <v>71</v>
      </c>
      <c r="M30" s="29" t="s">
        <v>55</v>
      </c>
      <c r="N30" s="29">
        <v>0</v>
      </c>
      <c r="O30" s="29">
        <v>33000</v>
      </c>
      <c r="P30" s="30">
        <v>460</v>
      </c>
    </row>
    <row r="31" spans="1:16" x14ac:dyDescent="0.25">
      <c r="A31" s="19"/>
      <c r="B31" s="10"/>
      <c r="C31" s="19"/>
      <c r="D31" s="20"/>
      <c r="E31" s="21"/>
      <c r="F31" s="11"/>
      <c r="G31" s="19"/>
      <c r="H31" s="19"/>
      <c r="I31" s="19"/>
      <c r="J31" s="19"/>
      <c r="K31" s="19"/>
      <c r="L31" s="28" t="s">
        <v>44</v>
      </c>
      <c r="M31" s="29" t="s">
        <v>70</v>
      </c>
      <c r="N31" s="29">
        <v>0</v>
      </c>
      <c r="O31" s="29">
        <v>30000</v>
      </c>
      <c r="P31" s="30">
        <v>450</v>
      </c>
    </row>
    <row r="32" spans="1:16" x14ac:dyDescent="0.25">
      <c r="A32" s="19"/>
      <c r="B32" s="10"/>
      <c r="C32" s="19"/>
      <c r="D32" s="20"/>
      <c r="E32" s="20"/>
      <c r="F32" s="11"/>
      <c r="G32" s="19"/>
      <c r="H32" s="19"/>
      <c r="I32" s="19"/>
      <c r="J32" s="19"/>
      <c r="K32" s="19"/>
      <c r="L32" s="28" t="s">
        <v>45</v>
      </c>
      <c r="M32" s="29" t="s">
        <v>69</v>
      </c>
      <c r="N32" s="29">
        <v>0</v>
      </c>
      <c r="O32" s="29">
        <v>30000</v>
      </c>
      <c r="P32" s="30">
        <v>440</v>
      </c>
    </row>
    <row r="33" spans="1:16" x14ac:dyDescent="0.25">
      <c r="A33" s="19"/>
      <c r="B33" s="10"/>
      <c r="C33" s="19"/>
      <c r="D33" s="20"/>
      <c r="E33" s="21"/>
      <c r="F33" s="11"/>
      <c r="G33" s="19"/>
      <c r="H33" s="19"/>
      <c r="I33" s="19"/>
      <c r="J33" s="19"/>
      <c r="K33" s="19"/>
      <c r="L33" s="28" t="s">
        <v>26</v>
      </c>
      <c r="M33" s="29" t="s">
        <v>70</v>
      </c>
      <c r="N33" s="29">
        <v>0</v>
      </c>
      <c r="O33" s="29">
        <v>40000</v>
      </c>
      <c r="P33" s="30">
        <v>490</v>
      </c>
    </row>
    <row r="34" spans="1:16" x14ac:dyDescent="0.25">
      <c r="A34" s="19"/>
      <c r="B34" s="20"/>
      <c r="C34" s="20"/>
      <c r="D34" s="20"/>
      <c r="E34" s="21"/>
      <c r="F34" s="11"/>
      <c r="G34" s="19"/>
      <c r="H34" s="19"/>
      <c r="I34" s="19"/>
      <c r="J34" s="19"/>
      <c r="K34" s="19"/>
      <c r="L34" s="28" t="s">
        <v>16</v>
      </c>
      <c r="M34" s="29" t="s">
        <v>59</v>
      </c>
      <c r="N34" s="29">
        <v>0</v>
      </c>
      <c r="O34" s="29">
        <v>36000</v>
      </c>
      <c r="P34" s="30">
        <v>470</v>
      </c>
    </row>
    <row r="35" spans="1:16" x14ac:dyDescent="0.25">
      <c r="L35" s="28" t="s">
        <v>9</v>
      </c>
      <c r="M35" s="29" t="s">
        <v>70</v>
      </c>
      <c r="N35" s="29">
        <v>0</v>
      </c>
      <c r="O35" s="29">
        <v>40000</v>
      </c>
      <c r="P35" s="30">
        <v>460</v>
      </c>
    </row>
    <row r="36" spans="1:16" x14ac:dyDescent="0.25">
      <c r="L36" s="28" t="s">
        <v>39</v>
      </c>
      <c r="M36" s="29" t="s">
        <v>62</v>
      </c>
      <c r="N36" s="29">
        <v>0</v>
      </c>
      <c r="O36" s="29">
        <v>35000</v>
      </c>
      <c r="P36" s="30">
        <v>430</v>
      </c>
    </row>
    <row r="37" spans="1:16" x14ac:dyDescent="0.25">
      <c r="L37" s="28" t="s">
        <v>47</v>
      </c>
      <c r="M37" s="29" t="s">
        <v>60</v>
      </c>
      <c r="N37" s="29">
        <v>30</v>
      </c>
      <c r="O37" s="29">
        <v>40000</v>
      </c>
      <c r="P37" s="30">
        <v>420</v>
      </c>
    </row>
    <row r="38" spans="1:16" x14ac:dyDescent="0.25">
      <c r="L38" s="28" t="s">
        <v>11</v>
      </c>
      <c r="M38" s="29" t="s">
        <v>59</v>
      </c>
      <c r="N38" s="29">
        <v>0</v>
      </c>
      <c r="O38" s="29">
        <v>38000</v>
      </c>
      <c r="P38" s="30">
        <v>470</v>
      </c>
    </row>
    <row r="39" spans="1:16" x14ac:dyDescent="0.25">
      <c r="L39" s="28" t="s">
        <v>10</v>
      </c>
      <c r="M39" s="29" t="s">
        <v>69</v>
      </c>
      <c r="N39" s="29">
        <v>15</v>
      </c>
      <c r="O39" s="29">
        <v>39000</v>
      </c>
      <c r="P39" s="30">
        <v>440</v>
      </c>
    </row>
    <row r="40" spans="1:16" x14ac:dyDescent="0.25">
      <c r="L40" s="28" t="s">
        <v>68</v>
      </c>
      <c r="M40" s="29" t="s">
        <v>57</v>
      </c>
      <c r="N40" s="29">
        <v>90</v>
      </c>
      <c r="O40" s="29">
        <v>32000</v>
      </c>
      <c r="P40" s="30">
        <v>430</v>
      </c>
    </row>
    <row r="41" spans="1:16" x14ac:dyDescent="0.25">
      <c r="L41" s="28" t="s">
        <v>67</v>
      </c>
      <c r="M41" s="29" t="s">
        <v>59</v>
      </c>
      <c r="N41" s="29">
        <v>114</v>
      </c>
      <c r="O41" s="29">
        <v>37000</v>
      </c>
      <c r="P41" s="30">
        <v>470</v>
      </c>
    </row>
    <row r="42" spans="1:16" x14ac:dyDescent="0.25">
      <c r="L42" s="28" t="s">
        <v>66</v>
      </c>
      <c r="M42" s="29" t="s">
        <v>55</v>
      </c>
      <c r="N42" s="29">
        <v>110</v>
      </c>
      <c r="O42" s="29">
        <v>35000</v>
      </c>
      <c r="P42" s="30">
        <v>500</v>
      </c>
    </row>
    <row r="43" spans="1:16" x14ac:dyDescent="0.25">
      <c r="L43" s="28" t="s">
        <v>29</v>
      </c>
      <c r="M43" s="29" t="s">
        <v>65</v>
      </c>
      <c r="N43" s="29">
        <v>120</v>
      </c>
      <c r="O43" s="29">
        <v>38000</v>
      </c>
      <c r="P43" s="30">
        <v>420</v>
      </c>
    </row>
    <row r="44" spans="1:16" x14ac:dyDescent="0.25">
      <c r="L44" s="28" t="s">
        <v>64</v>
      </c>
      <c r="M44" s="29" t="s">
        <v>60</v>
      </c>
      <c r="N44" s="29">
        <v>175</v>
      </c>
      <c r="O44" s="29">
        <v>46000</v>
      </c>
      <c r="P44" s="30">
        <v>420</v>
      </c>
    </row>
    <row r="45" spans="1:16" x14ac:dyDescent="0.25">
      <c r="L45" s="28" t="s">
        <v>63</v>
      </c>
      <c r="M45" s="29" t="s">
        <v>62</v>
      </c>
      <c r="N45" s="29">
        <v>210</v>
      </c>
      <c r="O45" s="29">
        <v>36000</v>
      </c>
      <c r="P45" s="30">
        <v>410</v>
      </c>
    </row>
    <row r="46" spans="1:16" x14ac:dyDescent="0.25">
      <c r="L46" s="28" t="s">
        <v>61</v>
      </c>
      <c r="M46" s="29" t="s">
        <v>60</v>
      </c>
      <c r="N46" s="29">
        <v>175</v>
      </c>
      <c r="O46" s="29">
        <v>46000</v>
      </c>
      <c r="P46" s="30">
        <v>410</v>
      </c>
    </row>
    <row r="47" spans="1:16" x14ac:dyDescent="0.25">
      <c r="L47" s="28" t="s">
        <v>13</v>
      </c>
      <c r="M47" s="29" t="s">
        <v>59</v>
      </c>
      <c r="N47" s="29">
        <v>210</v>
      </c>
      <c r="O47" s="29">
        <v>33000</v>
      </c>
      <c r="P47" s="30">
        <v>530</v>
      </c>
    </row>
    <row r="48" spans="1:16" x14ac:dyDescent="0.25">
      <c r="L48" s="28" t="s">
        <v>58</v>
      </c>
      <c r="M48" s="29" t="s">
        <v>57</v>
      </c>
      <c r="N48" s="29">
        <v>220</v>
      </c>
      <c r="O48" s="29">
        <v>37000</v>
      </c>
      <c r="P48" s="30">
        <v>460</v>
      </c>
    </row>
    <row r="49" spans="12:16" ht="15.75" thickBot="1" x14ac:dyDescent="0.3">
      <c r="L49" s="31" t="s">
        <v>56</v>
      </c>
      <c r="M49" s="32" t="s">
        <v>55</v>
      </c>
      <c r="N49" s="32">
        <v>225</v>
      </c>
      <c r="O49" s="32">
        <v>33000</v>
      </c>
      <c r="P49" s="33">
        <v>410</v>
      </c>
    </row>
  </sheetData>
  <mergeCells count="1">
    <mergeCell ref="L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2:O35"/>
  <sheetViews>
    <sheetView workbookViewId="0">
      <selection activeCell="A7" sqref="A7:I10"/>
    </sheetView>
  </sheetViews>
  <sheetFormatPr defaultRowHeight="15" x14ac:dyDescent="0.25"/>
  <cols>
    <col min="1" max="2" width="11.28515625" customWidth="1"/>
    <col min="3" max="4" width="9.28515625" customWidth="1"/>
    <col min="5" max="5" width="11.42578125" customWidth="1"/>
    <col min="6" max="6" width="11" customWidth="1"/>
    <col min="9" max="9" width="13.85546875" customWidth="1"/>
    <col min="12" max="12" width="13.85546875" bestFit="1" customWidth="1"/>
    <col min="13" max="13" width="12.5703125" customWidth="1"/>
    <col min="14" max="14" width="23.85546875" bestFit="1" customWidth="1"/>
    <col min="15" max="15" width="12" customWidth="1"/>
  </cols>
  <sheetData>
    <row r="2" spans="1:15" ht="18" x14ac:dyDescent="0.25">
      <c r="A2" s="12" t="s">
        <v>54</v>
      </c>
    </row>
    <row r="3" spans="1:15" x14ac:dyDescent="0.25">
      <c r="A3" s="6"/>
      <c r="L3" s="62" t="s">
        <v>18</v>
      </c>
      <c r="M3" s="62"/>
      <c r="N3" s="62"/>
      <c r="O3" s="62"/>
    </row>
    <row r="4" spans="1:15" x14ac:dyDescent="0.25">
      <c r="A4" s="13" t="s">
        <v>24</v>
      </c>
      <c r="B4" s="14"/>
      <c r="C4" s="14"/>
      <c r="D4" s="15"/>
      <c r="E4" s="16"/>
      <c r="F4" s="17"/>
      <c r="L4" s="2" t="s">
        <v>19</v>
      </c>
      <c r="M4" s="2" t="s">
        <v>2</v>
      </c>
      <c r="N4" s="2" t="s">
        <v>20</v>
      </c>
      <c r="O4" s="2" t="s">
        <v>21</v>
      </c>
    </row>
    <row r="5" spans="1:15" x14ac:dyDescent="0.25">
      <c r="D5" s="7"/>
      <c r="E5" s="7"/>
      <c r="L5" s="2"/>
      <c r="M5" s="2"/>
      <c r="N5" s="2"/>
      <c r="O5" s="2"/>
    </row>
    <row r="6" spans="1:15" x14ac:dyDescent="0.25">
      <c r="A6" s="3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5" t="s">
        <v>8</v>
      </c>
      <c r="G6" t="s">
        <v>52</v>
      </c>
      <c r="H6" t="s">
        <v>53</v>
      </c>
      <c r="I6" t="s">
        <v>50</v>
      </c>
      <c r="L6" s="2"/>
      <c r="M6" s="2"/>
      <c r="N6" s="2"/>
      <c r="O6" s="2"/>
    </row>
    <row r="7" spans="1:15" x14ac:dyDescent="0.25">
      <c r="A7" s="23" t="s">
        <v>44</v>
      </c>
      <c r="B7" s="23" t="s">
        <v>113</v>
      </c>
      <c r="C7" s="7">
        <v>0</v>
      </c>
      <c r="D7" s="8">
        <v>44</v>
      </c>
      <c r="E7" s="9">
        <f>Table47[[#This Row],[Time 2]]-Table47[[#This Row],[Time 1]]</f>
        <v>44</v>
      </c>
      <c r="F7">
        <v>8</v>
      </c>
      <c r="G7">
        <f>'Key Times'!C5</f>
        <v>96</v>
      </c>
      <c r="H7" s="9">
        <v>123</v>
      </c>
      <c r="I7" t="str">
        <f>IF(Table47[[#This Row],[Time 2]]&lt;Table47[[#This Row],[Int Time Start]],"No Overlap (PRE)",IF(Table47[[#This Row],[Time 1]]&gt;Table47[[#This Row],[Int End]],"No overlap (POST)",IF((AND(Table47[[#This Row],[Time 2]]&gt;Table47[[#This Row],[Int End]],Table47[[#This Row],[Time 1]]&lt;Table47[[#This Row],[Int End]])),"OVERLAP CONFLICT AFTER","SERIOUS PROBLEM")))</f>
        <v>No Overlap (PRE)</v>
      </c>
      <c r="L7" s="2"/>
      <c r="M7" s="2"/>
      <c r="N7" s="2"/>
      <c r="O7" s="2"/>
    </row>
    <row r="8" spans="1:15" x14ac:dyDescent="0.25">
      <c r="A8" s="34" t="s">
        <v>75</v>
      </c>
      <c r="B8" s="34" t="s">
        <v>74</v>
      </c>
      <c r="C8" s="35">
        <v>123</v>
      </c>
      <c r="D8" s="36">
        <v>134</v>
      </c>
      <c r="E8" s="37">
        <f>Table47[[#This Row],[Time 2]]-Table47[[#This Row],[Time 1]]</f>
        <v>11</v>
      </c>
      <c r="F8" s="14"/>
      <c r="G8">
        <v>96</v>
      </c>
      <c r="H8" s="9">
        <v>123</v>
      </c>
      <c r="I8" t="str">
        <f>IF(Table47[[#This Row],[Time 2]]&lt;Table47[[#This Row],[Int Time Start]],"No Overlap (PRE)",IF(Table47[[#This Row],[Time 1]]&gt;Table47[[#This Row],[Int End]],"No overlap (POST)",IF((AND(Table47[[#This Row],[Time 2]]&gt;Table47[[#This Row],[Int End]],Table47[[#This Row],[Time 1]]&lt;Table47[[#This Row],[Int End]])),"OVERLAP CONFLICT AFTER","SERIOUS PROBLEM")))</f>
        <v>SERIOUS PROBLEM</v>
      </c>
      <c r="L8" s="2"/>
      <c r="M8" s="2"/>
      <c r="N8" s="2"/>
      <c r="O8" s="2"/>
    </row>
    <row r="9" spans="1:15" x14ac:dyDescent="0.25">
      <c r="A9" s="23" t="s">
        <v>110</v>
      </c>
      <c r="B9" s="23" t="s">
        <v>17</v>
      </c>
      <c r="C9">
        <v>120</v>
      </c>
      <c r="D9">
        <v>223</v>
      </c>
      <c r="E9" s="9">
        <f>Table47[[#This Row],[Time 2]]-Table47[[#This Row],[Time 1]]</f>
        <v>103</v>
      </c>
      <c r="G9">
        <v>96</v>
      </c>
      <c r="H9" s="9">
        <v>123</v>
      </c>
      <c r="I9" t="str">
        <f>IF(Table47[[#This Row],[Time 2]]&lt;Table47[[#This Row],[Int Time Start]],"No Overlap (PRE)",IF(Table47[[#This Row],[Time 1]]&gt;Table47[[#This Row],[Int End]],"No overlap (POST)",IF((AND(Table47[[#This Row],[Time 2]]&gt;Table47[[#This Row],[Int End]],Table47[[#This Row],[Time 1]]&lt;Table47[[#This Row],[Int End]])),"OVERLAP CONFLICT AFTER","SERIOUS PROBLEM")))</f>
        <v>OVERLAP CONFLICT AFTER</v>
      </c>
      <c r="L9" s="2"/>
      <c r="M9" s="2"/>
      <c r="N9" s="2"/>
      <c r="O9" s="2"/>
    </row>
    <row r="10" spans="1:15" x14ac:dyDescent="0.25">
      <c r="A10" s="23" t="s">
        <v>114</v>
      </c>
      <c r="B10" s="23" t="s">
        <v>115</v>
      </c>
      <c r="C10">
        <v>100</v>
      </c>
      <c r="D10">
        <v>257</v>
      </c>
      <c r="E10" s="9">
        <f>Table47[[#This Row],[Time 2]]-Table47[[#This Row],[Time 1]]</f>
        <v>157</v>
      </c>
      <c r="G10">
        <v>96</v>
      </c>
      <c r="H10" s="9">
        <v>123</v>
      </c>
      <c r="I10" t="str">
        <f>IF(Table47[[#This Row],[Time 2]]&lt;Table47[[#This Row],[Int Time Start]],"No Overlap (PRE)",IF(Table47[[#This Row],[Time 1]]&gt;Table47[[#This Row],[Int End]],"No overlap (POST)",IF((AND(Table47[[#This Row],[Time 2]]&gt;Table47[[#This Row],[Int End]],Table47[[#This Row],[Time 1]]&lt;Table47[[#This Row],[Int End]])),"OVERLAP CONFLICT AFTER","SERIOUS PROBLEM")))</f>
        <v>OVERLAP CONFLICT AFTER</v>
      </c>
      <c r="L10" s="2"/>
      <c r="M10" s="2"/>
      <c r="N10" s="2"/>
      <c r="O10" s="2"/>
    </row>
    <row r="11" spans="1:15" x14ac:dyDescent="0.25">
      <c r="A11" s="23"/>
      <c r="B11" s="23"/>
      <c r="E11" s="9"/>
      <c r="H11" s="9"/>
      <c r="L11" s="2"/>
      <c r="M11" s="2"/>
      <c r="N11" s="2"/>
      <c r="O11" s="2"/>
    </row>
    <row r="12" spans="1:15" x14ac:dyDescent="0.25">
      <c r="A12" s="23"/>
      <c r="B12" s="23"/>
      <c r="E12" s="9"/>
      <c r="H12" s="9"/>
      <c r="L12" s="2"/>
      <c r="M12" s="2"/>
      <c r="N12" s="2"/>
      <c r="O12" s="2"/>
    </row>
    <row r="13" spans="1:15" x14ac:dyDescent="0.25">
      <c r="A13" s="23"/>
      <c r="B13" s="23"/>
      <c r="H13" s="9"/>
      <c r="L13" s="2"/>
      <c r="M13" s="2"/>
      <c r="N13" s="2"/>
      <c r="O13" s="2"/>
    </row>
    <row r="14" spans="1:15" x14ac:dyDescent="0.25">
      <c r="L14" s="2"/>
      <c r="M14" s="2"/>
      <c r="N14" s="2"/>
      <c r="O14" s="2"/>
    </row>
    <row r="15" spans="1:15" x14ac:dyDescent="0.25">
      <c r="L15" s="2"/>
      <c r="M15" s="2"/>
      <c r="N15" s="2"/>
      <c r="O15" s="2"/>
    </row>
    <row r="16" spans="1:15" x14ac:dyDescent="0.25">
      <c r="L16" s="2"/>
      <c r="M16" s="2"/>
      <c r="N16" s="2"/>
      <c r="O16" s="2"/>
    </row>
    <row r="17" spans="1:15" x14ac:dyDescent="0.25">
      <c r="L17" s="2"/>
      <c r="M17" s="2"/>
      <c r="N17" s="2"/>
      <c r="O17" s="2"/>
    </row>
    <row r="18" spans="1:15" x14ac:dyDescent="0.25">
      <c r="L18" s="2"/>
      <c r="M18" s="2"/>
      <c r="N18" s="2"/>
      <c r="O18" s="2"/>
    </row>
    <row r="19" spans="1:15" x14ac:dyDescent="0.25">
      <c r="L19" s="2"/>
      <c r="M19" s="2"/>
      <c r="N19" s="2"/>
      <c r="O19" s="2"/>
    </row>
    <row r="20" spans="1:15" x14ac:dyDescent="0.25">
      <c r="L20" s="2"/>
      <c r="M20" s="2"/>
      <c r="N20" s="2"/>
      <c r="O20" s="2"/>
    </row>
    <row r="21" spans="1:15" x14ac:dyDescent="0.25">
      <c r="L21" s="2"/>
      <c r="M21" s="2"/>
      <c r="N21" s="2"/>
      <c r="O21" s="2"/>
    </row>
    <row r="22" spans="1:15" x14ac:dyDescent="0.25">
      <c r="A22" s="13"/>
      <c r="B22" s="10"/>
      <c r="C22" s="10"/>
      <c r="D22" s="11"/>
      <c r="E22" s="13"/>
      <c r="F22" s="9"/>
      <c r="I22" s="13"/>
    </row>
    <row r="23" spans="1:15" x14ac:dyDescent="0.25">
      <c r="A23" s="6"/>
      <c r="D23" s="11"/>
      <c r="E23" s="6"/>
      <c r="F23" s="9"/>
      <c r="I23" s="6"/>
    </row>
    <row r="24" spans="1:15" x14ac:dyDescent="0.25">
      <c r="A24" s="3"/>
      <c r="B24" s="3"/>
      <c r="C24" s="3"/>
      <c r="D24" s="18"/>
      <c r="E24" s="3"/>
      <c r="F24" s="5"/>
      <c r="G24" s="3"/>
      <c r="H24" s="3"/>
      <c r="I24" s="3"/>
      <c r="J24" s="5"/>
      <c r="K24" s="3"/>
    </row>
    <row r="25" spans="1:15" x14ac:dyDescent="0.25">
      <c r="A25" s="19"/>
      <c r="B25" s="19"/>
      <c r="C25" s="10"/>
      <c r="D25" s="20"/>
      <c r="E25" s="21"/>
      <c r="F25" s="10"/>
      <c r="G25" s="19"/>
      <c r="H25" s="19"/>
      <c r="I25" s="19"/>
      <c r="J25" s="19"/>
      <c r="K25" s="19"/>
    </row>
    <row r="26" spans="1:15" x14ac:dyDescent="0.25">
      <c r="A26" s="19"/>
      <c r="B26" s="10"/>
      <c r="C26" s="19"/>
      <c r="D26" s="20"/>
      <c r="E26" s="21"/>
      <c r="F26" s="10"/>
      <c r="G26" s="19"/>
      <c r="H26" s="19"/>
      <c r="I26" s="19"/>
      <c r="J26" s="19"/>
      <c r="K26" s="19"/>
    </row>
    <row r="27" spans="1:15" x14ac:dyDescent="0.25">
      <c r="A27" s="19"/>
      <c r="B27" s="10"/>
      <c r="C27" s="19"/>
      <c r="D27" s="20"/>
      <c r="E27" s="20"/>
      <c r="F27" s="11"/>
      <c r="G27" s="19"/>
      <c r="H27" s="19"/>
      <c r="I27" s="19"/>
      <c r="J27" s="19"/>
      <c r="K27" s="19"/>
    </row>
    <row r="28" spans="1:15" x14ac:dyDescent="0.25">
      <c r="A28" s="19"/>
      <c r="B28" s="10"/>
      <c r="C28" s="19"/>
      <c r="D28" s="20"/>
      <c r="E28" s="21"/>
      <c r="F28" s="11"/>
      <c r="G28" s="19"/>
      <c r="H28" s="19"/>
      <c r="I28" s="19"/>
      <c r="J28" s="19"/>
      <c r="K28" s="19"/>
    </row>
    <row r="29" spans="1:15" x14ac:dyDescent="0.25">
      <c r="A29" s="19"/>
      <c r="B29" s="10"/>
      <c r="C29" s="19"/>
      <c r="D29" s="20"/>
      <c r="E29" s="21"/>
      <c r="F29" s="11"/>
      <c r="G29" s="19"/>
      <c r="H29" s="19"/>
      <c r="I29" s="19"/>
      <c r="J29" s="19"/>
      <c r="K29" s="19"/>
    </row>
    <row r="30" spans="1:15" x14ac:dyDescent="0.25">
      <c r="A30" s="19"/>
      <c r="B30" s="10"/>
      <c r="C30" s="19"/>
      <c r="D30" s="20"/>
      <c r="E30" s="21"/>
      <c r="F30" s="11"/>
      <c r="G30" s="19"/>
      <c r="H30" s="19"/>
      <c r="I30" s="19"/>
      <c r="J30" s="19"/>
      <c r="K30" s="19"/>
    </row>
    <row r="31" spans="1:15" x14ac:dyDescent="0.25">
      <c r="A31" s="19"/>
      <c r="B31" s="10"/>
      <c r="C31" s="19"/>
      <c r="D31" s="20"/>
      <c r="E31" s="22"/>
      <c r="F31" s="11"/>
      <c r="G31" s="19"/>
      <c r="H31" s="19"/>
      <c r="I31" s="19"/>
      <c r="J31" s="19"/>
      <c r="K31" s="19"/>
    </row>
    <row r="32" spans="1:15" x14ac:dyDescent="0.25">
      <c r="A32" s="19"/>
      <c r="B32" s="10"/>
      <c r="C32" s="19"/>
      <c r="D32" s="20"/>
      <c r="E32" s="21"/>
      <c r="F32" s="11"/>
      <c r="G32" s="19"/>
      <c r="H32" s="19"/>
      <c r="I32" s="19"/>
      <c r="J32" s="19"/>
      <c r="K32" s="19"/>
    </row>
    <row r="33" spans="1:11" x14ac:dyDescent="0.25">
      <c r="A33" s="19"/>
      <c r="B33" s="10"/>
      <c r="C33" s="19"/>
      <c r="D33" s="20"/>
      <c r="E33" s="20"/>
      <c r="F33" s="11"/>
      <c r="G33" s="19"/>
      <c r="H33" s="19"/>
      <c r="I33" s="19"/>
      <c r="J33" s="19"/>
      <c r="K33" s="19"/>
    </row>
    <row r="34" spans="1:11" x14ac:dyDescent="0.25">
      <c r="A34" s="19"/>
      <c r="B34" s="10"/>
      <c r="C34" s="19"/>
      <c r="D34" s="20"/>
      <c r="E34" s="21"/>
      <c r="F34" s="11"/>
      <c r="G34" s="19"/>
      <c r="H34" s="19"/>
      <c r="I34" s="19"/>
      <c r="J34" s="19"/>
      <c r="K34" s="19"/>
    </row>
    <row r="35" spans="1:11" x14ac:dyDescent="0.25">
      <c r="A35" s="19"/>
      <c r="B35" s="20"/>
      <c r="C35" s="20"/>
      <c r="D35" s="20"/>
      <c r="E35" s="21"/>
      <c r="F35" s="11"/>
      <c r="G35" s="19"/>
      <c r="H35" s="19"/>
      <c r="I35" s="19"/>
      <c r="J35" s="19"/>
      <c r="K35" s="19"/>
    </row>
  </sheetData>
  <mergeCells count="1">
    <mergeCell ref="L3:O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Fixes</vt:lpstr>
      <vt:lpstr>Questions</vt:lpstr>
      <vt:lpstr>Key Times</vt:lpstr>
      <vt:lpstr>PM</vt:lpstr>
      <vt:lpstr>Conflicts</vt:lpstr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Trial 12</vt:lpstr>
      <vt:lpstr>Trial 13</vt:lpstr>
      <vt:lpstr>Trial 14</vt:lpstr>
      <vt:lpstr>Trial 15</vt:lpstr>
      <vt:lpstr>Quick Flight Compiler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 Wilson</dc:creator>
  <cp:lastModifiedBy>Obskanky</cp:lastModifiedBy>
  <cp:lastPrinted>2015-03-09T09:21:01Z</cp:lastPrinted>
  <dcterms:created xsi:type="dcterms:W3CDTF">2014-10-01T03:55:26Z</dcterms:created>
  <dcterms:modified xsi:type="dcterms:W3CDTF">2015-06-17T04:31:07Z</dcterms:modified>
</cp:coreProperties>
</file>