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Local Drive\GitHub\experiment3\Scenario Developer\"/>
    </mc:Choice>
  </mc:AlternateContent>
  <bookViews>
    <workbookView xWindow="0" yWindow="0" windowWidth="25200" windowHeight="9585" tabRatio="804" firstSheet="1" activeTab="10"/>
  </bookViews>
  <sheets>
    <sheet name="Routes" sheetId="1" r:id="rId1"/>
    <sheet name="Final" sheetId="16" r:id="rId2"/>
    <sheet name="A" sheetId="3" r:id="rId3"/>
    <sheet name="B" sheetId="4" r:id="rId4"/>
    <sheet name="C" sheetId="5" r:id="rId5"/>
    <sheet name="D" sheetId="6" r:id="rId6"/>
    <sheet name="E" sheetId="7" r:id="rId7"/>
    <sheet name="F" sheetId="8" r:id="rId8"/>
    <sheet name="PM Info (OLD)" sheetId="12" r:id="rId9"/>
    <sheet name="InfoBoxes" sheetId="19" r:id="rId10"/>
    <sheet name="Conflicts (OLD)" sheetId="22" r:id="rId11"/>
    <sheet name="Free1" sheetId="20" r:id="rId12"/>
    <sheet name="Conflicts (New)" sheetId="23" r:id="rId13"/>
    <sheet name="Free2" sheetId="18" r:id="rId14"/>
    <sheet name="ScenarioList" sheetId="24" r:id="rId15"/>
    <sheet name="ShayneScenList" sheetId="25" r:id="rId1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5" i="24" l="1"/>
  <c r="G76" i="24"/>
  <c r="G77" i="24"/>
  <c r="G78" i="24"/>
  <c r="G79" i="24"/>
  <c r="G80" i="24"/>
  <c r="G81" i="24"/>
  <c r="C2" i="12" l="1"/>
  <c r="C17" i="12"/>
  <c r="C16" i="12"/>
  <c r="C15" i="12"/>
  <c r="C14" i="12"/>
  <c r="C13" i="12"/>
  <c r="C12" i="12"/>
  <c r="C11" i="12"/>
  <c r="C10" i="12"/>
  <c r="C9" i="12"/>
  <c r="C8" i="12"/>
  <c r="C7" i="12"/>
  <c r="C6" i="12"/>
  <c r="C5" i="12"/>
  <c r="C4" i="12"/>
  <c r="C3" i="12"/>
  <c r="G19" i="12" l="1"/>
  <c r="C19" i="12"/>
  <c r="L7" i="6" l="1"/>
  <c r="L8" i="8" l="1"/>
  <c r="G19" i="25" l="1"/>
  <c r="G20" i="25"/>
  <c r="G21" i="25"/>
  <c r="G22" i="25"/>
  <c r="G23" i="25"/>
  <c r="G24" i="25"/>
  <c r="G25" i="25"/>
  <c r="G26" i="25"/>
  <c r="G27" i="25"/>
  <c r="G28" i="25"/>
  <c r="G29" i="25"/>
  <c r="G30" i="25"/>
  <c r="G31" i="25"/>
  <c r="G32" i="25"/>
  <c r="G33" i="25"/>
  <c r="G18" i="25"/>
  <c r="G3" i="25"/>
  <c r="G4" i="25"/>
  <c r="G5" i="25"/>
  <c r="G6" i="25"/>
  <c r="G7" i="25"/>
  <c r="G8" i="25"/>
  <c r="G9" i="25"/>
  <c r="G10" i="25"/>
  <c r="G11" i="25"/>
  <c r="G12" i="25"/>
  <c r="G13" i="25"/>
  <c r="G14" i="25"/>
  <c r="G15" i="25"/>
  <c r="G16" i="25"/>
  <c r="G17" i="25"/>
  <c r="G2" i="25"/>
  <c r="E15" i="23" l="1"/>
  <c r="B24" i="6"/>
  <c r="D3" i="24" l="1"/>
  <c r="G3" i="24" s="1"/>
  <c r="D4" i="24"/>
  <c r="G4" i="24" s="1"/>
  <c r="D5" i="24"/>
  <c r="G5" i="24" s="1"/>
  <c r="D6" i="24"/>
  <c r="G6" i="24" s="1"/>
  <c r="D7" i="24"/>
  <c r="G7" i="24" s="1"/>
  <c r="D8" i="24"/>
  <c r="G8" i="24" s="1"/>
  <c r="D9" i="24"/>
  <c r="G9" i="24" s="1"/>
  <c r="D10" i="24"/>
  <c r="G10" i="24" s="1"/>
  <c r="D11" i="24"/>
  <c r="G11" i="24" s="1"/>
  <c r="D12" i="24"/>
  <c r="G12" i="24" s="1"/>
  <c r="D13" i="24"/>
  <c r="G13" i="24" s="1"/>
  <c r="D14" i="24"/>
  <c r="G14" i="24" s="1"/>
  <c r="D15" i="24"/>
  <c r="G15" i="24" s="1"/>
  <c r="D16" i="24"/>
  <c r="G16" i="24" s="1"/>
  <c r="D17" i="24"/>
  <c r="G17" i="24" s="1"/>
  <c r="D18" i="24"/>
  <c r="G18" i="24" s="1"/>
  <c r="D19" i="24"/>
  <c r="G19" i="24" s="1"/>
  <c r="D20" i="24"/>
  <c r="G20" i="24" s="1"/>
  <c r="D21" i="24"/>
  <c r="G21" i="24" s="1"/>
  <c r="D22" i="24"/>
  <c r="G22" i="24" s="1"/>
  <c r="D23" i="24"/>
  <c r="G23" i="24" s="1"/>
  <c r="D24" i="24"/>
  <c r="G24" i="24" s="1"/>
  <c r="D25" i="24"/>
  <c r="G25" i="24" s="1"/>
  <c r="D26" i="24"/>
  <c r="G26" i="24" s="1"/>
  <c r="D27" i="24"/>
  <c r="G27" i="24" s="1"/>
  <c r="D28" i="24"/>
  <c r="G28" i="24" s="1"/>
  <c r="D29" i="24"/>
  <c r="G29" i="24" s="1"/>
  <c r="D30" i="24"/>
  <c r="G30" i="24" s="1"/>
  <c r="D31" i="24"/>
  <c r="G31" i="24" s="1"/>
  <c r="D32" i="24"/>
  <c r="G32" i="24" s="1"/>
  <c r="D33" i="24"/>
  <c r="G33" i="24" s="1"/>
  <c r="D34" i="24"/>
  <c r="G34" i="24" s="1"/>
  <c r="D35" i="24"/>
  <c r="G35" i="24" s="1"/>
  <c r="D36" i="24"/>
  <c r="G36" i="24" s="1"/>
  <c r="D37" i="24"/>
  <c r="G37" i="24" s="1"/>
  <c r="D38" i="24"/>
  <c r="G38" i="24" s="1"/>
  <c r="D39" i="24"/>
  <c r="G39" i="24" s="1"/>
  <c r="D40" i="24"/>
  <c r="G40" i="24" s="1"/>
  <c r="D41" i="24"/>
  <c r="G41" i="24" s="1"/>
  <c r="D42" i="24"/>
  <c r="G42" i="24" s="1"/>
  <c r="D43" i="24"/>
  <c r="G43" i="24" s="1"/>
  <c r="D44" i="24"/>
  <c r="G44" i="24" s="1"/>
  <c r="D45" i="24"/>
  <c r="G45" i="24" s="1"/>
  <c r="D46" i="24"/>
  <c r="G46" i="24" s="1"/>
  <c r="D47" i="24"/>
  <c r="G47" i="24" s="1"/>
  <c r="D48" i="24"/>
  <c r="G48" i="24" s="1"/>
  <c r="D49" i="24"/>
  <c r="G49" i="24" s="1"/>
  <c r="D50" i="24"/>
  <c r="G50" i="24" s="1"/>
  <c r="D51" i="24"/>
  <c r="G51" i="24" s="1"/>
  <c r="D52" i="24"/>
  <c r="G52" i="24" s="1"/>
  <c r="D53" i="24"/>
  <c r="G53" i="24" s="1"/>
  <c r="D54" i="24"/>
  <c r="G54" i="24" s="1"/>
  <c r="D55" i="24"/>
  <c r="G55" i="24" s="1"/>
  <c r="D56" i="24"/>
  <c r="G56" i="24" s="1"/>
  <c r="D57" i="24"/>
  <c r="G57" i="24" s="1"/>
  <c r="D58" i="24"/>
  <c r="G58" i="24" s="1"/>
  <c r="D59" i="24"/>
  <c r="G59" i="24" s="1"/>
  <c r="D60" i="24"/>
  <c r="G60" i="24" s="1"/>
  <c r="D61" i="24"/>
  <c r="G61" i="24" s="1"/>
  <c r="D62" i="24"/>
  <c r="G62" i="24" s="1"/>
  <c r="D63" i="24"/>
  <c r="G63" i="24" s="1"/>
  <c r="D64" i="24"/>
  <c r="G64" i="24" s="1"/>
  <c r="D65" i="24"/>
  <c r="G65" i="24" s="1"/>
  <c r="D66" i="24"/>
  <c r="G66" i="24" s="1"/>
  <c r="D67" i="24"/>
  <c r="G67" i="24" s="1"/>
  <c r="D68" i="24"/>
  <c r="G68" i="24" s="1"/>
  <c r="D69" i="24"/>
  <c r="G69" i="24" s="1"/>
  <c r="D70" i="24"/>
  <c r="G70" i="24" s="1"/>
  <c r="D71" i="24"/>
  <c r="G71" i="24" s="1"/>
  <c r="D72" i="24"/>
  <c r="G72" i="24" s="1"/>
  <c r="D73" i="24"/>
  <c r="G73" i="24" s="1"/>
  <c r="D74" i="24"/>
  <c r="G74" i="24" s="1"/>
  <c r="D75" i="24"/>
  <c r="D76" i="24"/>
  <c r="D77" i="24"/>
  <c r="D78" i="24"/>
  <c r="D79" i="24"/>
  <c r="D80" i="24"/>
  <c r="D81" i="24"/>
  <c r="D82" i="24"/>
  <c r="G82" i="24" s="1"/>
  <c r="D83" i="24"/>
  <c r="G83" i="24" s="1"/>
  <c r="D84" i="24"/>
  <c r="G84" i="24" s="1"/>
  <c r="D85" i="24"/>
  <c r="G85" i="24" s="1"/>
  <c r="D86" i="24"/>
  <c r="G86" i="24" s="1"/>
  <c r="D87" i="24"/>
  <c r="G87" i="24" s="1"/>
  <c r="D88" i="24"/>
  <c r="G88" i="24" s="1"/>
  <c r="D89" i="24"/>
  <c r="G89" i="24" s="1"/>
  <c r="D90" i="24"/>
  <c r="G90" i="24" s="1"/>
  <c r="D91" i="24"/>
  <c r="G91" i="24" s="1"/>
  <c r="D92" i="24"/>
  <c r="G92" i="24" s="1"/>
  <c r="D93" i="24"/>
  <c r="G93" i="24" s="1"/>
  <c r="D94" i="24"/>
  <c r="G94" i="24" s="1"/>
  <c r="D95" i="24"/>
  <c r="G95" i="24" s="1"/>
  <c r="D96" i="24"/>
  <c r="G96" i="24" s="1"/>
  <c r="D97" i="24"/>
  <c r="G97" i="24" s="1"/>
  <c r="D98" i="24"/>
  <c r="G98" i="24" s="1"/>
  <c r="D99" i="24"/>
  <c r="G99" i="24" s="1"/>
  <c r="D100" i="24"/>
  <c r="G100" i="24" s="1"/>
  <c r="D101" i="24"/>
  <c r="G101" i="24" s="1"/>
  <c r="D102" i="24"/>
  <c r="G102" i="24" s="1"/>
  <c r="D103" i="24"/>
  <c r="G103" i="24" s="1"/>
  <c r="D104" i="24"/>
  <c r="G104" i="24" s="1"/>
  <c r="D105" i="24"/>
  <c r="G105" i="24" s="1"/>
  <c r="D106" i="24"/>
  <c r="G106" i="24" s="1"/>
  <c r="D107" i="24"/>
  <c r="G107" i="24" s="1"/>
  <c r="D108" i="24"/>
  <c r="G108" i="24" s="1"/>
  <c r="D109" i="24"/>
  <c r="G109" i="24" s="1"/>
  <c r="D110" i="24"/>
  <c r="G110" i="24" s="1"/>
  <c r="D111" i="24"/>
  <c r="G111" i="24" s="1"/>
  <c r="D112" i="24"/>
  <c r="G112" i="24" s="1"/>
  <c r="D113" i="24"/>
  <c r="G113" i="24" s="1"/>
  <c r="D114" i="24"/>
  <c r="G114" i="24" s="1"/>
  <c r="D115" i="24"/>
  <c r="G115" i="24" s="1"/>
  <c r="D116" i="24"/>
  <c r="G116" i="24" s="1"/>
  <c r="D117" i="24"/>
  <c r="G117" i="24" s="1"/>
  <c r="D118" i="24"/>
  <c r="G118" i="24" s="1"/>
  <c r="D119" i="24"/>
  <c r="G119" i="24" s="1"/>
  <c r="D120" i="24"/>
  <c r="G120" i="24" s="1"/>
  <c r="D121" i="24"/>
  <c r="G121" i="24" s="1"/>
  <c r="D122" i="24"/>
  <c r="G122" i="24" s="1"/>
  <c r="D123" i="24"/>
  <c r="G123" i="24" s="1"/>
  <c r="D124" i="24"/>
  <c r="G124" i="24" s="1"/>
  <c r="D125" i="24"/>
  <c r="G125" i="24" s="1"/>
  <c r="D126" i="24"/>
  <c r="G126" i="24" s="1"/>
  <c r="D127" i="24"/>
  <c r="G127" i="24" s="1"/>
  <c r="D128" i="24"/>
  <c r="G128" i="24" s="1"/>
  <c r="D129" i="24"/>
  <c r="G129" i="24" s="1"/>
  <c r="D2" i="24"/>
  <c r="G2" i="24" s="1"/>
  <c r="O3" i="19" l="1"/>
  <c r="O4" i="19"/>
  <c r="O5" i="19"/>
  <c r="O6" i="19"/>
  <c r="O7" i="19"/>
  <c r="O8" i="19"/>
  <c r="O9" i="19"/>
  <c r="O10" i="19"/>
  <c r="O11" i="19"/>
  <c r="O12" i="19"/>
  <c r="O13" i="19"/>
  <c r="O14" i="19"/>
  <c r="O15" i="19"/>
  <c r="O16" i="19"/>
  <c r="O17" i="19"/>
  <c r="O2" i="19"/>
  <c r="N49" i="19"/>
  <c r="N50" i="19"/>
  <c r="N51" i="19"/>
  <c r="N52" i="19"/>
  <c r="N53" i="19"/>
  <c r="N54" i="19"/>
  <c r="N55" i="19"/>
  <c r="N56" i="19"/>
  <c r="N57" i="19"/>
  <c r="N58" i="19"/>
  <c r="N59" i="19"/>
  <c r="N60" i="19"/>
  <c r="N61" i="19"/>
  <c r="N62" i="19"/>
  <c r="N63" i="19"/>
  <c r="N64" i="19"/>
  <c r="N65" i="19"/>
  <c r="N3" i="19"/>
  <c r="N4" i="19"/>
  <c r="N5" i="19"/>
  <c r="N6" i="19"/>
  <c r="N7" i="19"/>
  <c r="N8" i="19"/>
  <c r="N9" i="19"/>
  <c r="N10" i="19"/>
  <c r="N11" i="19"/>
  <c r="N12"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2" i="19"/>
  <c r="B24" i="7" l="1"/>
  <c r="F3" i="3"/>
  <c r="P9" i="7"/>
  <c r="F15" i="12"/>
  <c r="G15" i="12" s="1"/>
  <c r="B49" i="20"/>
  <c r="E34" i="20"/>
  <c r="D34" i="20"/>
  <c r="C34" i="20"/>
  <c r="B35" i="20"/>
  <c r="B36" i="20"/>
  <c r="B37" i="20"/>
  <c r="B38" i="20"/>
  <c r="B39" i="20"/>
  <c r="B40" i="20"/>
  <c r="B41" i="20"/>
  <c r="B42" i="20"/>
  <c r="B43" i="20"/>
  <c r="B44" i="20"/>
  <c r="B45" i="20"/>
  <c r="B46" i="20"/>
  <c r="B47" i="20"/>
  <c r="B48" i="20"/>
  <c r="B34" i="20"/>
  <c r="P5" i="4"/>
  <c r="O3" i="7"/>
  <c r="P9" i="6"/>
  <c r="P7" i="6"/>
  <c r="N8" i="8" l="1"/>
  <c r="L8" i="7" l="1"/>
  <c r="P8" i="7" s="1"/>
  <c r="P7" i="8"/>
  <c r="B22" i="8"/>
  <c r="I10" i="12" l="1"/>
  <c r="E10" i="12" l="1"/>
  <c r="E11" i="12"/>
  <c r="E12" i="12"/>
  <c r="E5" i="12"/>
  <c r="E2" i="12"/>
  <c r="E8" i="12"/>
  <c r="E16" i="12"/>
  <c r="E9" i="12"/>
  <c r="E3" i="12"/>
  <c r="E13" i="12"/>
  <c r="E6" i="12"/>
  <c r="E17" i="12"/>
  <c r="E4" i="12"/>
  <c r="E7" i="12"/>
  <c r="E14" i="12"/>
  <c r="I6" i="5" l="1"/>
  <c r="E18" i="6"/>
  <c r="I4" i="5"/>
  <c r="O6" i="5"/>
  <c r="W11" i="4"/>
  <c r="W10" i="4"/>
  <c r="W10" i="3"/>
  <c r="W9" i="3"/>
  <c r="W11" i="3"/>
  <c r="W12" i="4"/>
  <c r="B22" i="6"/>
  <c r="W25" i="20"/>
  <c r="R8" i="18"/>
  <c r="R7" i="18"/>
  <c r="R6" i="18"/>
  <c r="R5" i="18"/>
  <c r="R4" i="18"/>
  <c r="R3" i="18"/>
  <c r="Q25" i="20" l="1"/>
  <c r="L25" i="20"/>
  <c r="A25" i="20"/>
  <c r="V25" i="20" s="1"/>
  <c r="L8" i="20"/>
  <c r="B11" i="20"/>
  <c r="B20" i="20" s="1"/>
  <c r="G8" i="20"/>
  <c r="F8" i="20"/>
  <c r="G7" i="20"/>
  <c r="F7" i="20"/>
  <c r="I7" i="20" s="1"/>
  <c r="O6" i="20"/>
  <c r="I6" i="20"/>
  <c r="F4" i="20"/>
  <c r="I3" i="20"/>
  <c r="F3" i="20"/>
  <c r="M25" i="20" l="1"/>
  <c r="F9" i="20"/>
  <c r="I9" i="20" s="1"/>
  <c r="H7" i="20"/>
  <c r="L7" i="20" s="1"/>
  <c r="H8" i="20"/>
  <c r="N8" i="20" s="1"/>
  <c r="O8" i="20" s="1"/>
  <c r="I8" i="20"/>
  <c r="B16" i="20" s="1"/>
  <c r="B12" i="8"/>
  <c r="A5" i="3"/>
  <c r="A3" i="3"/>
  <c r="G21" i="1"/>
  <c r="F21" i="1"/>
  <c r="F4" i="5"/>
  <c r="O25" i="20" l="1"/>
  <c r="T25" i="20" s="1"/>
  <c r="N7" i="20"/>
  <c r="O7" i="20" s="1"/>
  <c r="K8" i="20"/>
  <c r="K7" i="20"/>
  <c r="B3" i="19"/>
  <c r="B4" i="19"/>
  <c r="B5" i="19"/>
  <c r="B6" i="19"/>
  <c r="B7" i="19"/>
  <c r="B8" i="19"/>
  <c r="B9" i="19"/>
  <c r="B10" i="19"/>
  <c r="B11" i="19"/>
  <c r="B12" i="19"/>
  <c r="B13" i="19"/>
  <c r="B14" i="19"/>
  <c r="B15" i="19"/>
  <c r="B16" i="19"/>
  <c r="B2" i="19"/>
  <c r="U25" i="20" l="1"/>
  <c r="F9" i="6"/>
  <c r="N9" i="6"/>
  <c r="O9" i="6" s="1"/>
  <c r="M12" i="4"/>
  <c r="P12" i="4" s="1"/>
  <c r="L12" i="4"/>
  <c r="O12" i="4" s="1"/>
  <c r="A12" i="4"/>
  <c r="V12" i="4" s="1"/>
  <c r="L11" i="4"/>
  <c r="M11" i="4" s="1"/>
  <c r="A11" i="4"/>
  <c r="V11" i="4" s="1"/>
  <c r="L10" i="4"/>
  <c r="A10" i="4"/>
  <c r="V10" i="4" s="1"/>
  <c r="L11" i="3"/>
  <c r="A11" i="3"/>
  <c r="V11" i="3" s="1"/>
  <c r="L10" i="3"/>
  <c r="A10" i="3"/>
  <c r="V10" i="3" s="1"/>
  <c r="L9" i="3"/>
  <c r="M9" i="3" s="1"/>
  <c r="P9" i="3" s="1"/>
  <c r="A9" i="3"/>
  <c r="V9" i="3" s="1"/>
  <c r="O6" i="8"/>
  <c r="I9" i="8"/>
  <c r="I8" i="8"/>
  <c r="I7" i="8"/>
  <c r="I6" i="8"/>
  <c r="I6" i="7"/>
  <c r="O6" i="7"/>
  <c r="B12" i="7"/>
  <c r="O6" i="6"/>
  <c r="I6" i="6"/>
  <c r="I8" i="6"/>
  <c r="I7" i="6"/>
  <c r="I7" i="5"/>
  <c r="B17" i="6"/>
  <c r="B12" i="6"/>
  <c r="B23" i="6" s="1"/>
  <c r="F8" i="5"/>
  <c r="I8" i="5" s="1"/>
  <c r="B11" i="5"/>
  <c r="M5" i="12"/>
  <c r="M6" i="12"/>
  <c r="M7" i="12"/>
  <c r="M8" i="12"/>
  <c r="M9" i="12"/>
  <c r="M10" i="12"/>
  <c r="M11" i="12"/>
  <c r="M12" i="12"/>
  <c r="M13" i="12"/>
  <c r="M14" i="12"/>
  <c r="M15" i="12"/>
  <c r="M16" i="12"/>
  <c r="M17" i="12"/>
  <c r="L18" i="12"/>
  <c r="M4" i="12"/>
  <c r="L5" i="4"/>
  <c r="M5" i="4" s="1"/>
  <c r="A6" i="4"/>
  <c r="V6" i="4" s="1"/>
  <c r="L6" i="4"/>
  <c r="O6" i="4" s="1"/>
  <c r="W6" i="4" s="1"/>
  <c r="M6" i="4"/>
  <c r="P6" i="4" s="1"/>
  <c r="B23" i="7" l="1"/>
  <c r="O11" i="4"/>
  <c r="P11" i="4"/>
  <c r="T12" i="4"/>
  <c r="U12" i="4" s="1"/>
  <c r="M10" i="4"/>
  <c r="P10" i="4" s="1"/>
  <c r="O11" i="3"/>
  <c r="O9" i="3"/>
  <c r="M10" i="3"/>
  <c r="P10" i="3" s="1"/>
  <c r="M11" i="3"/>
  <c r="P11" i="3" s="1"/>
  <c r="B17" i="8"/>
  <c r="T6" i="4"/>
  <c r="U6" i="4" s="1"/>
  <c r="O5" i="4"/>
  <c r="W5" i="4" s="1"/>
  <c r="O4" i="3"/>
  <c r="P4" i="3"/>
  <c r="O5" i="3"/>
  <c r="P5" i="3"/>
  <c r="L4" i="3"/>
  <c r="M4" i="3" s="1"/>
  <c r="L5" i="3"/>
  <c r="M5" i="3"/>
  <c r="J3" i="18"/>
  <c r="J4" i="18"/>
  <c r="J5" i="18"/>
  <c r="J7" i="18"/>
  <c r="J8" i="18"/>
  <c r="G4" i="18"/>
  <c r="H4" i="18" s="1"/>
  <c r="K4" i="18" s="1"/>
  <c r="G5" i="18"/>
  <c r="H5" i="18"/>
  <c r="K5" i="18" s="1"/>
  <c r="G7" i="18"/>
  <c r="H7" i="18" s="1"/>
  <c r="G8" i="18"/>
  <c r="H8" i="18" s="1"/>
  <c r="K8" i="18" s="1"/>
  <c r="G3" i="18"/>
  <c r="H3" i="18" s="1"/>
  <c r="K3" i="18" s="1"/>
  <c r="F9" i="8"/>
  <c r="L9" i="8"/>
  <c r="G9" i="8"/>
  <c r="H9" i="8" s="1"/>
  <c r="F10" i="6"/>
  <c r="G9" i="7"/>
  <c r="H9" i="7" s="1"/>
  <c r="G8" i="8"/>
  <c r="F8" i="8"/>
  <c r="G7" i="8"/>
  <c r="F7" i="8"/>
  <c r="L3" i="8"/>
  <c r="I3" i="8"/>
  <c r="F3" i="8"/>
  <c r="G8" i="7"/>
  <c r="F8" i="7"/>
  <c r="I8" i="7" s="1"/>
  <c r="G7" i="7"/>
  <c r="F7" i="7"/>
  <c r="I7" i="7" s="1"/>
  <c r="L3" i="7"/>
  <c r="I3" i="7"/>
  <c r="F3" i="7"/>
  <c r="F8" i="6"/>
  <c r="I9" i="6"/>
  <c r="W6" i="16"/>
  <c r="Q3" i="16"/>
  <c r="Q4" i="16"/>
  <c r="Q8" i="16"/>
  <c r="B16" i="5"/>
  <c r="L3" i="6"/>
  <c r="G8" i="6"/>
  <c r="H8" i="6" s="1"/>
  <c r="G7" i="6"/>
  <c r="H7" i="6" s="1"/>
  <c r="F7" i="6"/>
  <c r="I3" i="6"/>
  <c r="F3" i="6"/>
  <c r="G8" i="5"/>
  <c r="H8" i="5" s="1"/>
  <c r="L8" i="5" s="1"/>
  <c r="G7" i="5"/>
  <c r="H7" i="5" s="1"/>
  <c r="L7" i="5" s="1"/>
  <c r="N7" i="5" s="1"/>
  <c r="F7" i="5"/>
  <c r="I3" i="5"/>
  <c r="F3" i="5"/>
  <c r="N9" i="8" l="1"/>
  <c r="O9" i="8" s="1"/>
  <c r="P9" i="8"/>
  <c r="P7" i="5"/>
  <c r="O7" i="5"/>
  <c r="N8" i="5"/>
  <c r="O8" i="5" s="1"/>
  <c r="P8" i="5"/>
  <c r="T4" i="3"/>
  <c r="U4" i="3" s="1"/>
  <c r="W4" i="3"/>
  <c r="V4" i="3"/>
  <c r="V5" i="4"/>
  <c r="T5" i="3"/>
  <c r="U5" i="3" s="1"/>
  <c r="W5" i="3"/>
  <c r="V5" i="3"/>
  <c r="K9" i="7"/>
  <c r="N9" i="7" s="1"/>
  <c r="O9" i="7" s="1"/>
  <c r="N7" i="6"/>
  <c r="O7" i="6" s="1"/>
  <c r="B20" i="5"/>
  <c r="T11" i="4"/>
  <c r="U11" i="4" s="1"/>
  <c r="O10" i="4"/>
  <c r="T11" i="3"/>
  <c r="U11" i="3" s="1"/>
  <c r="T9" i="3"/>
  <c r="U9" i="3" s="1"/>
  <c r="O10" i="3"/>
  <c r="T5" i="4"/>
  <c r="U5" i="4" s="1"/>
  <c r="K7" i="18"/>
  <c r="P8" i="18"/>
  <c r="Q8" i="18" s="1"/>
  <c r="F10" i="8"/>
  <c r="I10" i="8" s="1"/>
  <c r="F9" i="7"/>
  <c r="H7" i="8"/>
  <c r="L7" i="8" s="1"/>
  <c r="H8" i="8"/>
  <c r="H7" i="7"/>
  <c r="L7" i="7" s="1"/>
  <c r="P7" i="7" s="1"/>
  <c r="H8" i="7"/>
  <c r="K7" i="6"/>
  <c r="K8" i="6"/>
  <c r="P8" i="6" s="1"/>
  <c r="L8" i="6"/>
  <c r="I10" i="6"/>
  <c r="K7" i="5"/>
  <c r="K8" i="5"/>
  <c r="F9" i="5"/>
  <c r="I9" i="5" s="1"/>
  <c r="N6" i="16"/>
  <c r="N5" i="16"/>
  <c r="W5" i="16"/>
  <c r="X5" i="16"/>
  <c r="H6" i="16"/>
  <c r="S7" i="16"/>
  <c r="M6" i="16"/>
  <c r="M7" i="16"/>
  <c r="N7" i="16" s="1"/>
  <c r="G7" i="16"/>
  <c r="H7" i="16" s="1"/>
  <c r="M8" i="16"/>
  <c r="N8" i="16" s="1"/>
  <c r="U8" i="16" s="1"/>
  <c r="M5" i="16"/>
  <c r="G3" i="16"/>
  <c r="H3" i="16" s="1"/>
  <c r="G4" i="16"/>
  <c r="H4" i="16" s="1"/>
  <c r="G5" i="16"/>
  <c r="G8" i="16"/>
  <c r="H8" i="16" s="1"/>
  <c r="O8" i="16" s="1"/>
  <c r="G6" i="16"/>
  <c r="M4" i="16"/>
  <c r="N4" i="16" s="1"/>
  <c r="M3" i="16"/>
  <c r="N3" i="16" s="1"/>
  <c r="N8" i="6" l="1"/>
  <c r="O8" i="6" s="1"/>
  <c r="B21" i="6"/>
  <c r="B21" i="8"/>
  <c r="P8" i="8"/>
  <c r="I9" i="7"/>
  <c r="B17" i="7" s="1"/>
  <c r="B22" i="7" s="1"/>
  <c r="F10" i="7"/>
  <c r="I10" i="7" s="1"/>
  <c r="N7" i="8"/>
  <c r="O7" i="8" s="1"/>
  <c r="N8" i="7"/>
  <c r="O8" i="7" s="1"/>
  <c r="T10" i="4"/>
  <c r="U10" i="4" s="1"/>
  <c r="T10" i="3"/>
  <c r="U10" i="3" s="1"/>
  <c r="P4" i="18"/>
  <c r="Q4" i="18" s="1"/>
  <c r="P6" i="18"/>
  <c r="Q6" i="18" s="1"/>
  <c r="P7" i="18"/>
  <c r="Q7" i="18" s="1"/>
  <c r="P3" i="18"/>
  <c r="Q3" i="18" s="1"/>
  <c r="P5" i="18"/>
  <c r="Q5" i="18" s="1"/>
  <c r="N7" i="7"/>
  <c r="O7" i="7" s="1"/>
  <c r="K7" i="8"/>
  <c r="K8" i="8"/>
  <c r="O8" i="8" s="1"/>
  <c r="K8" i="7"/>
  <c r="K7" i="7"/>
  <c r="O3" i="16"/>
  <c r="P6" i="16"/>
  <c r="P7" i="16"/>
  <c r="P8" i="16"/>
  <c r="W8" i="16" s="1"/>
  <c r="H5" i="16"/>
  <c r="O5" i="16" s="1"/>
  <c r="V5" i="16"/>
  <c r="O4" i="16"/>
  <c r="B21" i="7" l="1"/>
  <c r="P3" i="16"/>
  <c r="S3" i="16"/>
  <c r="U3" i="16" s="1"/>
  <c r="V3" i="16" s="1"/>
  <c r="X6" i="16"/>
  <c r="Q6" i="16"/>
  <c r="P4" i="16"/>
  <c r="S4" i="16" s="1"/>
  <c r="T8" i="16"/>
  <c r="X8" i="16"/>
  <c r="Q7" i="16"/>
  <c r="T7" i="16" s="1"/>
  <c r="P5" i="16"/>
  <c r="L4" i="4"/>
  <c r="A4" i="4"/>
  <c r="W3" i="16" l="1"/>
  <c r="X3" i="16" s="1"/>
  <c r="T4" i="16"/>
  <c r="T6" i="16"/>
  <c r="S6" i="16"/>
  <c r="U4" i="16"/>
  <c r="V4" i="16" s="1"/>
  <c r="W4" i="16" s="1"/>
  <c r="X4" i="16" s="1"/>
  <c r="T3" i="16"/>
  <c r="S8" i="16"/>
  <c r="Q5" i="16"/>
  <c r="S5" i="16" s="1"/>
  <c r="M4" i="4"/>
  <c r="L3" i="3"/>
  <c r="U7" i="16" l="1"/>
  <c r="V7" i="16" s="1"/>
  <c r="W7" i="16" s="1"/>
  <c r="X7" i="16" s="1"/>
  <c r="T5" i="16"/>
  <c r="M3" i="3"/>
  <c r="W4" i="4" l="1"/>
  <c r="V4" i="4"/>
  <c r="T4" i="4"/>
  <c r="U4" i="4" s="1"/>
  <c r="O3" i="3"/>
  <c r="W3" i="3" l="1"/>
  <c r="V3" i="3"/>
  <c r="T3" i="3"/>
  <c r="U3" i="3" s="1"/>
</calcChain>
</file>

<file path=xl/sharedStrings.xml><?xml version="1.0" encoding="utf-8"?>
<sst xmlns="http://schemas.openxmlformats.org/spreadsheetml/2006/main" count="1718" uniqueCount="390">
  <si>
    <t>Route</t>
  </si>
  <si>
    <t>A</t>
  </si>
  <si>
    <t>B</t>
  </si>
  <si>
    <t>C</t>
  </si>
  <si>
    <t>D</t>
  </si>
  <si>
    <t>E</t>
  </si>
  <si>
    <t>F</t>
  </si>
  <si>
    <t>Five</t>
  </si>
  <si>
    <t>Twelve</t>
  </si>
  <si>
    <t>Eleven</t>
  </si>
  <si>
    <t>Six</t>
  </si>
  <si>
    <t>Eight</t>
  </si>
  <si>
    <t>eighteen</t>
  </si>
  <si>
    <t>Eighteen</t>
  </si>
  <si>
    <t>three</t>
  </si>
  <si>
    <t>Three</t>
  </si>
  <si>
    <t>two</t>
  </si>
  <si>
    <t>twenty</t>
  </si>
  <si>
    <t>nineteen</t>
  </si>
  <si>
    <t>nine</t>
  </si>
  <si>
    <t>seven</t>
  </si>
  <si>
    <t>fifteen</t>
  </si>
  <si>
    <t>thirteen</t>
  </si>
  <si>
    <t>one</t>
  </si>
  <si>
    <t>four</t>
  </si>
  <si>
    <t>seventeen</t>
  </si>
  <si>
    <t>fourteen</t>
  </si>
  <si>
    <t>sixteen</t>
  </si>
  <si>
    <t>ten</t>
  </si>
  <si>
    <t>twelve</t>
  </si>
  <si>
    <t>Route A - One line</t>
  </si>
  <si>
    <t>User Input</t>
  </si>
  <si>
    <t>Aircraft Output</t>
  </si>
  <si>
    <t>AC Name</t>
  </si>
  <si>
    <t>Type</t>
  </si>
  <si>
    <t>Start</t>
  </si>
  <si>
    <t>Speed</t>
  </si>
  <si>
    <t>Altitude</t>
  </si>
  <si>
    <t>X1</t>
  </si>
  <si>
    <t>Y1</t>
  </si>
  <si>
    <t>X2</t>
  </si>
  <si>
    <t>Y2</t>
  </si>
  <si>
    <t>Gradient</t>
  </si>
  <si>
    <t>y intercept</t>
  </si>
  <si>
    <t>X</t>
  </si>
  <si>
    <t>Y</t>
  </si>
  <si>
    <t>A320</t>
  </si>
  <si>
    <t>B737</t>
  </si>
  <si>
    <t>Distance</t>
  </si>
  <si>
    <t>Time</t>
  </si>
  <si>
    <t>Trial</t>
  </si>
  <si>
    <t>-</t>
  </si>
  <si>
    <t>Short Handoff</t>
  </si>
  <si>
    <t>Long Handoff</t>
  </si>
  <si>
    <t>NA</t>
  </si>
  <si>
    <t>position</t>
  </si>
  <si>
    <t xml:space="preserve"> x</t>
  </si>
  <si>
    <t xml:space="preserve"> y</t>
  </si>
  <si>
    <t>five</t>
  </si>
  <si>
    <t>six</t>
  </si>
  <si>
    <t>eight</t>
  </si>
  <si>
    <t>eleven</t>
  </si>
  <si>
    <t xml:space="preserve">x='10.7531' y='42.8946' </t>
  </si>
  <si>
    <t xml:space="preserve">x='51.1627' y='43.7893' </t>
  </si>
  <si>
    <t xml:space="preserve">x='59.3639' y='33.5005' </t>
  </si>
  <si>
    <t xml:space="preserve">x='58.6183' y='10.8354' </t>
  </si>
  <si>
    <t xml:space="preserve">x='48.7769' y='8.0022'  </t>
  </si>
  <si>
    <t xml:space="preserve">x='13.2881' y='10.8354' </t>
  </si>
  <si>
    <t>Flash Point</t>
  </si>
  <si>
    <t>Name</t>
  </si>
  <si>
    <t>PM Start</t>
  </si>
  <si>
    <t>Border Intercept Point</t>
  </si>
  <si>
    <t>Code</t>
  </si>
  <si>
    <t>Border Coordinates (Line)</t>
  </si>
  <si>
    <t>Flight Path (Line)</t>
  </si>
  <si>
    <t>Border Line Equation</t>
  </si>
  <si>
    <t>Intercept</t>
  </si>
  <si>
    <t>Flight Path Equation</t>
  </si>
  <si>
    <t>Dist Start-Border</t>
  </si>
  <si>
    <t>Y1 (2)</t>
  </si>
  <si>
    <t>Y1 (1)</t>
  </si>
  <si>
    <t>Direction</t>
  </si>
  <si>
    <t>1 or -1</t>
  </si>
  <si>
    <t>Time From Border Estimate</t>
  </si>
  <si>
    <t>Assuming Speed 450</t>
  </si>
  <si>
    <t>True Flash Point</t>
  </si>
  <si>
    <t>Rounded Flashpoint</t>
  </si>
  <si>
    <t>Checked</t>
  </si>
  <si>
    <t>Yes</t>
  </si>
  <si>
    <t>Route B - One line</t>
  </si>
  <si>
    <t>X3</t>
  </si>
  <si>
    <t>Y3</t>
  </si>
  <si>
    <t>Route Info C</t>
  </si>
  <si>
    <t>Point 1</t>
  </si>
  <si>
    <t>Point 2</t>
  </si>
  <si>
    <t>Point 3</t>
  </si>
  <si>
    <t>Point 4</t>
  </si>
  <si>
    <t>Don't Change</t>
  </si>
  <si>
    <t>1 to 2</t>
  </si>
  <si>
    <t>2 to 3</t>
  </si>
  <si>
    <t>X4</t>
  </si>
  <si>
    <t>Y4</t>
  </si>
  <si>
    <t>Full Path</t>
  </si>
  <si>
    <t>Insert Desired Start Point on Line</t>
  </si>
  <si>
    <t>Change Just One</t>
  </si>
  <si>
    <t>Section1: 8-18</t>
  </si>
  <si>
    <t>Section2: 18-3</t>
  </si>
  <si>
    <t>Totals</t>
  </si>
  <si>
    <t>HO Time</t>
  </si>
  <si>
    <t>What Sections?</t>
  </si>
  <si>
    <t>PM Output</t>
  </si>
  <si>
    <t>Total</t>
  </si>
  <si>
    <t>3 to 4</t>
  </si>
  <si>
    <t>Section1: 2-20</t>
  </si>
  <si>
    <t>Section2: 20-19</t>
  </si>
  <si>
    <t>Section 3: 19-9</t>
  </si>
  <si>
    <t>Section1: 7-15</t>
  </si>
  <si>
    <t>Section2: 15-13</t>
  </si>
  <si>
    <t>Section 3: 13 -1</t>
  </si>
  <si>
    <t>Route #</t>
  </si>
  <si>
    <t>Route Letter</t>
  </si>
  <si>
    <t>Point 5</t>
  </si>
  <si>
    <t xml:space="preserve">Direction </t>
  </si>
  <si>
    <t>Line Information</t>
  </si>
  <si>
    <t>Manipulate Selector</t>
  </si>
  <si>
    <t>X (1) OR Y (2)?</t>
  </si>
  <si>
    <t>Left</t>
  </si>
  <si>
    <t>B747</t>
  </si>
  <si>
    <t>B744</t>
  </si>
  <si>
    <t>Key</t>
  </si>
  <si>
    <t>key_right</t>
  </si>
  <si>
    <t>key_left</t>
  </si>
  <si>
    <t>key_up</t>
  </si>
  <si>
    <t>key_down</t>
  </si>
  <si>
    <t>Aircraft Name</t>
  </si>
  <si>
    <t>PosX</t>
  </si>
  <si>
    <t>PosY</t>
  </si>
  <si>
    <t>Flight Path</t>
  </si>
  <si>
    <t>Encode Condition</t>
  </si>
  <si>
    <t>Retreive Condition</t>
  </si>
  <si>
    <t>PM Key</t>
  </si>
  <si>
    <t>Int Start</t>
  </si>
  <si>
    <t>Int Stop</t>
  </si>
  <si>
    <t>Output</t>
  </si>
  <si>
    <t>Right</t>
  </si>
  <si>
    <t>Up</t>
  </si>
  <si>
    <t>Down</t>
  </si>
  <si>
    <t>Short</t>
  </si>
  <si>
    <t>Long</t>
  </si>
  <si>
    <t>Full</t>
  </si>
  <si>
    <t>NotPM</t>
  </si>
  <si>
    <t>B767</t>
  </si>
  <si>
    <t>Just Last</t>
  </si>
  <si>
    <t>&lt;atc:point atc:x='51.1627' atc:y='43.7893'/&gt;&lt;atc:point atc:x='43.0438' atc:y='35.3827'/&gt;&lt;atc:point atc:x='23.7007' atc:y='18.0156'/&gt;&lt;atc:point atc:x='23.7115' atc:y='0'/&gt;&lt;/atc:flightpath&gt;&lt;/atc:aircraft&gt;</t>
  </si>
  <si>
    <t xml:space="preserve">atc:y='4.6823' </t>
  </si>
  <si>
    <t>/&gt;</t>
  </si>
  <si>
    <t>Column1</t>
  </si>
  <si>
    <t>Short Encode</t>
  </si>
  <si>
    <t>Long Encode</t>
  </si>
  <si>
    <t>Int Time</t>
  </si>
  <si>
    <t>C42</t>
  </si>
  <si>
    <t>C96</t>
  </si>
  <si>
    <t>No overlap (Post-Int)</t>
  </si>
  <si>
    <t>C75</t>
  </si>
  <si>
    <t>C46</t>
  </si>
  <si>
    <t>C98</t>
  </si>
  <si>
    <t>C44</t>
  </si>
  <si>
    <t>C61</t>
  </si>
  <si>
    <t>C78</t>
  </si>
  <si>
    <t>C53</t>
  </si>
  <si>
    <t>C11</t>
  </si>
  <si>
    <t>C21</t>
  </si>
  <si>
    <t>C50</t>
  </si>
  <si>
    <t>C41</t>
  </si>
  <si>
    <t>C94</t>
  </si>
  <si>
    <t>C54</t>
  </si>
  <si>
    <t>C13</t>
  </si>
  <si>
    <t>C49</t>
  </si>
  <si>
    <t>C8</t>
  </si>
  <si>
    <t>C66</t>
  </si>
  <si>
    <t>C79</t>
  </si>
  <si>
    <t>C86</t>
  </si>
  <si>
    <t>C27</t>
  </si>
  <si>
    <t>C40</t>
  </si>
  <si>
    <t>No Overlap (Pre-Int)</t>
  </si>
  <si>
    <t>C84</t>
  </si>
  <si>
    <t>C69</t>
  </si>
  <si>
    <t>C05</t>
  </si>
  <si>
    <t>C71</t>
  </si>
  <si>
    <t>C91</t>
  </si>
  <si>
    <t>C93</t>
  </si>
  <si>
    <t>C2</t>
  </si>
  <si>
    <t>C37</t>
  </si>
  <si>
    <t>C55</t>
  </si>
  <si>
    <t>C99</t>
  </si>
  <si>
    <t>C90</t>
  </si>
  <si>
    <t>C73</t>
  </si>
  <si>
    <t>C7</t>
  </si>
  <si>
    <t>C33</t>
  </si>
  <si>
    <t>C19</t>
  </si>
  <si>
    <t>C35</t>
  </si>
  <si>
    <t>C23</t>
  </si>
  <si>
    <t>C4</t>
  </si>
  <si>
    <t>C38</t>
  </si>
  <si>
    <t>C62</t>
  </si>
  <si>
    <t>C59</t>
  </si>
  <si>
    <t>C60</t>
  </si>
  <si>
    <t>Overlap - Conflict After</t>
  </si>
  <si>
    <t>C63</t>
  </si>
  <si>
    <t>C88</t>
  </si>
  <si>
    <t>C64</t>
  </si>
  <si>
    <t>C10</t>
  </si>
  <si>
    <t>C1</t>
  </si>
  <si>
    <t>C57</t>
  </si>
  <si>
    <t>C51</t>
  </si>
  <si>
    <t>C85</t>
  </si>
  <si>
    <t>C48</t>
  </si>
  <si>
    <t>C31</t>
  </si>
  <si>
    <t>C22</t>
  </si>
  <si>
    <t>C39</t>
  </si>
  <si>
    <t>C9</t>
  </si>
  <si>
    <t>C12</t>
  </si>
  <si>
    <t>C17</t>
  </si>
  <si>
    <t>CS1</t>
  </si>
  <si>
    <t>CS2</t>
  </si>
  <si>
    <t>Time 1</t>
  </si>
  <si>
    <t>Time 2</t>
  </si>
  <si>
    <t>Time Range</t>
  </si>
  <si>
    <t>Type (INT)</t>
  </si>
  <si>
    <t>RT</t>
  </si>
  <si>
    <t>For Full:</t>
  </si>
  <si>
    <t>0-19</t>
  </si>
  <si>
    <t>20-39</t>
  </si>
  <si>
    <t>40-60</t>
  </si>
  <si>
    <t>TYPE</t>
  </si>
  <si>
    <t>SPM</t>
  </si>
  <si>
    <t>BPosy</t>
  </si>
  <si>
    <t>BPosX</t>
  </si>
  <si>
    <t>LPM</t>
  </si>
  <si>
    <t>JQ59</t>
  </si>
  <si>
    <t>MH75</t>
  </si>
  <si>
    <t>QF12</t>
  </si>
  <si>
    <t>QR21</t>
  </si>
  <si>
    <t>NA02</t>
  </si>
  <si>
    <t>QF45</t>
  </si>
  <si>
    <t>NA84</t>
  </si>
  <si>
    <t>QR26</t>
  </si>
  <si>
    <t>QR51</t>
  </si>
  <si>
    <t>GA24</t>
  </si>
  <si>
    <t>NA16</t>
  </si>
  <si>
    <t>JQ94</t>
  </si>
  <si>
    <t>QF82</t>
  </si>
  <si>
    <t>QF27</t>
  </si>
  <si>
    <t>TT55</t>
  </si>
  <si>
    <t>NA74</t>
  </si>
  <si>
    <t>GA34</t>
  </si>
  <si>
    <t>SQ84</t>
  </si>
  <si>
    <t>EK91</t>
  </si>
  <si>
    <t>TT66</t>
  </si>
  <si>
    <t>GA14</t>
  </si>
  <si>
    <t>CX03</t>
  </si>
  <si>
    <t>MH26</t>
  </si>
  <si>
    <t>GA54</t>
  </si>
  <si>
    <t>QR84</t>
  </si>
  <si>
    <t>TT35</t>
  </si>
  <si>
    <t>CX90</t>
  </si>
  <si>
    <t>MH44</t>
  </si>
  <si>
    <t>NA11</t>
  </si>
  <si>
    <t>MH98</t>
  </si>
  <si>
    <t>SQ40</t>
  </si>
  <si>
    <t>SQ65</t>
  </si>
  <si>
    <t>SQ90</t>
  </si>
  <si>
    <t>EK39</t>
  </si>
  <si>
    <t>QF89</t>
  </si>
  <si>
    <t>MH23</t>
  </si>
  <si>
    <t>EK93</t>
  </si>
  <si>
    <t>QR46</t>
  </si>
  <si>
    <t>VA13</t>
  </si>
  <si>
    <t>QF75</t>
  </si>
  <si>
    <t>MH65</t>
  </si>
  <si>
    <t>CX50</t>
  </si>
  <si>
    <t>NA60</t>
  </si>
  <si>
    <t>JQ02</t>
  </si>
  <si>
    <t>GA55</t>
  </si>
  <si>
    <t>VA63</t>
  </si>
  <si>
    <t>CX12</t>
  </si>
  <si>
    <t>QF36</t>
  </si>
  <si>
    <t>QF63</t>
  </si>
  <si>
    <t>MH52</t>
  </si>
  <si>
    <t>VA17</t>
  </si>
  <si>
    <t>CX98</t>
  </si>
  <si>
    <t>VA96</t>
  </si>
  <si>
    <t>GA05</t>
  </si>
  <si>
    <t>QF41</t>
  </si>
  <si>
    <t>VA89</t>
  </si>
  <si>
    <t>QR17</t>
  </si>
  <si>
    <t>JQ40</t>
  </si>
  <si>
    <t>SQ22</t>
  </si>
  <si>
    <t>BA04</t>
  </si>
  <si>
    <t>EK96</t>
  </si>
  <si>
    <t>MH37</t>
  </si>
  <si>
    <t>NA06</t>
  </si>
  <si>
    <t>QR32</t>
  </si>
  <si>
    <t>TT92</t>
  </si>
  <si>
    <t>JQ25</t>
  </si>
  <si>
    <t>BA01</t>
  </si>
  <si>
    <t>QR04</t>
  </si>
  <si>
    <t>EK63</t>
  </si>
  <si>
    <t>QR74</t>
  </si>
  <si>
    <t>TT52</t>
  </si>
  <si>
    <t>EK37</t>
  </si>
  <si>
    <t>CX24</t>
  </si>
  <si>
    <t>JQ38</t>
  </si>
  <si>
    <t>EK05</t>
  </si>
  <si>
    <t>MH73</t>
  </si>
  <si>
    <t>NA22</t>
  </si>
  <si>
    <t>VA57</t>
  </si>
  <si>
    <t>BA05</t>
  </si>
  <si>
    <t>EK69</t>
  </si>
  <si>
    <t>MH01</t>
  </si>
  <si>
    <t>QR44</t>
  </si>
  <si>
    <t>NA97</t>
  </si>
  <si>
    <t>BA20</t>
  </si>
  <si>
    <t>GA12</t>
  </si>
  <si>
    <t>VA31</t>
  </si>
  <si>
    <t>BA47</t>
  </si>
  <si>
    <t>VA66</t>
  </si>
  <si>
    <t>JQ57</t>
  </si>
  <si>
    <t>AC1</t>
  </si>
  <si>
    <t>AC2</t>
  </si>
  <si>
    <t>Condition</t>
  </si>
  <si>
    <t>SS</t>
  </si>
  <si>
    <t>SL</t>
  </si>
  <si>
    <t>LS</t>
  </si>
  <si>
    <t>LL</t>
  </si>
  <si>
    <t>ATC</t>
  </si>
  <si>
    <t>None</t>
  </si>
  <si>
    <t>blunt1.vbs</t>
  </si>
  <si>
    <t>blunt2.vbs</t>
  </si>
  <si>
    <t>blunt3.vbs</t>
  </si>
  <si>
    <t>blunt4.vbs</t>
  </si>
  <si>
    <t>blunt5.vbs</t>
  </si>
  <si>
    <t>blunt6.vbs</t>
  </si>
  <si>
    <t>blunt7.vbs</t>
  </si>
  <si>
    <t>blunt8.vbs</t>
  </si>
  <si>
    <t>JQ61</t>
  </si>
  <si>
    <t>SQ48</t>
  </si>
  <si>
    <t>BA18</t>
  </si>
  <si>
    <t>scriptSSSL1</t>
  </si>
  <si>
    <t>scriptSSSL2</t>
  </si>
  <si>
    <t>scriptSSSL3</t>
  </si>
  <si>
    <t>scriptSSSL4</t>
  </si>
  <si>
    <t>scriptSSSL5</t>
  </si>
  <si>
    <t>scriptSSSL6</t>
  </si>
  <si>
    <t>scriptSSSL7</t>
  </si>
  <si>
    <t>scriptSSSL8</t>
  </si>
  <si>
    <t>scriptSSSL9</t>
  </si>
  <si>
    <t>scriptSSSL10</t>
  </si>
  <si>
    <t>scriptSSSL11</t>
  </si>
  <si>
    <t>scriptSSSL12</t>
  </si>
  <si>
    <t>scriptSSSL13</t>
  </si>
  <si>
    <t>scriptSSSL14</t>
  </si>
  <si>
    <t>scriptSSSL15</t>
  </si>
  <si>
    <t>scriptSSSL16</t>
  </si>
  <si>
    <t>scriptSLLL1</t>
  </si>
  <si>
    <t>scriptSLLL2</t>
  </si>
  <si>
    <t>scriptSLLL3</t>
  </si>
  <si>
    <t>scriptSLLL4</t>
  </si>
  <si>
    <t>scriptSLLL5</t>
  </si>
  <si>
    <t>scriptSLLL6</t>
  </si>
  <si>
    <t>scriptSLLL7</t>
  </si>
  <si>
    <t>scriptSLLL8</t>
  </si>
  <si>
    <t>scriptSLLL9</t>
  </si>
  <si>
    <t>scriptSLLL10</t>
  </si>
  <si>
    <t>scriptSLLL11</t>
  </si>
  <si>
    <t>scriptSLLL12</t>
  </si>
  <si>
    <t>scriptSLLL13</t>
  </si>
  <si>
    <t>scriptSLLL14</t>
  </si>
  <si>
    <t>scriptSLLL15</t>
  </si>
  <si>
    <t>scriptSLLL16</t>
  </si>
  <si>
    <t>Test</t>
  </si>
  <si>
    <t>01</t>
  </si>
  <si>
    <t>02</t>
  </si>
  <si>
    <t>03</t>
  </si>
  <si>
    <t>04</t>
  </si>
  <si>
    <t>05</t>
  </si>
  <si>
    <t>06</t>
  </si>
  <si>
    <t>07</t>
  </si>
  <si>
    <t>08</t>
  </si>
  <si>
    <t>09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</si>
</sst>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0"/>
    <numFmt numFmtId="165" formatCode="0.00000"/>
  </numFmts>
  <fonts count="12">
    <font>
      <sz val="11"/>
      <color theme="1"/>
      <name val="Calibri"/>
      <family val="2"/>
      <scheme val="minor"/>
    </font>
    <font>
      <b/>
      <sz val="11"/>
      <color theme="1"/>
      <name val="Calibri"/>
      <family val="2"/>
      <scheme val="minor"/>
    </font>
    <font>
      <sz val="13"/>
      <color rgb="FF000000"/>
      <name val="MathJax_Main"/>
    </font>
    <font>
      <sz val="10"/>
      <color rgb="FF000000"/>
      <name val="Calibri"/>
      <family val="2"/>
      <scheme val="minor"/>
    </font>
    <font>
      <sz val="11"/>
      <color theme="1"/>
      <name val="Calibri"/>
      <family val="2"/>
      <scheme val="minor"/>
    </font>
    <font>
      <b/>
      <sz val="10"/>
      <color rgb="FF000000"/>
      <name val="Calibri"/>
      <family val="2"/>
      <scheme val="minor"/>
    </font>
    <font>
      <sz val="11"/>
      <color rgb="FF000000"/>
      <name val="Calibri"/>
      <family val="2"/>
    </font>
    <font>
      <b/>
      <sz val="11"/>
      <color rgb="FFFFFFFF"/>
      <name val="Calibri"/>
      <family val="2"/>
    </font>
    <font>
      <sz val="11"/>
      <color rgb="FFFF0000"/>
      <name val="Calibri"/>
      <family val="2"/>
      <scheme val="minor"/>
    </font>
    <font>
      <sz val="11"/>
      <name val="Calibri"/>
      <family val="2"/>
      <scheme val="minor"/>
    </font>
    <font>
      <sz val="11"/>
      <color theme="1"/>
      <name val="Calibri"/>
      <scheme val="minor"/>
    </font>
    <font>
      <b/>
      <sz val="11"/>
      <color theme="1"/>
      <name val="Calibri"/>
      <scheme val="minor"/>
    </font>
  </fonts>
  <fills count="34">
    <fill>
      <patternFill patternType="none"/>
    </fill>
    <fill>
      <patternFill patternType="gray125"/>
    </fill>
    <fill>
      <patternFill patternType="solid">
        <fgColor theme="9"/>
        <bgColor indexed="64"/>
      </patternFill>
    </fill>
    <fill>
      <patternFill patternType="solid">
        <fgColor theme="7" tint="0.39997558519241921"/>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5"/>
        <bgColor indexed="64"/>
      </patternFill>
    </fill>
    <fill>
      <patternFill patternType="solid">
        <fgColor rgb="FF7030A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rgb="FFFF0000"/>
        <bgColor indexed="64"/>
      </patternFill>
    </fill>
    <fill>
      <patternFill patternType="solid">
        <fgColor rgb="FFFF505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6"/>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rgb="FF4BACC6"/>
        <bgColor rgb="FF4BACC6"/>
      </patternFill>
    </fill>
    <fill>
      <patternFill patternType="solid">
        <fgColor rgb="FFB7DEE8"/>
        <bgColor rgb="FFB7DEE8"/>
      </patternFill>
    </fill>
    <fill>
      <patternFill patternType="solid">
        <fgColor rgb="FFDAEEF3"/>
        <bgColor rgb="FFDAEEF3"/>
      </patternFill>
    </fill>
    <fill>
      <patternFill patternType="solid">
        <fgColor theme="5" tint="0.59999389629810485"/>
        <bgColor indexed="64"/>
      </patternFill>
    </fill>
  </fills>
  <borders count="21">
    <border>
      <left/>
      <right/>
      <top/>
      <bottom/>
      <diagonal/>
    </border>
    <border>
      <left/>
      <right/>
      <top/>
      <bottom style="double">
        <color indexed="64"/>
      </bottom>
      <diagonal/>
    </border>
    <border>
      <left/>
      <right/>
      <top style="thin">
        <color indexed="64"/>
      </top>
      <bottom style="double">
        <color indexed="64"/>
      </bottom>
      <diagonal/>
    </border>
    <border>
      <left/>
      <right/>
      <top style="thin">
        <color theme="4"/>
      </top>
      <bottom/>
      <diagonal/>
    </border>
    <border>
      <left/>
      <right style="thin">
        <color theme="4"/>
      </right>
      <top style="thin">
        <color theme="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rgb="FFFFFFFF"/>
      </right>
      <top/>
      <bottom style="thick">
        <color rgb="FFFFFFFF"/>
      </bottom>
      <diagonal/>
    </border>
    <border>
      <left style="thin">
        <color rgb="FFFFFFFF"/>
      </left>
      <right style="thin">
        <color rgb="FFFFFFFF"/>
      </right>
      <top/>
      <bottom style="thick">
        <color rgb="FFFFFFFF"/>
      </bottom>
      <diagonal/>
    </border>
    <border>
      <left style="thin">
        <color rgb="FFFFFFFF"/>
      </left>
      <right/>
      <top/>
      <bottom style="thick">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style="thin">
        <color indexed="64"/>
      </left>
      <right/>
      <top style="thin">
        <color indexed="64"/>
      </top>
      <bottom/>
      <diagonal/>
    </border>
  </borders>
  <cellStyleXfs count="2">
    <xf numFmtId="0" fontId="0" fillId="0" borderId="0"/>
    <xf numFmtId="0" fontId="4" fillId="0" borderId="0"/>
  </cellStyleXfs>
  <cellXfs count="104">
    <xf numFmtId="0" fontId="0" fillId="0" borderId="0" xfId="0"/>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0" borderId="0" xfId="0" applyAlignment="1"/>
    <xf numFmtId="0" fontId="0" fillId="6" borderId="0" xfId="0" applyFill="1" applyAlignment="1"/>
    <xf numFmtId="0" fontId="0" fillId="10" borderId="0" xfId="0" applyFill="1"/>
    <xf numFmtId="0" fontId="0" fillId="2" borderId="0" xfId="0" applyFill="1"/>
    <xf numFmtId="0" fontId="0" fillId="0" borderId="0" xfId="0" applyFill="1"/>
    <xf numFmtId="0" fontId="0" fillId="11" borderId="0" xfId="0" applyFill="1"/>
    <xf numFmtId="0" fontId="0" fillId="12" borderId="0" xfId="0" applyFill="1" applyAlignment="1">
      <alignment horizontal="center"/>
    </xf>
    <xf numFmtId="164" fontId="0" fillId="0" borderId="0" xfId="0" applyNumberFormat="1"/>
    <xf numFmtId="0" fontId="0" fillId="9" borderId="0" xfId="0" applyFill="1" applyAlignment="1">
      <alignment horizontal="center"/>
    </xf>
    <xf numFmtId="0" fontId="0" fillId="4" borderId="0" xfId="0" applyFill="1" applyAlignment="1">
      <alignment horizontal="center"/>
    </xf>
    <xf numFmtId="0" fontId="0" fillId="15" borderId="0" xfId="0" applyFill="1"/>
    <xf numFmtId="0" fontId="0" fillId="17" borderId="0" xfId="0" applyFill="1"/>
    <xf numFmtId="0" fontId="0" fillId="16" borderId="0" xfId="0" applyFill="1"/>
    <xf numFmtId="0" fontId="0" fillId="14" borderId="0" xfId="0" applyFill="1"/>
    <xf numFmtId="0" fontId="0" fillId="18" borderId="0" xfId="0" applyFill="1"/>
    <xf numFmtId="0" fontId="0" fillId="13" borderId="0" xfId="0" applyFill="1"/>
    <xf numFmtId="0" fontId="0" fillId="19" borderId="0" xfId="0" applyFill="1"/>
    <xf numFmtId="0" fontId="0" fillId="20" borderId="0" xfId="0" applyFill="1"/>
    <xf numFmtId="0" fontId="2" fillId="0" borderId="0" xfId="0" applyFont="1"/>
    <xf numFmtId="164" fontId="0" fillId="10" borderId="0" xfId="0" applyNumberFormat="1" applyFill="1"/>
    <xf numFmtId="165" fontId="0" fillId="10" borderId="0" xfId="0" applyNumberFormat="1" applyFill="1"/>
    <xf numFmtId="2" fontId="0" fillId="10" borderId="0" xfId="0" applyNumberFormat="1" applyFill="1"/>
    <xf numFmtId="164" fontId="0" fillId="21" borderId="0" xfId="0" applyNumberFormat="1" applyFill="1"/>
    <xf numFmtId="0" fontId="0" fillId="21" borderId="0" xfId="0" applyFill="1"/>
    <xf numFmtId="165" fontId="0" fillId="21" borderId="0" xfId="0" applyNumberFormat="1" applyFill="1"/>
    <xf numFmtId="2" fontId="0" fillId="21" borderId="0" xfId="0" applyNumberFormat="1" applyFill="1"/>
    <xf numFmtId="0" fontId="0" fillId="22" borderId="0" xfId="0" applyFill="1"/>
    <xf numFmtId="0" fontId="0" fillId="23" borderId="0" xfId="0" applyFill="1"/>
    <xf numFmtId="0" fontId="0" fillId="24" borderId="0" xfId="0" applyFill="1"/>
    <xf numFmtId="16" fontId="0" fillId="24" borderId="0" xfId="0" applyNumberFormat="1" applyFill="1"/>
    <xf numFmtId="0" fontId="0" fillId="0" borderId="1" xfId="0" applyBorder="1"/>
    <xf numFmtId="0" fontId="0" fillId="25" borderId="0" xfId="0" applyFill="1" applyAlignment="1"/>
    <xf numFmtId="0" fontId="0" fillId="26" borderId="0" xfId="0" applyFill="1" applyAlignment="1"/>
    <xf numFmtId="0" fontId="0" fillId="0" borderId="0" xfId="0" applyBorder="1"/>
    <xf numFmtId="0" fontId="0" fillId="27" borderId="0" xfId="0" applyFill="1"/>
    <xf numFmtId="0" fontId="0" fillId="0" borderId="2" xfId="0" applyBorder="1"/>
    <xf numFmtId="0" fontId="0" fillId="28" borderId="0" xfId="0" applyFill="1"/>
    <xf numFmtId="0" fontId="0" fillId="4" borderId="0" xfId="0" applyFill="1" applyAlignment="1"/>
    <xf numFmtId="0" fontId="0" fillId="29" borderId="0" xfId="0" applyFill="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0" fillId="0" borderId="7" xfId="0" applyFont="1" applyBorder="1"/>
    <xf numFmtId="0" fontId="0" fillId="0" borderId="8" xfId="0" applyFont="1" applyBorder="1"/>
    <xf numFmtId="0" fontId="3" fillId="0" borderId="5" xfId="0" applyFont="1" applyBorder="1"/>
    <xf numFmtId="0" fontId="0" fillId="0" borderId="9" xfId="0" applyFont="1" applyBorder="1"/>
    <xf numFmtId="0" fontId="0" fillId="0" borderId="10" xfId="0" applyFont="1" applyBorder="1"/>
    <xf numFmtId="0" fontId="1" fillId="0" borderId="5" xfId="0" applyFont="1" applyBorder="1"/>
    <xf numFmtId="0" fontId="1" fillId="0" borderId="10" xfId="0" applyFont="1" applyBorder="1"/>
    <xf numFmtId="0" fontId="0" fillId="3" borderId="0" xfId="0" applyFill="1" applyAlignment="1"/>
    <xf numFmtId="0" fontId="0" fillId="12" borderId="0" xfId="0" applyFill="1" applyAlignment="1"/>
    <xf numFmtId="0" fontId="0" fillId="4" borderId="0" xfId="0" applyFill="1" applyAlignment="1">
      <alignment horizontal="center"/>
    </xf>
    <xf numFmtId="0" fontId="0" fillId="9" borderId="0" xfId="0" applyFill="1" applyAlignment="1">
      <alignment horizontal="center"/>
    </xf>
    <xf numFmtId="45" fontId="0" fillId="0" borderId="0" xfId="0" applyNumberFormat="1"/>
    <xf numFmtId="0" fontId="0" fillId="0" borderId="0" xfId="0" applyFont="1"/>
    <xf numFmtId="0" fontId="7" fillId="30" borderId="11" xfId="1" applyNumberFormat="1" applyFont="1" applyFill="1" applyBorder="1" applyAlignment="1"/>
    <xf numFmtId="0" fontId="7" fillId="30" borderId="12" xfId="1" applyNumberFormat="1" applyFont="1" applyFill="1" applyBorder="1" applyAlignment="1"/>
    <xf numFmtId="0" fontId="7" fillId="30" borderId="13" xfId="1" applyNumberFormat="1" applyFont="1" applyFill="1" applyBorder="1" applyAlignment="1"/>
    <xf numFmtId="0" fontId="6" fillId="31" borderId="14" xfId="1" applyNumberFormat="1" applyFont="1" applyFill="1" applyBorder="1" applyAlignment="1"/>
    <xf numFmtId="0" fontId="6" fillId="31" borderId="15" xfId="1" applyNumberFormat="1" applyFont="1" applyFill="1" applyBorder="1" applyAlignment="1"/>
    <xf numFmtId="0" fontId="6" fillId="31" borderId="16" xfId="1" applyNumberFormat="1" applyFont="1" applyFill="1" applyBorder="1" applyAlignment="1"/>
    <xf numFmtId="0" fontId="6" fillId="32" borderId="14" xfId="1" applyNumberFormat="1" applyFont="1" applyFill="1" applyBorder="1" applyAlignment="1"/>
    <xf numFmtId="0" fontId="6" fillId="32" borderId="15" xfId="1" applyNumberFormat="1" applyFont="1" applyFill="1" applyBorder="1" applyAlignment="1"/>
    <xf numFmtId="0" fontId="6" fillId="32" borderId="16" xfId="1" applyNumberFormat="1" applyFont="1" applyFill="1" applyBorder="1" applyAlignment="1"/>
    <xf numFmtId="0" fontId="6" fillId="31" borderId="17" xfId="1" applyNumberFormat="1" applyFont="1" applyFill="1" applyBorder="1" applyAlignment="1"/>
    <xf numFmtId="0" fontId="6" fillId="31" borderId="18" xfId="1" applyNumberFormat="1" applyFont="1" applyFill="1" applyBorder="1" applyAlignment="1"/>
    <xf numFmtId="0" fontId="6" fillId="31" borderId="19" xfId="1" applyNumberFormat="1" applyFont="1" applyFill="1" applyBorder="1" applyAlignment="1"/>
    <xf numFmtId="0" fontId="8" fillId="0" borderId="0" xfId="0" applyFont="1"/>
    <xf numFmtId="0" fontId="0" fillId="12" borderId="0" xfId="0" applyFill="1"/>
    <xf numFmtId="0" fontId="0" fillId="33" borderId="0" xfId="0" applyFill="1"/>
    <xf numFmtId="0" fontId="9" fillId="2" borderId="0" xfId="0" applyFont="1" applyFill="1"/>
    <xf numFmtId="20" fontId="0" fillId="0" borderId="0" xfId="0" applyNumberFormat="1"/>
    <xf numFmtId="0" fontId="5" fillId="0" borderId="5" xfId="0" applyFont="1" applyBorder="1"/>
    <xf numFmtId="0" fontId="10" fillId="0" borderId="9" xfId="0" applyFont="1" applyBorder="1"/>
    <xf numFmtId="0" fontId="10" fillId="0" borderId="20" xfId="0" applyFont="1" applyBorder="1"/>
    <xf numFmtId="0" fontId="10" fillId="0" borderId="10" xfId="0" applyFont="1" applyBorder="1"/>
    <xf numFmtId="0" fontId="10" fillId="0" borderId="10" xfId="0" applyNumberFormat="1" applyFont="1" applyBorder="1"/>
    <xf numFmtId="0" fontId="11" fillId="0" borderId="10" xfId="0" applyFont="1" applyBorder="1"/>
    <xf numFmtId="0" fontId="10" fillId="0" borderId="0" xfId="0" applyNumberFormat="1" applyFont="1" applyBorder="1"/>
    <xf numFmtId="0" fontId="0" fillId="2" borderId="5" xfId="0" applyFont="1" applyFill="1" applyBorder="1"/>
    <xf numFmtId="0" fontId="5" fillId="2" borderId="5" xfId="0" applyFont="1" applyFill="1" applyBorder="1"/>
    <xf numFmtId="49" fontId="0" fillId="18" borderId="0" xfId="0" applyNumberFormat="1" applyFill="1"/>
    <xf numFmtId="49" fontId="0" fillId="33" borderId="0" xfId="0" applyNumberFormat="1" applyFill="1"/>
    <xf numFmtId="49" fontId="0" fillId="12" borderId="0" xfId="0" applyNumberFormat="1" applyFill="1"/>
    <xf numFmtId="49" fontId="0" fillId="14" borderId="0" xfId="0" applyNumberFormat="1" applyFill="1"/>
    <xf numFmtId="49" fontId="0" fillId="24" borderId="0" xfId="0" applyNumberFormat="1" applyFill="1"/>
    <xf numFmtId="49" fontId="0" fillId="15" borderId="0" xfId="0" applyNumberFormat="1" applyFill="1"/>
    <xf numFmtId="49" fontId="0" fillId="4" borderId="0" xfId="0" applyNumberFormat="1" applyFill="1"/>
    <xf numFmtId="49" fontId="0" fillId="10" borderId="0" xfId="0" applyNumberFormat="1" applyFill="1"/>
    <xf numFmtId="0" fontId="0" fillId="6" borderId="0" xfId="0" applyFill="1" applyAlignment="1">
      <alignment horizontal="center"/>
    </xf>
    <xf numFmtId="0" fontId="0" fillId="5" borderId="0" xfId="0" applyFill="1" applyAlignment="1">
      <alignment horizontal="center"/>
    </xf>
    <xf numFmtId="0" fontId="0" fillId="3" borderId="0" xfId="0" applyFill="1" applyAlignment="1">
      <alignment horizontal="center"/>
    </xf>
    <xf numFmtId="0" fontId="0" fillId="12" borderId="0" xfId="0" applyFill="1" applyAlignment="1">
      <alignment horizontal="center"/>
    </xf>
    <xf numFmtId="0" fontId="0" fillId="4" borderId="0" xfId="0" applyFill="1" applyAlignment="1">
      <alignment horizontal="center"/>
    </xf>
    <xf numFmtId="0" fontId="0" fillId="15" borderId="0" xfId="0" applyFill="1" applyAlignment="1">
      <alignment horizontal="center"/>
    </xf>
    <xf numFmtId="0" fontId="0" fillId="2" borderId="0" xfId="0" applyFill="1" applyAlignment="1">
      <alignment horizontal="center"/>
    </xf>
    <xf numFmtId="0" fontId="0" fillId="9" borderId="0" xfId="0" applyFill="1" applyAlignment="1">
      <alignment horizontal="center"/>
    </xf>
  </cellXfs>
  <cellStyles count="2">
    <cellStyle name="Normal" xfId="0" builtinId="0"/>
    <cellStyle name="Normal 2" xfId="1"/>
  </cellStyles>
  <dxfs count="43">
    <dxf>
      <fill>
        <patternFill>
          <bgColor theme="0" tint="-0.499984740745262"/>
        </patternFill>
      </fill>
    </dxf>
    <dxf>
      <font>
        <b val="0"/>
        <i val="0"/>
        <strike val="0"/>
        <condense val="0"/>
        <extend val="0"/>
        <outline val="0"/>
        <shadow val="0"/>
        <u val="none"/>
        <vertAlign val="baseline"/>
        <sz val="11"/>
        <color rgb="FF000000"/>
        <name val="Calibri"/>
        <scheme val="none"/>
      </font>
      <numFmt numFmtId="0" formatCode="General"/>
      <fill>
        <patternFill patternType="solid">
          <fgColor rgb="FFB7DEE8"/>
          <bgColor rgb="FFB7DEE8"/>
        </patternFill>
      </fill>
      <alignment horizontal="general" vertical="bottom" textRotation="0" wrapText="0" indent="0" justifyLastLine="0" shrinkToFit="0" readingOrder="0"/>
      <border diagonalUp="0" diagonalDown="0">
        <left style="thin">
          <color rgb="FFFFFFFF"/>
        </left>
        <right/>
        <top style="thin">
          <color rgb="FFFFFFFF"/>
        </top>
        <bottom style="thin">
          <color rgb="FFFFFFFF"/>
        </bottom>
        <vertical/>
        <horizontal/>
      </border>
    </dxf>
    <dxf>
      <font>
        <b val="0"/>
        <i val="0"/>
        <strike val="0"/>
        <condense val="0"/>
        <extend val="0"/>
        <outline val="0"/>
        <shadow val="0"/>
        <u val="none"/>
        <vertAlign val="baseline"/>
        <sz val="11"/>
        <color rgb="FF000000"/>
        <name val="Calibri"/>
        <scheme val="none"/>
      </font>
      <numFmt numFmtId="0" formatCode="General"/>
      <fill>
        <patternFill patternType="solid">
          <fgColor rgb="FFB7DEE8"/>
          <bgColor rgb="FFB7DEE8"/>
        </patternFill>
      </fill>
      <alignment horizontal="general"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scheme val="none"/>
      </font>
      <numFmt numFmtId="0" formatCode="General"/>
      <fill>
        <patternFill patternType="solid">
          <fgColor rgb="FFB7DEE8"/>
          <bgColor rgb="FFB7DEE8"/>
        </patternFill>
      </fill>
      <alignment horizontal="general"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scheme val="none"/>
      </font>
      <numFmt numFmtId="0" formatCode="General"/>
      <fill>
        <patternFill patternType="solid">
          <fgColor rgb="FFB7DEE8"/>
          <bgColor rgb="FFB7DEE8"/>
        </patternFill>
      </fill>
      <alignment horizontal="general"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scheme val="none"/>
      </font>
      <numFmt numFmtId="0" formatCode="General"/>
      <fill>
        <patternFill patternType="solid">
          <fgColor rgb="FFB7DEE8"/>
          <bgColor rgb="FFB7DEE8"/>
        </patternFill>
      </fill>
      <alignment horizontal="general"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scheme val="none"/>
      </font>
      <numFmt numFmtId="0" formatCode="General"/>
      <fill>
        <patternFill patternType="solid">
          <fgColor rgb="FFB7DEE8"/>
          <bgColor rgb="FFB7DEE8"/>
        </patternFill>
      </fill>
      <alignment horizontal="general"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scheme val="none"/>
      </font>
      <numFmt numFmtId="0" formatCode="General"/>
      <fill>
        <patternFill patternType="solid">
          <fgColor rgb="FFB7DEE8"/>
          <bgColor rgb="FFB7DEE8"/>
        </patternFill>
      </fill>
      <alignment horizontal="general"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scheme val="none"/>
      </font>
      <numFmt numFmtId="0" formatCode="General"/>
      <fill>
        <patternFill patternType="solid">
          <fgColor rgb="FFB7DEE8"/>
          <bgColor rgb="FFB7DEE8"/>
        </patternFill>
      </fill>
      <alignment horizontal="general"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scheme val="none"/>
      </font>
      <numFmt numFmtId="0" formatCode="General"/>
      <fill>
        <patternFill patternType="solid">
          <fgColor rgb="FFB7DEE8"/>
          <bgColor rgb="FFB7DEE8"/>
        </patternFill>
      </fill>
      <alignment horizontal="general"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scheme val="none"/>
      </font>
      <numFmt numFmtId="0" formatCode="General"/>
      <fill>
        <patternFill patternType="solid">
          <fgColor rgb="FFB7DEE8"/>
          <bgColor rgb="FFB7DEE8"/>
        </patternFill>
      </fill>
      <alignment horizontal="general" vertical="bottom" textRotation="0" wrapText="0" indent="0" justifyLastLine="0" shrinkToFit="0" readingOrder="0"/>
      <border diagonalUp="0" diagonalDown="0">
        <left/>
        <right style="thin">
          <color rgb="FFFFFFFF"/>
        </right>
        <top style="thin">
          <color rgb="FFFFFFFF"/>
        </top>
        <bottom style="thin">
          <color rgb="FFFFFFFF"/>
        </bottom>
        <vertical/>
        <horizontal/>
      </border>
    </dxf>
    <dxf>
      <border outline="0">
        <top style="thin">
          <color rgb="FFFFFFFF"/>
        </top>
      </border>
    </dxf>
    <dxf>
      <border outline="0">
        <bottom style="thin">
          <color rgb="FFFFFFFF"/>
        </bottom>
      </border>
    </dxf>
    <dxf>
      <font>
        <b val="0"/>
        <i val="0"/>
        <strike val="0"/>
        <condense val="0"/>
        <extend val="0"/>
        <outline val="0"/>
        <shadow val="0"/>
        <u val="none"/>
        <vertAlign val="baseline"/>
        <sz val="11"/>
        <color rgb="FF000000"/>
        <name val="Calibri"/>
        <scheme val="none"/>
      </font>
      <fill>
        <patternFill patternType="solid">
          <fgColor rgb="FFB7DEE8"/>
          <bgColor rgb="FFB7DEE8"/>
        </patternFill>
      </fill>
      <alignment horizontal="general" vertical="bottom" textRotation="0" wrapText="0" indent="0" justifyLastLine="0" shrinkToFit="0" readingOrder="0"/>
    </dxf>
    <dxf>
      <border outline="0">
        <bottom style="thick">
          <color rgb="FFFFFFFF"/>
        </bottom>
      </border>
    </dxf>
    <dxf>
      <font>
        <b/>
        <i val="0"/>
        <strike val="0"/>
        <condense val="0"/>
        <extend val="0"/>
        <outline val="0"/>
        <shadow val="0"/>
        <u val="none"/>
        <vertAlign val="baseline"/>
        <sz val="11"/>
        <color rgb="FFFFFFFF"/>
        <name val="Calibri"/>
        <scheme val="none"/>
      </font>
      <numFmt numFmtId="0" formatCode="General"/>
      <fill>
        <patternFill patternType="solid">
          <fgColor rgb="FF4BACC6"/>
          <bgColor rgb="FF4BACC6"/>
        </patternFill>
      </fill>
      <alignment horizontal="general" vertical="bottom" textRotation="0" wrapText="0" indent="0" justifyLastLine="0" shrinkToFit="0" readingOrder="0"/>
      <border diagonalUp="0" diagonalDown="0" outline="0">
        <left style="thin">
          <color rgb="FFFFFFFF"/>
        </left>
        <right style="thin">
          <color rgb="FFFFFFFF"/>
        </right>
        <top/>
        <bottom/>
      </border>
    </dxf>
    <dxf>
      <font>
        <b val="0"/>
        <i val="0"/>
        <strike val="0"/>
        <condense val="0"/>
        <extend val="0"/>
        <outline val="0"/>
        <shadow val="0"/>
        <u val="none"/>
        <vertAlign val="baseline"/>
        <sz val="11"/>
        <color theme="1"/>
        <name val="Calibri"/>
        <scheme val="minor"/>
      </font>
      <numFmt numFmtId="0" formatCode="General"/>
      <border diagonalUp="0" diagonalDown="0" outline="0">
        <left/>
        <right/>
        <top/>
        <bottom/>
      </border>
    </dxf>
    <dxf>
      <font>
        <strike val="0"/>
        <outline val="0"/>
        <shadow val="0"/>
        <u val="none"/>
        <vertAlign val="baseline"/>
        <name val="Calibri"/>
        <scheme val="minor"/>
      </font>
      <numFmt numFmtId="0" formatCode="General"/>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border>
    </dxf>
    <dxf>
      <font>
        <strike val="0"/>
        <outline val="0"/>
        <shadow val="0"/>
        <u val="none"/>
        <vertAlign val="baseline"/>
        <name val="Calibri"/>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border>
    </dxf>
    <dxf>
      <font>
        <b/>
        <strike val="0"/>
        <outline val="0"/>
        <shadow val="0"/>
        <u val="none"/>
        <vertAlign val="baseline"/>
        <name val="Calibri"/>
        <scheme val="minor"/>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border>
    </dxf>
    <dxf>
      <font>
        <b/>
        <strike val="0"/>
        <outline val="0"/>
        <shadow val="0"/>
        <u val="none"/>
        <vertAlign val="baseline"/>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fill>
        <patternFill>
          <fgColor indexed="64"/>
          <bgColor rgb="FFC0000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top style="thin">
          <color indexed="64"/>
        </top>
        <bottom/>
      </border>
    </dxf>
    <dxf>
      <font>
        <strike val="0"/>
        <outline val="0"/>
        <shadow val="0"/>
        <u val="none"/>
        <vertAlign val="baseline"/>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right style="thin">
          <color indexed="64"/>
        </right>
        <top style="thin">
          <color indexed="64"/>
        </top>
        <bottom/>
      </border>
    </dxf>
    <dxf>
      <font>
        <strike val="0"/>
        <outline val="0"/>
        <shadow val="0"/>
        <u val="none"/>
        <vertAlign val="baseline"/>
        <name val="Calibri"/>
        <scheme val="minor"/>
      </font>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name val="Calibri"/>
        <scheme val="minor"/>
      </font>
    </dxf>
    <dxf>
      <border>
        <bottom style="thin">
          <color indexed="64"/>
        </bottom>
      </border>
    </dxf>
    <dxf>
      <font>
        <strike val="0"/>
        <outline val="0"/>
        <shadow val="0"/>
        <u val="none"/>
        <vertAlign val="baseline"/>
        <name val="Calibri"/>
        <scheme val="minor"/>
      </font>
      <border diagonalUp="0" diagonalDown="0" outline="0">
        <left style="thin">
          <color indexed="64"/>
        </left>
        <right style="thin">
          <color indexed="64"/>
        </right>
        <top/>
        <bottom/>
      </border>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19</xdr:col>
      <xdr:colOff>200025</xdr:colOff>
      <xdr:row>9</xdr:row>
      <xdr:rowOff>123825</xdr:rowOff>
    </xdr:from>
    <xdr:to>
      <xdr:col>23</xdr:col>
      <xdr:colOff>666750</xdr:colOff>
      <xdr:row>44</xdr:row>
      <xdr:rowOff>161925</xdr:rowOff>
    </xdr:to>
    <xdr:sp macro="" textlink="">
      <xdr:nvSpPr>
        <xdr:cNvPr id="3" name="TextBox 2"/>
        <xdr:cNvSpPr txBox="1"/>
      </xdr:nvSpPr>
      <xdr:spPr>
        <a:xfrm>
          <a:off x="14820900" y="1838325"/>
          <a:ext cx="5095875" cy="672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Notes:</a:t>
          </a:r>
        </a:p>
        <a:p>
          <a:r>
            <a:rPr lang="en-GB" sz="1100"/>
            <a:t/>
          </a:r>
          <a:br>
            <a:rPr lang="en-GB" sz="1100"/>
          </a:br>
          <a:r>
            <a:rPr lang="en-GB" sz="1100"/>
            <a:t>I have no idea why, but the simulator seems to randomly</a:t>
          </a:r>
          <a:r>
            <a:rPr lang="en-GB" sz="1100" baseline="0"/>
            <a:t> set the distance between points. I'm now pretty sure the only reasonable explanation is the simulator works out the distance from a point, from the sector boundary using the formula for the distance between a point and a line.</a:t>
          </a:r>
        </a:p>
        <a:p>
          <a:endParaRPr lang="en-GB" sz="1100" baseline="0"/>
        </a:p>
        <a:p>
          <a:r>
            <a:rPr lang="en-GB" sz="1100" baseline="0"/>
            <a:t>Checking the .log files indicates the simulator has no problem accurately updated the aircraft positions by the correct distance units for a given speed. The simulator also seems to be quite accurate in marking the flash points. It seems it is in detecting borders that the aircraft go wonky.</a:t>
          </a:r>
          <a:endParaRPr lang="en-GB" sz="1100"/>
        </a:p>
        <a:p>
          <a:endParaRPr lang="en-GB" sz="1100"/>
        </a:p>
        <a:p>
          <a:r>
            <a:rPr lang="en-GB" sz="1100"/>
            <a:t>A,B</a:t>
          </a:r>
          <a:r>
            <a:rPr lang="en-GB" sz="1100" baseline="0"/>
            <a:t> I got working by using "real estimates" of the  True Flash point but I rounded the estimate of the X to single digits. This seemed to work and produce accurate timing. Moreover, given the </a:t>
          </a:r>
        </a:p>
        <a:p>
          <a:endParaRPr lang="en-GB" sz="1100" baseline="0"/>
        </a:p>
        <a:p>
          <a:r>
            <a:rPr lang="en-GB" sz="1100" baseline="0"/>
            <a:t>C - Randomly setting the values to 55.58 seems to solve it for 13 second handoff. This was totally out of the whack.</a:t>
          </a:r>
        </a:p>
        <a:p>
          <a:r>
            <a:rPr lang="en-GB" sz="1100" baseline="0"/>
            <a:t/>
          </a:r>
          <a:br>
            <a:rPr lang="en-GB" sz="1100" baseline="0"/>
          </a:br>
          <a:r>
            <a:rPr lang="en-GB" sz="1100" baseline="0"/>
            <a:t>D - makes absolutely zero sense. For some reason the flash moment actually starts at 8.75442. However, our calculation indicates the flash time should be at </a:t>
          </a:r>
          <a:r>
            <a:rPr lang="en-GB" sz="1100" b="0" i="0" u="none" strike="noStrike">
              <a:solidFill>
                <a:schemeClr val="dk1"/>
              </a:solidFill>
              <a:effectLst/>
              <a:latin typeface="+mn-lt"/>
              <a:ea typeface="+mn-ea"/>
              <a:cs typeface="+mn-cs"/>
            </a:rPr>
            <a:t>9.75442. This means we need to add on 8 seconds for the double length flash point.</a:t>
          </a:r>
          <a:endParaRPr lang="en-GB" sz="1100" baseline="0"/>
        </a:p>
        <a:p>
          <a:endParaRPr lang="en-GB" sz="1100" baseline="0"/>
        </a:p>
        <a:p>
          <a:r>
            <a:rPr lang="en-GB" sz="1100" baseline="0"/>
            <a:t>E estimates are almost perfect, except that for some reason the aircraft was already handed off at the border intercept point (no idea why). So we forced (as in red) the X1 for the border intercept to .1 decimal place rounded up. This fixed it, I assume it was something to do with how it was rounding the top border.</a:t>
          </a:r>
        </a:p>
        <a:p>
          <a:endParaRPr lang="en-GB" sz="1100" baseline="0"/>
        </a:p>
        <a:p>
          <a:r>
            <a:rPr lang="en-GB" sz="1100" baseline="0"/>
            <a:t>F seems to work fine. The only real we use the rouded flash point of 9 is because the aircraft from border start flashing on exactly below 9.00374.  Just makes for easier programming than always needing to remember to add 1.</a:t>
          </a:r>
        </a:p>
        <a:p>
          <a:endParaRPr lang="en-GB" sz="1100"/>
        </a:p>
      </xdr:txBody>
    </xdr:sp>
    <xdr:clientData/>
  </xdr:twoCellAnchor>
  <xdr:twoCellAnchor>
    <xdr:from>
      <xdr:col>14</xdr:col>
      <xdr:colOff>190500</xdr:colOff>
      <xdr:row>9</xdr:row>
      <xdr:rowOff>114300</xdr:rowOff>
    </xdr:from>
    <xdr:to>
      <xdr:col>19</xdr:col>
      <xdr:colOff>190500</xdr:colOff>
      <xdr:row>44</xdr:row>
      <xdr:rowOff>152400</xdr:rowOff>
    </xdr:to>
    <xdr:sp macro="" textlink="">
      <xdr:nvSpPr>
        <xdr:cNvPr id="4" name="TextBox 3"/>
        <xdr:cNvSpPr txBox="1"/>
      </xdr:nvSpPr>
      <xdr:spPr>
        <a:xfrm>
          <a:off x="9715500" y="1828800"/>
          <a:ext cx="5095875" cy="672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Remaining</a:t>
          </a:r>
          <a:r>
            <a:rPr lang="en-GB" sz="1100" baseline="0"/>
            <a:t> Task Thursday:</a:t>
          </a:r>
        </a:p>
        <a:p>
          <a:endParaRPr lang="en-GB" sz="1100" baseline="0"/>
        </a:p>
        <a:p>
          <a:r>
            <a:rPr lang="en-GB" sz="1100" baseline="0">
              <a:solidFill>
                <a:srgbClr val="FF0000"/>
              </a:solidFill>
            </a:rPr>
            <a:t>- Check each flash point with a long estimate</a:t>
          </a:r>
        </a:p>
        <a:p>
          <a:r>
            <a:rPr lang="en-GB" sz="1100" baseline="0">
              <a:solidFill>
                <a:srgbClr val="FF0000"/>
              </a:solidFill>
            </a:rPr>
            <a:t>- If all working fine,</a:t>
          </a:r>
        </a:p>
        <a:p>
          <a:r>
            <a:rPr lang="en-GB" sz="1100" baseline="0">
              <a:solidFill>
                <a:srgbClr val="FF0000"/>
              </a:solidFill>
            </a:rPr>
            <a:t>- Generate system for CDEF aircraft generator using flash time inputs from above</a:t>
          </a:r>
        </a:p>
        <a:p>
          <a:r>
            <a:rPr lang="en-GB" sz="1100" baseline="0">
              <a:solidFill>
                <a:srgbClr val="FF0000"/>
              </a:solidFill>
            </a:rPr>
            <a:t>- Clean up short scenario xml</a:t>
          </a:r>
        </a:p>
        <a:p>
          <a:r>
            <a:rPr lang="en-GB" sz="1100" baseline="0">
              <a:solidFill>
                <a:srgbClr val="FF0000"/>
              </a:solidFill>
            </a:rPr>
            <a:t>- Generate all short and long handoff aircraft</a:t>
          </a:r>
        </a:p>
        <a:p>
          <a:endParaRPr lang="en-GB" sz="1100" baseline="0">
            <a:solidFill>
              <a:srgbClr val="FF0000"/>
            </a:solidFill>
          </a:endParaRPr>
        </a:p>
        <a:p>
          <a:r>
            <a:rPr lang="en-GB" sz="1100" baseline="0">
              <a:solidFill>
                <a:sysClr val="windowText" lastClr="000000"/>
              </a:solidFill>
            </a:rPr>
            <a:t>THEN:</a:t>
          </a:r>
          <a:br>
            <a:rPr lang="en-GB" sz="1100" baseline="0">
              <a:solidFill>
                <a:sysClr val="windowText" lastClr="000000"/>
              </a:solidFill>
            </a:rPr>
          </a:br>
          <a:r>
            <a:rPr lang="en-GB" sz="1100" baseline="0">
              <a:solidFill>
                <a:sysClr val="windowText" lastClr="000000"/>
              </a:solidFill>
            </a:rPr>
            <a:t>Fully record entire scenario for SHORT AND LONG handoffs (Seperately).</a:t>
          </a:r>
        </a:p>
        <a:p>
          <a:r>
            <a:rPr lang="en-GB" sz="1100" baseline="0">
              <a:solidFill>
                <a:sysClr val="windowText" lastClr="000000"/>
              </a:solidFill>
            </a:rPr>
            <a:t>- Ensure no aircraft:</a:t>
          </a:r>
        </a:p>
        <a:p>
          <a:r>
            <a:rPr lang="en-GB" sz="1100" baseline="0">
              <a:solidFill>
                <a:sysClr val="windowText" lastClr="000000"/>
              </a:solidFill>
            </a:rPr>
            <a:t>	- Are positioned to close to PM</a:t>
          </a:r>
        </a:p>
        <a:p>
          <a:r>
            <a:rPr lang="en-GB" sz="1100" baseline="0">
              <a:solidFill>
                <a:sysClr val="windowText" lastClr="000000"/>
              </a:solidFill>
            </a:rPr>
            <a:t>	- Conflict with PM</a:t>
          </a:r>
        </a:p>
        <a:p>
          <a:r>
            <a:rPr lang="en-GB" sz="1100" baseline="0">
              <a:solidFill>
                <a:sysClr val="windowText" lastClr="000000"/>
              </a:solidFill>
            </a:rPr>
            <a:t>	- Require attention at same time as PM</a:t>
          </a:r>
        </a:p>
        <a:p>
          <a:endParaRPr lang="en-GB" sz="1100" baseline="0">
            <a:solidFill>
              <a:sysClr val="windowText" lastClr="000000"/>
            </a:solidFill>
          </a:endParaRPr>
        </a:p>
        <a:p>
          <a:r>
            <a:rPr lang="en-GB" sz="1100" baseline="0"/>
            <a:t>- Create excel system to generate handoff boxes</a:t>
          </a:r>
        </a:p>
        <a:p>
          <a:endParaRPr lang="en-GB" sz="1100" baseline="0"/>
        </a:p>
        <a:p>
          <a:r>
            <a:rPr lang="en-GB" sz="1100" baseline="0"/>
            <a:t>- Create Scenario 16</a:t>
          </a:r>
        </a:p>
        <a:p>
          <a:endParaRPr lang="en-GB" sz="1100" baseline="0"/>
        </a:p>
        <a:p>
          <a:r>
            <a:rPr lang="en-GB" sz="1100" baseline="0"/>
            <a:t>-Create Interruption ATC's</a:t>
          </a:r>
        </a:p>
        <a:p>
          <a:endParaRPr lang="en-GB" sz="1100" baseline="0"/>
        </a:p>
        <a:p>
          <a:endParaRPr lang="en-GB" sz="1100" baseline="0"/>
        </a:p>
        <a:p>
          <a:endParaRPr lang="en-GB" sz="1100" baseline="0"/>
        </a:p>
      </xdr:txBody>
    </xdr:sp>
    <xdr:clientData/>
  </xdr:twoCellAnchor>
</xdr:wsDr>
</file>

<file path=xl/tables/table1.xml><?xml version="1.0" encoding="utf-8"?>
<table xmlns="http://schemas.openxmlformats.org/spreadsheetml/2006/main" id="4" name="Table4" displayName="Table4" ref="A1:C21" totalsRowShown="0">
  <autoFilter ref="A1:C21"/>
  <tableColumns count="3">
    <tableColumn id="1" name="position"/>
    <tableColumn id="2" name=" x"/>
    <tableColumn id="3" name=" y"/>
  </tableColumns>
  <tableStyleInfo name="TableStyleLight9" showFirstColumn="0" showLastColumn="0" showRowStripes="1" showColumnStripes="0"/>
</table>
</file>

<file path=xl/tables/table2.xml><?xml version="1.0" encoding="utf-8"?>
<table xmlns="http://schemas.openxmlformats.org/spreadsheetml/2006/main" id="5" name="Table5" displayName="Table5" ref="E1:K7" totalsRowShown="0">
  <autoFilter ref="E1:K7"/>
  <tableColumns count="7">
    <tableColumn id="1" name="Route #"/>
    <tableColumn id="2" name="Route Letter"/>
    <tableColumn id="3" name="Point 1"/>
    <tableColumn id="4" name="Point 2"/>
    <tableColumn id="5" name="Point 3"/>
    <tableColumn id="6" name="Point 4"/>
    <tableColumn id="7" name="Point 5"/>
  </tableColumns>
  <tableStyleInfo name="TableStyleLight9" showFirstColumn="0" showLastColumn="0" showRowStripes="1" showColumnStripes="0"/>
</table>
</file>

<file path=xl/tables/table3.xml><?xml version="1.0" encoding="utf-8"?>
<table xmlns="http://schemas.openxmlformats.org/spreadsheetml/2006/main" id="1" name="Table1" displayName="Table1" ref="A1:I18" totalsRowCount="1" headerRowDxfId="38" dataDxfId="36" headerRowBorderDxfId="37" tableBorderDxfId="35" totalsRowBorderDxfId="34">
  <autoFilter ref="A1:I17"/>
  <sortState ref="A2:I17">
    <sortCondition ref="B1:B17"/>
  </sortState>
  <tableColumns count="9">
    <tableColumn id="1" name="Trial" dataDxfId="33" totalsRowDxfId="32"/>
    <tableColumn id="2" name="Route" dataDxfId="31" totalsRowDxfId="30"/>
    <tableColumn id="6" name="Long Encode" dataDxfId="29" totalsRowDxfId="28">
      <calculatedColumnFormula>E2-50</calculatedColumnFormula>
    </tableColumn>
    <tableColumn id="7" name="Short Encode" dataDxfId="27" totalsRowDxfId="26"/>
    <tableColumn id="9" name="Int Time" dataDxfId="25" totalsRowDxfId="24">
      <calculatedColumnFormula>Table1[[#This Row],[Short Handoff]]-27</calculatedColumnFormula>
    </tableColumn>
    <tableColumn id="3" name="Short Handoff" dataDxfId="23" totalsRowDxfId="22"/>
    <tableColumn id="4" name="Long Handoff" dataDxfId="21" totalsRowDxfId="20"/>
    <tableColumn id="8" name="Direction " dataDxfId="19" totalsRowDxfId="18"/>
    <tableColumn id="10" name="Column1" dataDxfId="17" totalsRowDxfId="16"/>
  </tableColumns>
  <tableStyleInfo name="TableStyleLight9" showFirstColumn="0" showLastColumn="0" showRowStripes="1" showColumnStripes="0"/>
</table>
</file>

<file path=xl/tables/table4.xml><?xml version="1.0" encoding="utf-8"?>
<table xmlns="http://schemas.openxmlformats.org/spreadsheetml/2006/main" id="6" name="Table6" displayName="Table6" ref="A1:J46" totalsRowShown="0" headerRowDxfId="15" dataDxfId="13" headerRowBorderDxfId="14" tableBorderDxfId="12" totalsRowBorderDxfId="11" headerRowCellStyle="Normal 2" dataCellStyle="Normal 2">
  <autoFilter ref="A1:J46"/>
  <sortState ref="A2:J46">
    <sortCondition ref="A1:A46"/>
  </sortState>
  <tableColumns count="10">
    <tableColumn id="1" name="Trial" dataDxfId="10" dataCellStyle="Normal 2"/>
    <tableColumn id="2" name="CS1" dataDxfId="9" dataCellStyle="Normal 2"/>
    <tableColumn id="3" name="CS2" dataDxfId="8" dataCellStyle="Normal 2"/>
    <tableColumn id="4" name="Time 1" dataDxfId="7" dataCellStyle="Normal 2"/>
    <tableColumn id="5" name="Time 2" dataDxfId="6" dataCellStyle="Normal 2"/>
    <tableColumn id="6" name="Time Range" dataDxfId="5" dataCellStyle="Normal 2"/>
    <tableColumn id="7" name="Int Start" dataDxfId="4" dataCellStyle="Normal 2"/>
    <tableColumn id="8" name="Int Stop" dataDxfId="3" dataCellStyle="Normal 2"/>
    <tableColumn id="9" name="Type (INT)" dataDxfId="2" dataCellStyle="Normal 2"/>
    <tableColumn id="10" name="RT" dataDxfId="1" dataCellStyle="Normal 2"/>
  </tableColumns>
  <tableStyleInfo name="TableStyleMedium2" showFirstColumn="0" showLastColumn="0" showRowStripes="1" showColumnStripes="0"/>
</table>
</file>

<file path=xl/tables/table5.xml><?xml version="1.0" encoding="utf-8"?>
<table xmlns="http://schemas.openxmlformats.org/spreadsheetml/2006/main" id="2" name="Table2" displayName="Table2" ref="A1:E49" totalsRowShown="0">
  <autoFilter ref="A1:E49"/>
  <sortState ref="A2:E49">
    <sortCondition ref="A2:A49"/>
    <sortCondition ref="D2:D49"/>
  </sortState>
  <tableColumns count="5">
    <tableColumn id="1" name="Trial"/>
    <tableColumn id="2" name="AC1"/>
    <tableColumn id="3" name="AC2"/>
    <tableColumn id="4" name="Time 1"/>
    <tableColumn id="5" name="Time 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F32" sqref="F32"/>
    </sheetView>
  </sheetViews>
  <sheetFormatPr defaultRowHeight="15"/>
  <cols>
    <col min="1" max="1" width="10.42578125" customWidth="1"/>
    <col min="5" max="5" width="9.85546875" customWidth="1"/>
    <col min="6" max="6" width="14.140625" customWidth="1"/>
    <col min="7" max="11" width="9.28515625" customWidth="1"/>
  </cols>
  <sheetData>
    <row r="1" spans="1:18">
      <c r="A1" t="s">
        <v>55</v>
      </c>
      <c r="B1" t="s">
        <v>56</v>
      </c>
      <c r="C1" t="s">
        <v>57</v>
      </c>
      <c r="E1" t="s">
        <v>119</v>
      </c>
      <c r="F1" t="s">
        <v>120</v>
      </c>
      <c r="G1" t="s">
        <v>93</v>
      </c>
      <c r="H1" t="s">
        <v>94</v>
      </c>
      <c r="I1" t="s">
        <v>95</v>
      </c>
      <c r="J1" t="s">
        <v>96</v>
      </c>
      <c r="K1" t="s">
        <v>121</v>
      </c>
    </row>
    <row r="2" spans="1:18">
      <c r="A2" t="s">
        <v>23</v>
      </c>
      <c r="B2">
        <v>16.901399999999999</v>
      </c>
      <c r="C2">
        <v>52.5</v>
      </c>
      <c r="E2">
        <v>1</v>
      </c>
      <c r="F2" t="s">
        <v>1</v>
      </c>
      <c r="G2" t="s">
        <v>7</v>
      </c>
      <c r="H2" t="s">
        <v>8</v>
      </c>
      <c r="I2" t="e">
        <v>#N/A</v>
      </c>
      <c r="J2" t="e">
        <v>#N/A</v>
      </c>
      <c r="K2" t="e">
        <v>#N/A</v>
      </c>
    </row>
    <row r="3" spans="1:18">
      <c r="A3" t="s">
        <v>16</v>
      </c>
      <c r="B3">
        <v>6.7561</v>
      </c>
      <c r="C3">
        <v>52.5</v>
      </c>
      <c r="E3">
        <v>2</v>
      </c>
      <c r="F3" t="s">
        <v>2</v>
      </c>
      <c r="G3" t="s">
        <v>9</v>
      </c>
      <c r="H3" t="s">
        <v>10</v>
      </c>
      <c r="I3" t="e">
        <v>#N/A</v>
      </c>
      <c r="J3" t="e">
        <v>#N/A</v>
      </c>
      <c r="K3" t="e">
        <v>#N/A</v>
      </c>
    </row>
    <row r="4" spans="1:18">
      <c r="A4" t="s">
        <v>14</v>
      </c>
      <c r="B4">
        <v>67.275700000000001</v>
      </c>
      <c r="C4">
        <v>52.5</v>
      </c>
      <c r="E4">
        <v>3</v>
      </c>
      <c r="F4" t="s">
        <v>3</v>
      </c>
      <c r="G4" t="s">
        <v>11</v>
      </c>
      <c r="H4" t="s">
        <v>13</v>
      </c>
      <c r="I4" t="s">
        <v>15</v>
      </c>
      <c r="J4" t="e">
        <v>#N/A</v>
      </c>
      <c r="K4" t="e">
        <v>#N/A</v>
      </c>
    </row>
    <row r="5" spans="1:18">
      <c r="A5" t="s">
        <v>24</v>
      </c>
      <c r="B5">
        <v>53.315300000000001</v>
      </c>
      <c r="C5">
        <v>52.5</v>
      </c>
      <c r="E5">
        <v>4</v>
      </c>
      <c r="F5" t="s">
        <v>4</v>
      </c>
      <c r="G5" t="s">
        <v>16</v>
      </c>
      <c r="H5" t="s">
        <v>17</v>
      </c>
      <c r="I5" t="s">
        <v>18</v>
      </c>
      <c r="J5" t="s">
        <v>19</v>
      </c>
      <c r="K5" t="e">
        <v>#N/A</v>
      </c>
    </row>
    <row r="6" spans="1:18">
      <c r="A6" t="s">
        <v>58</v>
      </c>
      <c r="B6">
        <v>70</v>
      </c>
      <c r="C6">
        <v>35.890099999999997</v>
      </c>
      <c r="E6">
        <v>5</v>
      </c>
      <c r="F6" t="s">
        <v>5</v>
      </c>
      <c r="G6" t="s">
        <v>20</v>
      </c>
      <c r="H6" t="s">
        <v>21</v>
      </c>
      <c r="I6" t="s">
        <v>22</v>
      </c>
      <c r="J6" t="s">
        <v>23</v>
      </c>
      <c r="K6" t="e">
        <v>#N/A</v>
      </c>
    </row>
    <row r="7" spans="1:18">
      <c r="A7" t="s">
        <v>59</v>
      </c>
      <c r="E7">
        <v>6</v>
      </c>
      <c r="F7" t="s">
        <v>6</v>
      </c>
      <c r="G7" t="s">
        <v>24</v>
      </c>
      <c r="H7" t="s">
        <v>25</v>
      </c>
      <c r="I7" t="s">
        <v>26</v>
      </c>
      <c r="J7" t="s">
        <v>27</v>
      </c>
      <c r="K7" t="s">
        <v>28</v>
      </c>
    </row>
    <row r="8" spans="1:18">
      <c r="A8" t="s">
        <v>20</v>
      </c>
      <c r="B8">
        <v>41.753399999999999</v>
      </c>
      <c r="C8">
        <v>0</v>
      </c>
    </row>
    <row r="9" spans="1:18">
      <c r="A9" t="s">
        <v>60</v>
      </c>
      <c r="B9">
        <v>50.6008</v>
      </c>
      <c r="C9">
        <v>0</v>
      </c>
      <c r="E9" t="s">
        <v>62</v>
      </c>
    </row>
    <row r="10" spans="1:18">
      <c r="A10" t="s">
        <v>19</v>
      </c>
      <c r="B10">
        <v>14.3025</v>
      </c>
      <c r="C10">
        <v>0</v>
      </c>
      <c r="E10" t="s">
        <v>63</v>
      </c>
    </row>
    <row r="11" spans="1:18">
      <c r="A11" t="s">
        <v>28</v>
      </c>
      <c r="B11">
        <v>23.711500000000001</v>
      </c>
      <c r="C11">
        <v>0</v>
      </c>
      <c r="E11" t="s">
        <v>64</v>
      </c>
    </row>
    <row r="12" spans="1:18">
      <c r="A12" t="s">
        <v>61</v>
      </c>
      <c r="B12">
        <v>0</v>
      </c>
      <c r="C12">
        <v>17.569500000000001</v>
      </c>
      <c r="E12" t="s">
        <v>65</v>
      </c>
    </row>
    <row r="13" spans="1:18">
      <c r="A13" t="s">
        <v>29</v>
      </c>
      <c r="B13">
        <v>0</v>
      </c>
      <c r="C13">
        <v>34.572499999999998</v>
      </c>
      <c r="E13" t="s">
        <v>66</v>
      </c>
      <c r="K13" s="45">
        <v>41.753399999999999</v>
      </c>
      <c r="L13" s="46">
        <v>0</v>
      </c>
      <c r="M13" s="45">
        <v>41.7759</v>
      </c>
      <c r="N13" s="46">
        <v>18.355899999999998</v>
      </c>
      <c r="O13" s="45">
        <v>24.968599999999999</v>
      </c>
      <c r="P13" s="46">
        <v>35.042499999999997</v>
      </c>
      <c r="Q13" s="45">
        <v>16.901399999999999</v>
      </c>
      <c r="R13" s="46">
        <v>52.5</v>
      </c>
    </row>
    <row r="14" spans="1:18">
      <c r="A14" t="s">
        <v>22</v>
      </c>
      <c r="B14">
        <v>24.968599999999999</v>
      </c>
      <c r="C14">
        <v>35.042499999999997</v>
      </c>
      <c r="E14" t="s">
        <v>67</v>
      </c>
    </row>
    <row r="15" spans="1:18">
      <c r="A15" t="s">
        <v>26</v>
      </c>
      <c r="B15">
        <v>43.043799999999997</v>
      </c>
      <c r="C15">
        <v>35.3827</v>
      </c>
    </row>
    <row r="16" spans="1:18">
      <c r="A16" t="s">
        <v>21</v>
      </c>
      <c r="B16">
        <v>41.7759</v>
      </c>
      <c r="C16">
        <v>18.355899999999998</v>
      </c>
    </row>
    <row r="17" spans="1:7">
      <c r="A17" t="s">
        <v>27</v>
      </c>
      <c r="B17">
        <v>23.700700000000001</v>
      </c>
      <c r="C17">
        <v>18.015599999999999</v>
      </c>
    </row>
    <row r="18" spans="1:7">
      <c r="A18" t="s">
        <v>25</v>
      </c>
      <c r="B18">
        <v>51.162700000000001</v>
      </c>
      <c r="C18">
        <v>43.789299999999997</v>
      </c>
    </row>
    <row r="19" spans="1:7">
      <c r="A19" t="s">
        <v>12</v>
      </c>
      <c r="B19">
        <v>50.508699999999997</v>
      </c>
      <c r="C19">
        <v>35.523200000000003</v>
      </c>
    </row>
    <row r="20" spans="1:7">
      <c r="A20" t="s">
        <v>18</v>
      </c>
      <c r="B20">
        <v>14.3025</v>
      </c>
      <c r="C20">
        <v>34.841700000000003</v>
      </c>
    </row>
    <row r="21" spans="1:7">
      <c r="A21" t="s">
        <v>17</v>
      </c>
      <c r="B21">
        <v>10.7531</v>
      </c>
      <c r="C21">
        <v>42.894599999999997</v>
      </c>
      <c r="E21">
        <v>209</v>
      </c>
      <c r="F21">
        <f>E21/86400</f>
        <v>2.4189814814814816E-3</v>
      </c>
      <c r="G21" s="60">
        <f>F21</f>
        <v>2.4189814814814816E-3</v>
      </c>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workbookViewId="0">
      <selection activeCell="L21" sqref="L21"/>
    </sheetView>
  </sheetViews>
  <sheetFormatPr defaultRowHeight="15"/>
  <cols>
    <col min="4" max="4" width="10.42578125" bestFit="1" customWidth="1"/>
    <col min="5" max="5" width="10.42578125" customWidth="1"/>
    <col min="6" max="6" width="16.7109375" bestFit="1" customWidth="1"/>
    <col min="7" max="7" width="18" bestFit="1" customWidth="1"/>
    <col min="8" max="8" width="13.42578125" bestFit="1" customWidth="1"/>
    <col min="9" max="9" width="5.28515625" bestFit="1" customWidth="1"/>
    <col min="10" max="10" width="5.140625" bestFit="1" customWidth="1"/>
    <col min="11" max="12" width="5.140625" customWidth="1"/>
    <col min="14" max="14" width="255.7109375" bestFit="1" customWidth="1"/>
  </cols>
  <sheetData>
    <row r="1" spans="1:15">
      <c r="A1" s="42" t="s">
        <v>50</v>
      </c>
      <c r="B1" s="42" t="s">
        <v>141</v>
      </c>
      <c r="C1" s="42" t="s">
        <v>142</v>
      </c>
      <c r="D1" s="42" t="s">
        <v>137</v>
      </c>
      <c r="E1" s="42" t="s">
        <v>140</v>
      </c>
      <c r="F1" s="42" t="s">
        <v>138</v>
      </c>
      <c r="G1" s="42" t="s">
        <v>139</v>
      </c>
      <c r="H1" s="42" t="s">
        <v>134</v>
      </c>
      <c r="I1" s="42" t="s">
        <v>135</v>
      </c>
      <c r="J1" s="42" t="s">
        <v>136</v>
      </c>
      <c r="K1" s="42" t="s">
        <v>237</v>
      </c>
      <c r="L1" s="42" t="s">
        <v>236</v>
      </c>
      <c r="N1" t="s">
        <v>143</v>
      </c>
    </row>
    <row r="2" spans="1:15">
      <c r="A2" s="42">
        <v>1</v>
      </c>
      <c r="B2" s="42">
        <f>C2-27</f>
        <v>120</v>
      </c>
      <c r="C2" s="42">
        <v>147</v>
      </c>
      <c r="D2" s="42" t="s">
        <v>4</v>
      </c>
      <c r="E2" s="42" t="s">
        <v>146</v>
      </c>
      <c r="F2" s="42" t="s">
        <v>147</v>
      </c>
      <c r="G2" s="42" t="s">
        <v>147</v>
      </c>
      <c r="H2" s="42" t="s">
        <v>235</v>
      </c>
      <c r="I2" s="42">
        <v>-310</v>
      </c>
      <c r="J2" s="42">
        <v>-30</v>
      </c>
      <c r="K2" s="42">
        <v>-200</v>
      </c>
      <c r="L2" s="42">
        <v>25</v>
      </c>
      <c r="N2" t="str">
        <f>"&lt;!-- ============== PM Box"&amp;" Trial-"&amp;A2&amp;"-"&amp;F2&amp;"-"&amp;G2&amp;"================ --&gt;"&amp;
"&lt;atc:reminderBox atc:bgColor="&amp;CHAR(34)&amp;"LightBlue"&amp;CHAR(34)&amp;" atc:width='262' atc:height='70' "&amp;
"atc:aircraft='"&amp;H2&amp;"' atc:posX='"&amp;I2&amp;"' atc:posY='"&amp;J2&amp;"' atc:displayText="&amp;CHAR(34)&amp;" Handoff "&amp;H2&amp;"/nwith "&amp;E2&amp;"-arrow"&amp;CHAR(34)&amp;" atc:displayTextSize='20'&gt;"&amp;
"&lt;atc:displayTime"&amp;
" atc:startTime='"&amp;IF(F2="Short",B2-10,B2-50)&amp;
"' atc:endTime='"&amp;IF(F2="Short",B2,B2-40)&amp;"'/&gt;"&amp;
"&lt;atc:flashColor&gt;darkOrange&lt;/atc:flashColor&gt;"&amp;
"&lt;atc:flashColor&gt;darkOrange&lt;/atc:flashColor&gt;"&amp;
"&lt;atc:flashTime atc:startTime='0' atc:endTime='0'/&gt;"&amp;
"&lt;atc:dismissButton atc:enable_time='"&amp;IF(F2="Short",B2-8,B2-48)&amp;
"' atc:label="&amp;CHAR(34)&amp;"Acknowledge"&amp;CHAR(34)&amp;" atc:fontSize='10' atc:width='110' atc:height='30' atc:posX='"&amp;K2&amp;"' atc:posY='"&amp;L2&amp;"'/&gt;"&amp;
"&lt;/atc:reminderBox&gt;"</f>
        <v>&lt;!-- ============== PM Box Trial-1-Short-Short================ --&gt;&lt;atc:reminderBox atc:bgColor="LightBlue" atc:width='262' atc:height='70' atc:aircraft='SPM' atc:posX='-310' atc:posY='-30' atc:displayText=" Handoff SPM/nwith Down-arrow" atc:displayTextSize='20'&gt;&lt;atc:displayTime atc:startTime='110' atc:endTime='120'/&gt;&lt;atc:flashColor&gt;darkOrange&lt;/atc:flashColor&gt;&lt;atc:flashColor&gt;darkOrange&lt;/atc:flashColor&gt;&lt;atc:flashTime atc:startTime='0' atc:endTime='0'/&gt;&lt;atc:dismissButton atc:enable_time='112' atc:label="Acknowledge" atc:fontSize='10' atc:width='110' atc:height='30' atc:posX='-200' atc:posY='25'/&gt;&lt;/atc:reminderBox&gt;</v>
      </c>
      <c r="O2" t="str">
        <f>N2&amp;N50</f>
        <v>&lt;!-- ============== PM Box Trial-1-Short-Short================ --&gt;&lt;atc:reminderBox atc:bgColor="LightBlue" atc:width='262' atc:height='70' atc:aircraft='SPM' atc:posX='-310' atc:posY='-30' atc:displayText=" Handoff SPM/nwith Down-arrow" atc:displayTextSize='20'&gt;&lt;atc:displayTime atc:startTime='110' atc:endTime='120'/&gt;&lt;atc:flashColor&gt;darkOrange&lt;/atc:flashColor&gt;&lt;atc:flashColor&gt;darkOrange&lt;/atc:flashColor&gt;&lt;atc:flashTime atc:startTime='0' atc:endTime='0'/&gt;&lt;atc:dismissButton atc:enable_time='112' atc:label="Acknowledge" atc:fontSize='10' atc:width='110' atc:height='30' atc:posX='-200' atc:posY='25'/&gt;&lt;/atc:reminderBox&gt;&lt;!-- ============== PM Box Trial-1-Long-Long================ --&gt;&lt;atc:reminderBox atc:bgColor="LightBlue" atc:width='262' atc:height='70' atc:aircraft='LPM' atc:posX='-310' atc:posY='-30' atc:displayText=" Handoff LPM/nwith Down-arrow" atc:displayTextSize='20'&gt;&lt;atc:displayTime atc:startTime='70' atc:endTime='80'/&gt;&lt;atc:flashColor&gt;darkOrange&lt;/atc:flashColor&gt;&lt;atc:flashColor&gt;darkOrange&lt;/atc:flashColor&gt;&lt;atc:flashTime atc:startTime='0' atc:endTime='0'/&gt;&lt;atc:dismissButton atc:enable_time='72' atc:label="Acknowledge" atc:fontSize='10' atc:width='110' atc:height='30' atc:posX='-200' atc:posY='25'/&gt;&lt;/atc:reminderBox&gt;</v>
      </c>
    </row>
    <row r="3" spans="1:15">
      <c r="A3" s="42">
        <v>2</v>
      </c>
      <c r="B3" s="42">
        <f t="shared" ref="B3:B16" si="0">C3-27</f>
        <v>142</v>
      </c>
      <c r="C3" s="42">
        <v>169</v>
      </c>
      <c r="D3" s="42" t="s">
        <v>4</v>
      </c>
      <c r="E3" s="42" t="s">
        <v>146</v>
      </c>
      <c r="F3" s="42" t="s">
        <v>147</v>
      </c>
      <c r="G3" s="42" t="s">
        <v>147</v>
      </c>
      <c r="H3" s="42" t="s">
        <v>235</v>
      </c>
      <c r="I3" s="42">
        <v>-310</v>
      </c>
      <c r="J3" s="42">
        <v>-30</v>
      </c>
      <c r="K3" s="42">
        <v>-200</v>
      </c>
      <c r="L3" s="42">
        <v>25</v>
      </c>
      <c r="N3" t="str">
        <f t="shared" ref="N3:N65" si="1">"&lt;!-- ============== PM Box"&amp;" Trial-"&amp;A3&amp;"-"&amp;F3&amp;"-"&amp;G3&amp;"================ --&gt;"&amp;
"&lt;atc:reminderBox atc:bgColor="&amp;CHAR(34)&amp;"LightBlue"&amp;CHAR(34)&amp;" atc:width='262' atc:height='70' "&amp;
"atc:aircraft='"&amp;H3&amp;"' atc:posX='"&amp;I3&amp;"' atc:posY='"&amp;J3&amp;"' atc:displayText="&amp;CHAR(34)&amp;" Handoff "&amp;H3&amp;"/nwith "&amp;E3&amp;"-arrow"&amp;CHAR(34)&amp;" atc:displayTextSize='20'&gt;"&amp;
"&lt;atc:displayTime"&amp;
" atc:startTime='"&amp;IF(F3="Short",B3-10,B3-50)&amp;
"' atc:endTime='"&amp;IF(F3="Short",B3,B3-40)&amp;"'/&gt;"&amp;
"&lt;atc:flashColor&gt;darkOrange&lt;/atc:flashColor&gt;"&amp;
"&lt;atc:flashColor&gt;darkOrange&lt;/atc:flashColor&gt;"&amp;
"&lt;atc:flashTime atc:startTime='0' atc:endTime='0'/&gt;"&amp;
"&lt;atc:dismissButton atc:enable_time='"&amp;IF(F3="Short",B3-8,B3-48)&amp;
"' atc:label="&amp;CHAR(34)&amp;"Acknowledge"&amp;CHAR(34)&amp;" atc:fontSize='10' atc:width='110' atc:height='30' atc:posX='"&amp;K3&amp;"' atc:posY='"&amp;L3&amp;"'/&gt;"&amp;
"&lt;/atc:reminderBox&gt;"</f>
        <v>&lt;!-- ============== PM Box Trial-2-Short-Short================ --&gt;&lt;atc:reminderBox atc:bgColor="LightBlue" atc:width='262' atc:height='70' atc:aircraft='SPM' atc:posX='-310' atc:posY='-30' atc:displayText=" Handoff SPM/nwith Down-arrow" atc:displayTextSize='20'&gt;&lt;atc:displayTime atc:startTime='132' atc:endTime='142'/&gt;&lt;atc:flashColor&gt;darkOrange&lt;/atc:flashColor&gt;&lt;atc:flashColor&gt;darkOrange&lt;/atc:flashColor&gt;&lt;atc:flashTime atc:startTime='0' atc:endTime='0'/&gt;&lt;atc:dismissButton atc:enable_time='134' atc:label="Acknowledge" atc:fontSize='10' atc:width='110' atc:height='30' atc:posX='-200' atc:posY='25'/&gt;&lt;/atc:reminderBox&gt;</v>
      </c>
      <c r="O3" t="str">
        <f t="shared" ref="O3:O17" si="2">N3&amp;N51</f>
        <v>&lt;!-- ============== PM Box Trial-2-Short-Short================ --&gt;&lt;atc:reminderBox atc:bgColor="LightBlue" atc:width='262' atc:height='70' atc:aircraft='SPM' atc:posX='-310' atc:posY='-30' atc:displayText=" Handoff SPM/nwith Down-arrow" atc:displayTextSize='20'&gt;&lt;atc:displayTime atc:startTime='132' atc:endTime='142'/&gt;&lt;atc:flashColor&gt;darkOrange&lt;/atc:flashColor&gt;&lt;atc:flashColor&gt;darkOrange&lt;/atc:flashColor&gt;&lt;atc:flashTime atc:startTime='0' atc:endTime='0'/&gt;&lt;atc:dismissButton atc:enable_time='134' atc:label="Acknowledge" atc:fontSize='10' atc:width='110' atc:height='30' atc:posX='-200' atc:posY='25'/&gt;&lt;/atc:reminderBox&gt;&lt;!-- ============== PM Box Trial-2-Long-Long================ --&gt;&lt;atc:reminderBox atc:bgColor="LightBlue" atc:width='262' atc:height='70' atc:aircraft='LPM' atc:posX='-310' atc:posY='-30' atc:displayText=" Handoff LPM/nwith Down-arrow" atc:displayTextSize='20'&gt;&lt;atc:displayTime atc:startTime='92' atc:endTime='102'/&gt;&lt;atc:flashColor&gt;darkOrange&lt;/atc:flashColor&gt;&lt;atc:flashColor&gt;darkOrange&lt;/atc:flashColor&gt;&lt;atc:flashTime atc:startTime='0' atc:endTime='0'/&gt;&lt;atc:dismissButton atc:enable_time='94' atc:label="Acknowledge" atc:fontSize='10' atc:width='110' atc:height='30' atc:posX='-200' atc:posY='25'/&gt;&lt;/atc:reminderBox&gt;</v>
      </c>
    </row>
    <row r="4" spans="1:15">
      <c r="A4" s="42">
        <v>3</v>
      </c>
      <c r="B4" s="42">
        <f t="shared" si="0"/>
        <v>95</v>
      </c>
      <c r="C4" s="42">
        <v>122</v>
      </c>
      <c r="D4" s="42" t="s">
        <v>4</v>
      </c>
      <c r="E4" s="42" t="s">
        <v>146</v>
      </c>
      <c r="F4" s="42" t="s">
        <v>147</v>
      </c>
      <c r="G4" s="42" t="s">
        <v>147</v>
      </c>
      <c r="H4" s="42" t="s">
        <v>235</v>
      </c>
      <c r="I4" s="42">
        <v>-310</v>
      </c>
      <c r="J4" s="42">
        <v>-30</v>
      </c>
      <c r="K4" s="42">
        <v>-200</v>
      </c>
      <c r="L4" s="42">
        <v>25</v>
      </c>
      <c r="N4" t="str">
        <f t="shared" si="1"/>
        <v>&lt;!-- ============== PM Box Trial-3-Short-Short================ --&gt;&lt;atc:reminderBox atc:bgColor="LightBlue" atc:width='262' atc:height='70' atc:aircraft='SPM' atc:posX='-310' atc:posY='-30' atc:displayText=" Handoff SPM/nwith Down-arrow" atc:displayTextSize='20'&gt;&lt;atc:displayTime atc:startTime='85' atc:endTime='95'/&gt;&lt;atc:flashColor&gt;darkOrange&lt;/atc:flashColor&gt;&lt;atc:flashColor&gt;darkOrange&lt;/atc:flashColor&gt;&lt;atc:flashTime atc:startTime='0' atc:endTime='0'/&gt;&lt;atc:dismissButton atc:enable_time='87' atc:label="Acknowledge" atc:fontSize='10' atc:width='110' atc:height='30' atc:posX='-200' atc:posY='25'/&gt;&lt;/atc:reminderBox&gt;</v>
      </c>
      <c r="O4" t="str">
        <f t="shared" si="2"/>
        <v>&lt;!-- ============== PM Box Trial-3-Short-Short================ --&gt;&lt;atc:reminderBox atc:bgColor="LightBlue" atc:width='262' atc:height='70' atc:aircraft='SPM' atc:posX='-310' atc:posY='-30' atc:displayText=" Handoff SPM/nwith Down-arrow" atc:displayTextSize='20'&gt;&lt;atc:displayTime atc:startTime='85' atc:endTime='95'/&gt;&lt;atc:flashColor&gt;darkOrange&lt;/atc:flashColor&gt;&lt;atc:flashColor&gt;darkOrange&lt;/atc:flashColor&gt;&lt;atc:flashTime atc:startTime='0' atc:endTime='0'/&gt;&lt;atc:dismissButton atc:enable_time='87' atc:label="Acknowledge" atc:fontSize='10' atc:width='110' atc:height='30' atc:posX='-200' atc:posY='25'/&gt;&lt;/atc:reminderBox&gt;&lt;!-- ============== PM Box Trial-3-Long-Long================ --&gt;&lt;atc:reminderBox atc:bgColor="LightBlue" atc:width='262' atc:height='70' atc:aircraft='LPM' atc:posX='-310' atc:posY='-30' atc:displayText=" Handoff LPM/nwith Down-arrow" atc:displayTextSize='20'&gt;&lt;atc:displayTime atc:startTime='45' atc:endTime='55'/&gt;&lt;atc:flashColor&gt;darkOrange&lt;/atc:flashColor&gt;&lt;atc:flashColor&gt;darkOrange&lt;/atc:flashColor&gt;&lt;atc:flashTime atc:startTime='0' atc:endTime='0'/&gt;&lt;atc:dismissButton atc:enable_time='47' atc:label="Acknowledge" atc:fontSize='10' atc:width='110' atc:height='30' atc:posX='-200' atc:posY='25'/&gt;&lt;/atc:reminderBox&gt;</v>
      </c>
    </row>
    <row r="5" spans="1:15">
      <c r="A5" s="42">
        <v>4</v>
      </c>
      <c r="B5" s="42">
        <f t="shared" si="0"/>
        <v>96</v>
      </c>
      <c r="C5" s="42">
        <v>123</v>
      </c>
      <c r="D5" s="42" t="s">
        <v>2</v>
      </c>
      <c r="E5" s="42" t="s">
        <v>144</v>
      </c>
      <c r="F5" s="42" t="s">
        <v>147</v>
      </c>
      <c r="G5" s="42" t="s">
        <v>147</v>
      </c>
      <c r="H5" s="42" t="s">
        <v>235</v>
      </c>
      <c r="I5" s="42">
        <v>-131</v>
      </c>
      <c r="J5" s="42">
        <v>30</v>
      </c>
      <c r="K5" s="42">
        <v>-60</v>
      </c>
      <c r="L5" s="42">
        <v>60</v>
      </c>
      <c r="N5" t="str">
        <f t="shared" si="1"/>
        <v>&lt;!-- ============== PM Box Trial-4-Short-Short================ --&gt;&lt;atc:reminderBox atc:bgColor="LightBlue" atc:width='262' atc:height='70' atc:aircraft='SPM' atc:posX='-131' atc:posY='30' atc:displayText=" Handoff SPM/nwith Right-arrow" atc:displayTextSize='20'&gt;&lt;atc:displayTime atc:startTime='86' atc:endTime='96'/&gt;&lt;atc:flashColor&gt;darkOrange&lt;/atc:flashColor&gt;&lt;atc:flashColor&gt;darkOrange&lt;/atc:flashColor&gt;&lt;atc:flashTime atc:startTime='0' atc:endTime='0'/&gt;&lt;atc:dismissButton atc:enable_time='88' atc:label="Acknowledge" atc:fontSize='10' atc:width='110' atc:height='30' atc:posX='-60' atc:posY='60'/&gt;&lt;/atc:reminderBox&gt;</v>
      </c>
      <c r="O5" t="str">
        <f t="shared" si="2"/>
        <v>&lt;!-- ============== PM Box Trial-4-Short-Short================ --&gt;&lt;atc:reminderBox atc:bgColor="LightBlue" atc:width='262' atc:height='70' atc:aircraft='SPM' atc:posX='-131' atc:posY='30' atc:displayText=" Handoff SPM/nwith Right-arrow" atc:displayTextSize='20'&gt;&lt;atc:displayTime atc:startTime='86' atc:endTime='96'/&gt;&lt;atc:flashColor&gt;darkOrange&lt;/atc:flashColor&gt;&lt;atc:flashColor&gt;darkOrange&lt;/atc:flashColor&gt;&lt;atc:flashTime atc:startTime='0' atc:endTime='0'/&gt;&lt;atc:dismissButton atc:enable_time='88' atc:label="Acknowledge" atc:fontSize='10' atc:width='110' atc:height='30' atc:posX='-60' atc:posY='60'/&gt;&lt;/atc:reminderBox&gt;&lt;!-- ============== PM Box Trial-4-Long-Long================ --&gt;&lt;atc:reminderBox atc:bgColor="LightBlue" atc:width='262' atc:height='70' atc:aircraft='LPM' atc:posX='-131' atc:posY='30' atc:displayText=" Handoff LPM/nwith Right-arrow" atc:displayTextSize='20'&gt;&lt;atc:displayTime atc:startTime='46' atc:endTime='56'/&gt;&lt;atc:flashColor&gt;darkOrange&lt;/atc:flashColor&gt;&lt;atc:flashColor&gt;darkOrange&lt;/atc:flashColor&gt;&lt;atc:flashTime atc:startTime='0' atc:endTime='0'/&gt;&lt;atc:dismissButton atc:enable_time='48' atc:label="Acknowledge" atc:fontSize='10' atc:width='110' atc:height='30' atc:posX='-60' atc:posY='60'/&gt;&lt;/atc:reminderBox&gt;</v>
      </c>
    </row>
    <row r="6" spans="1:15">
      <c r="A6" s="42">
        <v>5</v>
      </c>
      <c r="B6" s="42">
        <f t="shared" si="0"/>
        <v>148</v>
      </c>
      <c r="C6" s="42">
        <v>175</v>
      </c>
      <c r="D6" s="42" t="s">
        <v>1</v>
      </c>
      <c r="E6" s="42" t="s">
        <v>126</v>
      </c>
      <c r="F6" s="42" t="s">
        <v>147</v>
      </c>
      <c r="G6" s="42" t="s">
        <v>147</v>
      </c>
      <c r="H6" s="42" t="s">
        <v>235</v>
      </c>
      <c r="I6" s="42">
        <v>-250</v>
      </c>
      <c r="J6" s="42">
        <v>-115</v>
      </c>
      <c r="K6" s="42">
        <v>-150</v>
      </c>
      <c r="L6" s="42">
        <v>-23</v>
      </c>
      <c r="N6" t="str">
        <f t="shared" si="1"/>
        <v>&lt;!-- ============== PM Box Trial-5-Short-Short================ --&gt;&lt;atc:reminderBox atc:bgColor="LightBlue" atc:width='262' atc:height='70' atc:aircraft='SPM' atc:posX='-250' atc:posY='-115' atc:displayText=" Handoff SPM/nwith Left-arrow" atc:displayTextSize='20'&gt;&lt;atc:displayTime atc:startTime='138' atc:endTime='148'/&gt;&lt;atc:flashColor&gt;darkOrange&lt;/atc:flashColor&gt;&lt;atc:flashColor&gt;darkOrange&lt;/atc:flashColor&gt;&lt;atc:flashTime atc:startTime='0' atc:endTime='0'/&gt;&lt;atc:dismissButton atc:enable_time='140' atc:label="Acknowledge" atc:fontSize='10' atc:width='110' atc:height='30' atc:posX='-150' atc:posY='-23'/&gt;&lt;/atc:reminderBox&gt;</v>
      </c>
      <c r="O6" t="str">
        <f t="shared" si="2"/>
        <v>&lt;!-- ============== PM Box Trial-5-Short-Short================ --&gt;&lt;atc:reminderBox atc:bgColor="LightBlue" atc:width='262' atc:height='70' atc:aircraft='SPM' atc:posX='-250' atc:posY='-115' atc:displayText=" Handoff SPM/nwith Left-arrow" atc:displayTextSize='20'&gt;&lt;atc:displayTime atc:startTime='138' atc:endTime='148'/&gt;&lt;atc:flashColor&gt;darkOrange&lt;/atc:flashColor&gt;&lt;atc:flashColor&gt;darkOrange&lt;/atc:flashColor&gt;&lt;atc:flashTime atc:startTime='0' atc:endTime='0'/&gt;&lt;atc:dismissButton atc:enable_time='140' atc:label="Acknowledge" atc:fontSize='10' atc:width='110' atc:height='30' atc:posX='-150' atc:posY='-23'/&gt;&lt;/atc:reminderBox&gt;&lt;!-- ============== PM Box Trial-5-Long-Long================ --&gt;&lt;atc:reminderBox atc:bgColor="LightBlue" atc:width='262' atc:height='70' atc:aircraft='LPM' atc:posX='-250' atc:posY='-115' atc:displayText=" Handoff LPM/nwith Left-arrow" atc:displayTextSize='20'&gt;&lt;atc:displayTime atc:startTime='98' atc:endTime='108'/&gt;&lt;atc:flashColor&gt;darkOrange&lt;/atc:flashColor&gt;&lt;atc:flashColor&gt;darkOrange&lt;/atc:flashColor&gt;&lt;atc:flashTime atc:startTime='0' atc:endTime='0'/&gt;&lt;atc:dismissButton atc:enable_time='100' atc:label="Acknowledge" atc:fontSize='10' atc:width='110' atc:height='30' atc:posX='-150' atc:posY='-23'/&gt;&lt;/atc:reminderBox&gt;</v>
      </c>
    </row>
    <row r="7" spans="1:15">
      <c r="A7" s="42">
        <v>6</v>
      </c>
      <c r="B7" s="42">
        <f t="shared" si="0"/>
        <v>96</v>
      </c>
      <c r="C7" s="42">
        <v>123</v>
      </c>
      <c r="D7" s="42" t="s">
        <v>3</v>
      </c>
      <c r="E7" s="42" t="s">
        <v>145</v>
      </c>
      <c r="F7" s="42" t="s">
        <v>147</v>
      </c>
      <c r="G7" s="42" t="s">
        <v>147</v>
      </c>
      <c r="H7" s="42" t="s">
        <v>235</v>
      </c>
      <c r="I7" s="42">
        <v>-310</v>
      </c>
      <c r="J7" s="42">
        <v>-30</v>
      </c>
      <c r="K7" s="42">
        <v>-200</v>
      </c>
      <c r="L7" s="42">
        <v>25</v>
      </c>
      <c r="N7" t="str">
        <f t="shared" si="1"/>
        <v>&lt;!-- ============== PM Box Trial-6-Short-Short================ --&gt;&lt;atc:reminderBox atc:bgColor="LightBlue" atc:width='262' atc:height='70' atc:aircraft='SPM' atc:posX='-310' atc:posY='-30' atc:displayText=" Handoff SPM/nwith Up-arrow" atc:displayTextSize='20'&gt;&lt;atc:displayTime atc:startTime='86' atc:endTime='96'/&gt;&lt;atc:flashColor&gt;darkOrange&lt;/atc:flashColor&gt;&lt;atc:flashColor&gt;darkOrange&lt;/atc:flashColor&gt;&lt;atc:flashTime atc:startTime='0' atc:endTime='0'/&gt;&lt;atc:dismissButton atc:enable_time='88' atc:label="Acknowledge" atc:fontSize='10' atc:width='110' atc:height='30' atc:posX='-200' atc:posY='25'/&gt;&lt;/atc:reminderBox&gt;</v>
      </c>
      <c r="O7" t="str">
        <f t="shared" si="2"/>
        <v>&lt;!-- ============== PM Box Trial-6-Short-Short================ --&gt;&lt;atc:reminderBox atc:bgColor="LightBlue" atc:width='262' atc:height='70' atc:aircraft='SPM' atc:posX='-310' atc:posY='-30' atc:displayText=" Handoff SPM/nwith Up-arrow" atc:displayTextSize='20'&gt;&lt;atc:displayTime atc:startTime='86' atc:endTime='96'/&gt;&lt;atc:flashColor&gt;darkOrange&lt;/atc:flashColor&gt;&lt;atc:flashColor&gt;darkOrange&lt;/atc:flashColor&gt;&lt;atc:flashTime atc:startTime='0' atc:endTime='0'/&gt;&lt;atc:dismissButton atc:enable_time='88' atc:label="Acknowledge" atc:fontSize='10' atc:width='110' atc:height='30' atc:posX='-200' atc:posY='25'/&gt;&lt;/atc:reminderBox&gt;&lt;!-- ============== PM Box Trial-6-Long-Long================ --&gt;&lt;atc:reminderBox atc:bgColor="LightBlue" atc:width='262' atc:height='70' atc:aircraft='LPM' atc:posX='-310' atc:posY='-30' atc:displayText=" Handoff LPM/nwith Up-arrow" atc:displayTextSize='20'&gt;&lt;atc:displayTime atc:startTime='46' atc:endTime='56'/&gt;&lt;atc:flashColor&gt;darkOrange&lt;/atc:flashColor&gt;&lt;atc:flashColor&gt;darkOrange&lt;/atc:flashColor&gt;&lt;atc:flashTime atc:startTime='0' atc:endTime='0'/&gt;&lt;atc:dismissButton atc:enable_time='48' atc:label="Acknowledge" atc:fontSize='10' atc:width='110' atc:height='30' atc:posX='-200' atc:posY='25'/&gt;&lt;/atc:reminderBox&gt;</v>
      </c>
    </row>
    <row r="8" spans="1:15">
      <c r="A8" s="42">
        <v>7</v>
      </c>
      <c r="B8" s="42">
        <f t="shared" si="0"/>
        <v>123</v>
      </c>
      <c r="C8" s="42">
        <v>150</v>
      </c>
      <c r="D8" s="42" t="s">
        <v>6</v>
      </c>
      <c r="E8" s="42" t="s">
        <v>146</v>
      </c>
      <c r="F8" s="42" t="s">
        <v>147</v>
      </c>
      <c r="G8" s="42" t="s">
        <v>147</v>
      </c>
      <c r="H8" s="42" t="s">
        <v>235</v>
      </c>
      <c r="I8" s="42">
        <v>-310</v>
      </c>
      <c r="J8" s="42">
        <v>-30</v>
      </c>
      <c r="K8" s="42">
        <v>-200</v>
      </c>
      <c r="L8" s="42">
        <v>25</v>
      </c>
      <c r="N8" t="str">
        <f t="shared" si="1"/>
        <v>&lt;!-- ============== PM Box Trial-7-Short-Short================ --&gt;&lt;atc:reminderBox atc:bgColor="LightBlue" atc:width='262' atc:height='70' atc:aircraft='SPM' atc:posX='-310' atc:posY='-30' atc:displayText=" Handoff SPM/nwith Down-arrow" atc:displayTextSize='20'&gt;&lt;atc:displayTime atc:startTime='113' atc:endTime='123'/&gt;&lt;atc:flashColor&gt;darkOrange&lt;/atc:flashColor&gt;&lt;atc:flashColor&gt;darkOrange&lt;/atc:flashColor&gt;&lt;atc:flashTime atc:startTime='0' atc:endTime='0'/&gt;&lt;atc:dismissButton atc:enable_time='115' atc:label="Acknowledge" atc:fontSize='10' atc:width='110' atc:height='30' atc:posX='-200' atc:posY='25'/&gt;&lt;/atc:reminderBox&gt;</v>
      </c>
      <c r="O8" t="str">
        <f t="shared" si="2"/>
        <v>&lt;!-- ============== PM Box Trial-7-Short-Short================ --&gt;&lt;atc:reminderBox atc:bgColor="LightBlue" atc:width='262' atc:height='70' atc:aircraft='SPM' atc:posX='-310' atc:posY='-30' atc:displayText=" Handoff SPM/nwith Down-arrow" atc:displayTextSize='20'&gt;&lt;atc:displayTime atc:startTime='113' atc:endTime='123'/&gt;&lt;atc:flashColor&gt;darkOrange&lt;/atc:flashColor&gt;&lt;atc:flashColor&gt;darkOrange&lt;/atc:flashColor&gt;&lt;atc:flashTime atc:startTime='0' atc:endTime='0'/&gt;&lt;atc:dismissButton atc:enable_time='115' atc:label="Acknowledge" atc:fontSize='10' atc:width='110' atc:height='30' atc:posX='-200' atc:posY='25'/&gt;&lt;/atc:reminderBox&gt;&lt;!-- ============== PM Box Trial-7-Long-Long================ --&gt;&lt;atc:reminderBox atc:bgColor="LightBlue" atc:width='262' atc:height='70' atc:aircraft='LPM' atc:posX='-310' atc:posY='-30' atc:displayText=" Handoff LPM/nwith Down-arrow" atc:displayTextSize='20'&gt;&lt;atc:displayTime atc:startTime='73' atc:endTime='83'/&gt;&lt;atc:flashColor&gt;darkOrange&lt;/atc:flashColor&gt;&lt;atc:flashColor&gt;darkOrange&lt;/atc:flashColor&gt;&lt;atc:flashTime atc:startTime='0' atc:endTime='0'/&gt;&lt;atc:dismissButton atc:enable_time='75' atc:label="Acknowledge" atc:fontSize='10' atc:width='110' atc:height='30' atc:posX='-200' atc:posY='25'/&gt;&lt;/atc:reminderBox&gt;</v>
      </c>
    </row>
    <row r="9" spans="1:15">
      <c r="A9" s="42">
        <v>8</v>
      </c>
      <c r="B9" s="42">
        <f t="shared" si="0"/>
        <v>91</v>
      </c>
      <c r="C9" s="42">
        <v>118</v>
      </c>
      <c r="D9" s="42" t="s">
        <v>3</v>
      </c>
      <c r="E9" s="42" t="s">
        <v>145</v>
      </c>
      <c r="F9" s="42" t="s">
        <v>147</v>
      </c>
      <c r="G9" s="42" t="s">
        <v>147</v>
      </c>
      <c r="H9" s="42" t="s">
        <v>235</v>
      </c>
      <c r="I9" s="42">
        <v>-310</v>
      </c>
      <c r="J9" s="42">
        <v>-30</v>
      </c>
      <c r="K9" s="42">
        <v>-200</v>
      </c>
      <c r="L9" s="42">
        <v>25</v>
      </c>
      <c r="N9" t="str">
        <f t="shared" si="1"/>
        <v>&lt;!-- ============== PM Box Trial-8-Short-Short================ --&gt;&lt;atc:reminderBox atc:bgColor="LightBlue" atc:width='262' atc:height='70' atc:aircraft='SPM' atc:posX='-310' atc:posY='-30' atc:displayText=" Handoff SPM/nwith Up-arrow" atc:displayTextSize='20'&gt;&lt;atc:displayTime atc:startTime='81' atc:endTime='91'/&gt;&lt;atc:flashColor&gt;darkOrange&lt;/atc:flashColor&gt;&lt;atc:flashColor&gt;darkOrange&lt;/atc:flashColor&gt;&lt;atc:flashTime atc:startTime='0' atc:endTime='0'/&gt;&lt;atc:dismissButton atc:enable_time='83' atc:label="Acknowledge" atc:fontSize='10' atc:width='110' atc:height='30' atc:posX='-200' atc:posY='25'/&gt;&lt;/atc:reminderBox&gt;</v>
      </c>
      <c r="O9" t="str">
        <f t="shared" si="2"/>
        <v>&lt;!-- ============== PM Box Trial-8-Short-Short================ --&gt;&lt;atc:reminderBox atc:bgColor="LightBlue" atc:width='262' atc:height='70' atc:aircraft='SPM' atc:posX='-310' atc:posY='-30' atc:displayText=" Handoff SPM/nwith Up-arrow" atc:displayTextSize='20'&gt;&lt;atc:displayTime atc:startTime='81' atc:endTime='91'/&gt;&lt;atc:flashColor&gt;darkOrange&lt;/atc:flashColor&gt;&lt;atc:flashColor&gt;darkOrange&lt;/atc:flashColor&gt;&lt;atc:flashTime atc:startTime='0' atc:endTime='0'/&gt;&lt;atc:dismissButton atc:enable_time='83' atc:label="Acknowledge" atc:fontSize='10' atc:width='110' atc:height='30' atc:posX='-200' atc:posY='25'/&gt;&lt;/atc:reminderBox&gt;&lt;!-- ============== PM Box Trial-8-Long-Long================ --&gt;&lt;atc:reminderBox atc:bgColor="LightBlue" atc:width='262' atc:height='70' atc:aircraft='LPM' atc:posX='-310' atc:posY='-30' atc:displayText=" Handoff LPM/nwith Up-arrow" atc:displayTextSize='20'&gt;&lt;atc:displayTime atc:startTime='41' atc:endTime='51'/&gt;&lt;atc:flashColor&gt;darkOrange&lt;/atc:flashColor&gt;&lt;atc:flashColor&gt;darkOrange&lt;/atc:flashColor&gt;&lt;atc:flashTime atc:startTime='0' atc:endTime='0'/&gt;&lt;atc:dismissButton atc:enable_time='43' atc:label="Acknowledge" atc:fontSize='10' atc:width='110' atc:height='30' atc:posX='-200' atc:posY='25'/&gt;&lt;/atc:reminderBox&gt;</v>
      </c>
    </row>
    <row r="10" spans="1:15">
      <c r="A10" s="42">
        <v>9</v>
      </c>
      <c r="B10" s="42">
        <f t="shared" si="0"/>
        <v>133</v>
      </c>
      <c r="C10" s="42">
        <v>160</v>
      </c>
      <c r="D10" s="42" t="s">
        <v>1</v>
      </c>
      <c r="E10" s="42" t="s">
        <v>126</v>
      </c>
      <c r="F10" s="42" t="s">
        <v>147</v>
      </c>
      <c r="G10" s="42" t="s">
        <v>147</v>
      </c>
      <c r="H10" s="42" t="s">
        <v>235</v>
      </c>
      <c r="I10" s="42">
        <v>-250</v>
      </c>
      <c r="J10" s="42">
        <v>-115</v>
      </c>
      <c r="K10" s="42">
        <v>-150</v>
      </c>
      <c r="L10" s="42">
        <v>-23</v>
      </c>
      <c r="N10" t="str">
        <f t="shared" si="1"/>
        <v>&lt;!-- ============== PM Box Trial-9-Short-Short================ --&gt;&lt;atc:reminderBox atc:bgColor="LightBlue" atc:width='262' atc:height='70' atc:aircraft='SPM' atc:posX='-250' atc:posY='-115' atc:displayText=" Handoff SPM/nwith Left-arrow" atc:displayTextSize='20'&gt;&lt;atc:displayTime atc:startTime='123' atc:endTime='133'/&gt;&lt;atc:flashColor&gt;darkOrange&lt;/atc:flashColor&gt;&lt;atc:flashColor&gt;darkOrange&lt;/atc:flashColor&gt;&lt;atc:flashTime atc:startTime='0' atc:endTime='0'/&gt;&lt;atc:dismissButton atc:enable_time='125' atc:label="Acknowledge" atc:fontSize='10' atc:width='110' atc:height='30' atc:posX='-150' atc:posY='-23'/&gt;&lt;/atc:reminderBox&gt;</v>
      </c>
      <c r="O10" t="str">
        <f t="shared" si="2"/>
        <v>&lt;!-- ============== PM Box Trial-9-Short-Short================ --&gt;&lt;atc:reminderBox atc:bgColor="LightBlue" atc:width='262' atc:height='70' atc:aircraft='SPM' atc:posX='-250' atc:posY='-115' atc:displayText=" Handoff SPM/nwith Left-arrow" atc:displayTextSize='20'&gt;&lt;atc:displayTime atc:startTime='123' atc:endTime='133'/&gt;&lt;atc:flashColor&gt;darkOrange&lt;/atc:flashColor&gt;&lt;atc:flashColor&gt;darkOrange&lt;/atc:flashColor&gt;&lt;atc:flashTime atc:startTime='0' atc:endTime='0'/&gt;&lt;atc:dismissButton atc:enable_time='125' atc:label="Acknowledge" atc:fontSize='10' atc:width='110' atc:height='30' atc:posX='-150' atc:posY='-23'/&gt;&lt;/atc:reminderBox&gt;&lt;!-- ============== PM Box Trial-9-Long-Long================ --&gt;&lt;atc:reminderBox atc:bgColor="LightBlue" atc:width='262' atc:height='70' atc:aircraft='LPM' atc:posX='-250' atc:posY='-115' atc:displayText=" Handoff LPM/nwith Left-arrow" atc:displayTextSize='20'&gt;&lt;atc:displayTime atc:startTime='83' atc:endTime='93'/&gt;&lt;atc:flashColor&gt;darkOrange&lt;/atc:flashColor&gt;&lt;atc:flashColor&gt;darkOrange&lt;/atc:flashColor&gt;&lt;atc:flashTime atc:startTime='0' atc:endTime='0'/&gt;&lt;atc:dismissButton atc:enable_time='85' atc:label="Acknowledge" atc:fontSize='10' atc:width='110' atc:height='30' atc:posX='-150' atc:posY='-23'/&gt;&lt;/atc:reminderBox&gt;</v>
      </c>
    </row>
    <row r="11" spans="1:15">
      <c r="A11" s="42">
        <v>10</v>
      </c>
      <c r="B11" s="42">
        <f t="shared" si="0"/>
        <v>123</v>
      </c>
      <c r="C11" s="42">
        <v>150</v>
      </c>
      <c r="D11" s="42" t="s">
        <v>5</v>
      </c>
      <c r="E11" s="42" t="s">
        <v>145</v>
      </c>
      <c r="F11" s="42" t="s">
        <v>147</v>
      </c>
      <c r="G11" s="42" t="s">
        <v>147</v>
      </c>
      <c r="H11" s="42" t="s">
        <v>235</v>
      </c>
      <c r="I11" s="42">
        <v>-310</v>
      </c>
      <c r="J11" s="42">
        <v>-30</v>
      </c>
      <c r="K11" s="42">
        <v>-200</v>
      </c>
      <c r="L11" s="42">
        <v>25</v>
      </c>
      <c r="N11" t="str">
        <f t="shared" si="1"/>
        <v>&lt;!-- ============== PM Box Trial-10-Short-Short================ --&gt;&lt;atc:reminderBox atc:bgColor="LightBlue" atc:width='262' atc:height='70' atc:aircraft='SPM' atc:posX='-310' atc:posY='-30' atc:displayText=" Handoff SPM/nwith Up-arrow" atc:displayTextSize='20'&gt;&lt;atc:displayTime atc:startTime='113' atc:endTime='123'/&gt;&lt;atc:flashColor&gt;darkOrange&lt;/atc:flashColor&gt;&lt;atc:flashColor&gt;darkOrange&lt;/atc:flashColor&gt;&lt;atc:flashTime atc:startTime='0' atc:endTime='0'/&gt;&lt;atc:dismissButton atc:enable_time='115' atc:label="Acknowledge" atc:fontSize='10' atc:width='110' atc:height='30' atc:posX='-200' atc:posY='25'/&gt;&lt;/atc:reminderBox&gt;</v>
      </c>
      <c r="O11" t="str">
        <f t="shared" si="2"/>
        <v>&lt;!-- ============== PM Box Trial-10-Short-Short================ --&gt;&lt;atc:reminderBox atc:bgColor="LightBlue" atc:width='262' atc:height='70' atc:aircraft='SPM' atc:posX='-310' atc:posY='-30' atc:displayText=" Handoff SPM/nwith Up-arrow" atc:displayTextSize='20'&gt;&lt;atc:displayTime atc:startTime='113' atc:endTime='123'/&gt;&lt;atc:flashColor&gt;darkOrange&lt;/atc:flashColor&gt;&lt;atc:flashColor&gt;darkOrange&lt;/atc:flashColor&gt;&lt;atc:flashTime atc:startTime='0' atc:endTime='0'/&gt;&lt;atc:dismissButton atc:enable_time='115' atc:label="Acknowledge" atc:fontSize='10' atc:width='110' atc:height='30' atc:posX='-200' atc:posY='25'/&gt;&lt;/atc:reminderBox&gt;&lt;!-- ============== PM Box Trial-10-Long-Long================ --&gt;&lt;atc:reminderBox atc:bgColor="LightBlue" atc:width='262' atc:height='70' atc:aircraft='LPM' atc:posX='-310' atc:posY='-30' atc:displayText=" Handoff LPM/nwith Up-arrow" atc:displayTextSize='20'&gt;&lt;atc:displayTime atc:startTime='73' atc:endTime='83'/&gt;&lt;atc:flashColor&gt;darkOrange&lt;/atc:flashColor&gt;&lt;atc:flashColor&gt;darkOrange&lt;/atc:flashColor&gt;&lt;atc:flashTime atc:startTime='0' atc:endTime='0'/&gt;&lt;atc:dismissButton atc:enable_time='75' atc:label="Acknowledge" atc:fontSize='10' atc:width='110' atc:height='30' atc:posX='-200' atc:posY='25'/&gt;&lt;/atc:reminderBox&gt;</v>
      </c>
    </row>
    <row r="12" spans="1:15">
      <c r="A12" s="42">
        <v>11</v>
      </c>
      <c r="B12" s="42">
        <f t="shared" si="0"/>
        <v>144</v>
      </c>
      <c r="C12" s="42">
        <v>171</v>
      </c>
      <c r="D12" s="42" t="s">
        <v>2</v>
      </c>
      <c r="E12" s="42" t="s">
        <v>144</v>
      </c>
      <c r="F12" s="42" t="s">
        <v>147</v>
      </c>
      <c r="G12" s="42" t="s">
        <v>147</v>
      </c>
      <c r="H12" s="42" t="s">
        <v>235</v>
      </c>
      <c r="I12" s="42">
        <v>-131</v>
      </c>
      <c r="J12" s="42">
        <v>30</v>
      </c>
      <c r="K12" s="42">
        <v>-60</v>
      </c>
      <c r="L12" s="42">
        <v>60</v>
      </c>
      <c r="N12" t="str">
        <f t="shared" si="1"/>
        <v>&lt;!-- ============== PM Box Trial-11-Short-Short================ --&gt;&lt;atc:reminderBox atc:bgColor="LightBlue" atc:width='262' atc:height='70' atc:aircraft='SPM' atc:posX='-131' atc:posY='30' atc:displayText=" Handoff SPM/nwith Right-arrow" atc:displayTextSize='20'&gt;&lt;atc:displayTime atc:startTime='134' atc:endTime='144'/&gt;&lt;atc:flashColor&gt;darkOrange&lt;/atc:flashColor&gt;&lt;atc:flashColor&gt;darkOrange&lt;/atc:flashColor&gt;&lt;atc:flashTime atc:startTime='0' atc:endTime='0'/&gt;&lt;atc:dismissButton atc:enable_time='136' atc:label="Acknowledge" atc:fontSize='10' atc:width='110' atc:height='30' atc:posX='-60' atc:posY='60'/&gt;&lt;/atc:reminderBox&gt;</v>
      </c>
      <c r="O12" t="str">
        <f t="shared" si="2"/>
        <v>&lt;!-- ============== PM Box Trial-11-Short-Short================ --&gt;&lt;atc:reminderBox atc:bgColor="LightBlue" atc:width='262' atc:height='70' atc:aircraft='SPM' atc:posX='-131' atc:posY='30' atc:displayText=" Handoff SPM/nwith Right-arrow" atc:displayTextSize='20'&gt;&lt;atc:displayTime atc:startTime='134' atc:endTime='144'/&gt;&lt;atc:flashColor&gt;darkOrange&lt;/atc:flashColor&gt;&lt;atc:flashColor&gt;darkOrange&lt;/atc:flashColor&gt;&lt;atc:flashTime atc:startTime='0' atc:endTime='0'/&gt;&lt;atc:dismissButton atc:enable_time='136' atc:label="Acknowledge" atc:fontSize='10' atc:width='110' atc:height='30' atc:posX='-60' atc:posY='60'/&gt;&lt;/atc:reminderBox&gt;&lt;!-- ============== PM Box Trial-11-Long-Long================ --&gt;&lt;atc:reminderBox atc:bgColor="LightBlue" atc:width='262' atc:height='70' atc:aircraft='LPM' atc:posX='-131' atc:posY='30' atc:displayText=" Handoff LPM/nwith Right-arrow" atc:displayTextSize='20'&gt;&lt;atc:displayTime atc:startTime='94' atc:endTime='104'/&gt;&lt;atc:flashColor&gt;darkOrange&lt;/atc:flashColor&gt;&lt;atc:flashColor&gt;darkOrange&lt;/atc:flashColor&gt;&lt;atc:flashTime atc:startTime='0' atc:endTime='0'/&gt;&lt;atc:dismissButton atc:enable_time='96' atc:label="Acknowledge" atc:fontSize='10' atc:width='110' atc:height='30' atc:posX='-60' atc:posY='60'/&gt;&lt;/atc:reminderBox&gt;</v>
      </c>
    </row>
    <row r="13" spans="1:15">
      <c r="A13" s="42">
        <v>12</v>
      </c>
      <c r="B13" s="42">
        <f t="shared" si="0"/>
        <v>120</v>
      </c>
      <c r="C13" s="42">
        <v>147</v>
      </c>
      <c r="D13" s="42" t="s">
        <v>6</v>
      </c>
      <c r="E13" s="42" t="s">
        <v>146</v>
      </c>
      <c r="F13" s="42" t="s">
        <v>147</v>
      </c>
      <c r="G13" s="42" t="s">
        <v>147</v>
      </c>
      <c r="H13" s="42" t="s">
        <v>235</v>
      </c>
      <c r="I13" s="42">
        <v>-310</v>
      </c>
      <c r="J13" s="42">
        <v>-30</v>
      </c>
      <c r="K13" s="42">
        <v>-200</v>
      </c>
      <c r="L13" s="42">
        <v>25</v>
      </c>
      <c r="N13" t="str">
        <f t="shared" si="1"/>
        <v>&lt;!-- ============== PM Box Trial-12-Short-Short================ --&gt;&lt;atc:reminderBox atc:bgColor="LightBlue" atc:width='262' atc:height='70' atc:aircraft='SPM' atc:posX='-310' atc:posY='-30' atc:displayText=" Handoff SPM/nwith Down-arrow" atc:displayTextSize='20'&gt;&lt;atc:displayTime atc:startTime='110' atc:endTime='120'/&gt;&lt;atc:flashColor&gt;darkOrange&lt;/atc:flashColor&gt;&lt;atc:flashColor&gt;darkOrange&lt;/atc:flashColor&gt;&lt;atc:flashTime atc:startTime='0' atc:endTime='0'/&gt;&lt;atc:dismissButton atc:enable_time='112' atc:label="Acknowledge" atc:fontSize='10' atc:width='110' atc:height='30' atc:posX='-200' atc:posY='25'/&gt;&lt;/atc:reminderBox&gt;</v>
      </c>
      <c r="O13" t="str">
        <f t="shared" si="2"/>
        <v>&lt;!-- ============== PM Box Trial-12-Short-Short================ --&gt;&lt;atc:reminderBox atc:bgColor="LightBlue" atc:width='262' atc:height='70' atc:aircraft='SPM' atc:posX='-310' atc:posY='-30' atc:displayText=" Handoff SPM/nwith Down-arrow" atc:displayTextSize='20'&gt;&lt;atc:displayTime atc:startTime='110' atc:endTime='120'/&gt;&lt;atc:flashColor&gt;darkOrange&lt;/atc:flashColor&gt;&lt;atc:flashColor&gt;darkOrange&lt;/atc:flashColor&gt;&lt;atc:flashTime atc:startTime='0' atc:endTime='0'/&gt;&lt;atc:dismissButton atc:enable_time='112' atc:label="Acknowledge" atc:fontSize='10' atc:width='110' atc:height='30' atc:posX='-200' atc:posY='25'/&gt;&lt;/atc:reminderBox&gt;&lt;!-- ============== PM Box Trial-12-Long-Long================ --&gt;&lt;atc:reminderBox atc:bgColor="LightBlue" atc:width='262' atc:height='70' atc:aircraft='LPM' atc:posX='-310' atc:posY='-30' atc:displayText=" Handoff LPM/nwith Down-arrow" atc:displayTextSize='20'&gt;&lt;atc:displayTime atc:startTime='70' atc:endTime='80'/&gt;&lt;atc:flashColor&gt;darkOrange&lt;/atc:flashColor&gt;&lt;atc:flashColor&gt;darkOrange&lt;/atc:flashColor&gt;&lt;atc:flashTime atc:startTime='0' atc:endTime='0'/&gt;&lt;atc:dismissButton atc:enable_time='72' atc:label="Acknowledge" atc:fontSize='10' atc:width='110' atc:height='30' atc:posX='-200' atc:posY='25'/&gt;&lt;/atc:reminderBox&gt;</v>
      </c>
    </row>
    <row r="14" spans="1:15">
      <c r="A14" s="42">
        <v>13</v>
      </c>
      <c r="B14" s="42">
        <f t="shared" si="0"/>
        <v>106</v>
      </c>
      <c r="C14" s="42">
        <v>133</v>
      </c>
      <c r="D14" s="42" t="s">
        <v>1</v>
      </c>
      <c r="E14" s="42" t="s">
        <v>126</v>
      </c>
      <c r="F14" s="42" t="s">
        <v>147</v>
      </c>
      <c r="G14" s="42" t="s">
        <v>147</v>
      </c>
      <c r="H14" s="42" t="s">
        <v>235</v>
      </c>
      <c r="I14" s="42">
        <v>-250</v>
      </c>
      <c r="J14" s="42">
        <v>-115</v>
      </c>
      <c r="K14" s="42">
        <v>-150</v>
      </c>
      <c r="L14" s="42">
        <v>-23</v>
      </c>
      <c r="N14" t="str">
        <f t="shared" si="1"/>
        <v>&lt;!-- ============== PM Box Trial-13-Short-Short================ --&gt;&lt;atc:reminderBox atc:bgColor="LightBlue" atc:width='262' atc:height='70' atc:aircraft='SPM' atc:posX='-250' atc:posY='-115' atc:displayText=" Handoff SPM/nwith Left-arrow" atc:displayTextSize='20'&gt;&lt;atc:displayTime atc:startTime='96' atc:endTime='106'/&gt;&lt;atc:flashColor&gt;darkOrange&lt;/atc:flashColor&gt;&lt;atc:flashColor&gt;darkOrange&lt;/atc:flashColor&gt;&lt;atc:flashTime atc:startTime='0' atc:endTime='0'/&gt;&lt;atc:dismissButton atc:enable_time='98' atc:label="Acknowledge" atc:fontSize='10' atc:width='110' atc:height='30' atc:posX='-150' atc:posY='-23'/&gt;&lt;/atc:reminderBox&gt;</v>
      </c>
      <c r="O14" t="str">
        <f t="shared" si="2"/>
        <v>&lt;!-- ============== PM Box Trial-13-Short-Short================ --&gt;&lt;atc:reminderBox atc:bgColor="LightBlue" atc:width='262' atc:height='70' atc:aircraft='SPM' atc:posX='-250' atc:posY='-115' atc:displayText=" Handoff SPM/nwith Left-arrow" atc:displayTextSize='20'&gt;&lt;atc:displayTime atc:startTime='96' atc:endTime='106'/&gt;&lt;atc:flashColor&gt;darkOrange&lt;/atc:flashColor&gt;&lt;atc:flashColor&gt;darkOrange&lt;/atc:flashColor&gt;&lt;atc:flashTime atc:startTime='0' atc:endTime='0'/&gt;&lt;atc:dismissButton atc:enable_time='98' atc:label="Acknowledge" atc:fontSize='10' atc:width='110' atc:height='30' atc:posX='-150' atc:posY='-23'/&gt;&lt;/atc:reminderBox&gt;&lt;!-- ============== PM Box Trial-13-Long-Long================ --&gt;&lt;atc:reminderBox atc:bgColor="LightBlue" atc:width='262' atc:height='70' atc:aircraft='LPM' atc:posX='-250' atc:posY='-115' atc:displayText=" Handoff LPM/nwith Left-arrow" atc:displayTextSize='20'&gt;&lt;atc:displayTime atc:startTime='56' atc:endTime='66'/&gt;&lt;atc:flashColor&gt;darkOrange&lt;/atc:flashColor&gt;&lt;atc:flashColor&gt;darkOrange&lt;/atc:flashColor&gt;&lt;atc:flashTime atc:startTime='0' atc:endTime='0'/&gt;&lt;atc:dismissButton atc:enable_time='58' atc:label="Acknowledge" atc:fontSize='10' atc:width='110' atc:height='30' atc:posX='-150' atc:posY='-23'/&gt;&lt;/atc:reminderBox&gt;</v>
      </c>
    </row>
    <row r="15" spans="1:15">
      <c r="A15" s="42">
        <v>14</v>
      </c>
      <c r="B15" s="42">
        <f t="shared" si="0"/>
        <v>111</v>
      </c>
      <c r="C15" s="42">
        <v>138</v>
      </c>
      <c r="D15" s="42" t="s">
        <v>2</v>
      </c>
      <c r="E15" s="42" t="s">
        <v>144</v>
      </c>
      <c r="F15" s="42" t="s">
        <v>147</v>
      </c>
      <c r="G15" s="42" t="s">
        <v>147</v>
      </c>
      <c r="H15" s="42" t="s">
        <v>235</v>
      </c>
      <c r="I15" s="42">
        <v>-131</v>
      </c>
      <c r="J15" s="42">
        <v>30</v>
      </c>
      <c r="K15" s="42">
        <v>-60</v>
      </c>
      <c r="L15" s="42">
        <v>60</v>
      </c>
      <c r="N15" t="str">
        <f t="shared" si="1"/>
        <v>&lt;!-- ============== PM Box Trial-14-Short-Short================ --&gt;&lt;atc:reminderBox atc:bgColor="LightBlue" atc:width='262' atc:height='70' atc:aircraft='SPM' atc:posX='-131' atc:posY='30' atc:displayText=" Handoff SPM/nwith Right-arrow" atc:displayTextSize='20'&gt;&lt;atc:displayTime atc:startTime='101' atc:endTime='111'/&gt;&lt;atc:flashColor&gt;darkOrange&lt;/atc:flashColor&gt;&lt;atc:flashColor&gt;darkOrange&lt;/atc:flashColor&gt;&lt;atc:flashTime atc:startTime='0' atc:endTime='0'/&gt;&lt;atc:dismissButton atc:enable_time='103' atc:label="Acknowledge" atc:fontSize='10' atc:width='110' atc:height='30' atc:posX='-60' atc:posY='60'/&gt;&lt;/atc:reminderBox&gt;</v>
      </c>
      <c r="O15" t="str">
        <f t="shared" si="2"/>
        <v>&lt;!-- ============== PM Box Trial-14-Short-Short================ --&gt;&lt;atc:reminderBox atc:bgColor="LightBlue" atc:width='262' atc:height='70' atc:aircraft='SPM' atc:posX='-131' atc:posY='30' atc:displayText=" Handoff SPM/nwith Right-arrow" atc:displayTextSize='20'&gt;&lt;atc:displayTime atc:startTime='101' atc:endTime='111'/&gt;&lt;atc:flashColor&gt;darkOrange&lt;/atc:flashColor&gt;&lt;atc:flashColor&gt;darkOrange&lt;/atc:flashColor&gt;&lt;atc:flashTime atc:startTime='0' atc:endTime='0'/&gt;&lt;atc:dismissButton atc:enable_time='103' atc:label="Acknowledge" atc:fontSize='10' atc:width='110' atc:height='30' atc:posX='-60' atc:posY='60'/&gt;&lt;/atc:reminderBox&gt;&lt;!-- ============== PM Box Trial-14-Long-Long================ --&gt;&lt;atc:reminderBox atc:bgColor="LightBlue" atc:width='262' atc:height='70' atc:aircraft='LPM' atc:posX='-131' atc:posY='30' atc:displayText=" Handoff LPM/nwith Right-arrow" atc:displayTextSize='20'&gt;&lt;atc:displayTime atc:startTime='61' atc:endTime='71'/&gt;&lt;atc:flashColor&gt;darkOrange&lt;/atc:flashColor&gt;&lt;atc:flashColor&gt;darkOrange&lt;/atc:flashColor&gt;&lt;atc:flashTime atc:startTime='0' atc:endTime='0'/&gt;&lt;atc:dismissButton atc:enable_time='63' atc:label="Acknowledge" atc:fontSize='10' atc:width='110' atc:height='30' atc:posX='-60' atc:posY='60'/&gt;&lt;/atc:reminderBox&gt;</v>
      </c>
    </row>
    <row r="16" spans="1:15">
      <c r="A16" s="42">
        <v>15</v>
      </c>
      <c r="B16" s="42">
        <f t="shared" si="0"/>
        <v>144</v>
      </c>
      <c r="C16" s="42">
        <v>171</v>
      </c>
      <c r="D16" s="42" t="s">
        <v>5</v>
      </c>
      <c r="E16" s="42" t="s">
        <v>145</v>
      </c>
      <c r="F16" s="42" t="s">
        <v>147</v>
      </c>
      <c r="G16" s="42" t="s">
        <v>147</v>
      </c>
      <c r="H16" s="42" t="s">
        <v>235</v>
      </c>
      <c r="I16" s="42">
        <v>-310</v>
      </c>
      <c r="J16" s="42">
        <v>-30</v>
      </c>
      <c r="K16" s="42">
        <v>-200</v>
      </c>
      <c r="L16" s="42">
        <v>25</v>
      </c>
      <c r="N16" t="str">
        <f t="shared" si="1"/>
        <v>&lt;!-- ============== PM Box Trial-15-Short-Short================ --&gt;&lt;atc:reminderBox atc:bgColor="LightBlue" atc:width='262' atc:height='70' atc:aircraft='SPM' atc:posX='-310' atc:posY='-30' atc:displayText=" Handoff SPM/nwith Up-arrow" atc:displayTextSize='20'&gt;&lt;atc:displayTime atc:startTime='134' atc:endTime='144'/&gt;&lt;atc:flashColor&gt;darkOrange&lt;/atc:flashColor&gt;&lt;atc:flashColor&gt;darkOrange&lt;/atc:flashColor&gt;&lt;atc:flashTime atc:startTime='0' atc:endTime='0'/&gt;&lt;atc:dismissButton atc:enable_time='136' atc:label="Acknowledge" atc:fontSize='10' atc:width='110' atc:height='30' atc:posX='-200' atc:posY='25'/&gt;&lt;/atc:reminderBox&gt;</v>
      </c>
      <c r="O16" t="str">
        <f t="shared" si="2"/>
        <v>&lt;!-- ============== PM Box Trial-15-Short-Short================ --&gt;&lt;atc:reminderBox atc:bgColor="LightBlue" atc:width='262' atc:height='70' atc:aircraft='SPM' atc:posX='-310' atc:posY='-30' atc:displayText=" Handoff SPM/nwith Up-arrow" atc:displayTextSize='20'&gt;&lt;atc:displayTime atc:startTime='134' atc:endTime='144'/&gt;&lt;atc:flashColor&gt;darkOrange&lt;/atc:flashColor&gt;&lt;atc:flashColor&gt;darkOrange&lt;/atc:flashColor&gt;&lt;atc:flashTime atc:startTime='0' atc:endTime='0'/&gt;&lt;atc:dismissButton atc:enable_time='136' atc:label="Acknowledge" atc:fontSize='10' atc:width='110' atc:height='30' atc:posX='-200' atc:posY='25'/&gt;&lt;/atc:reminderBox&gt;&lt;!-- ============== PM Box Trial-15-Long-Long================ --&gt;&lt;atc:reminderBox atc:bgColor="LightBlue" atc:width='262' atc:height='70' atc:aircraft='LPM' atc:posX='-310' atc:posY='-30' atc:displayText=" Handoff LPM/nwith Up-arrow" atc:displayTextSize='20'&gt;&lt;atc:displayTime atc:startTime='94' atc:endTime='104'/&gt;&lt;atc:flashColor&gt;darkOrange&lt;/atc:flashColor&gt;&lt;atc:flashColor&gt;darkOrange&lt;/atc:flashColor&gt;&lt;atc:flashTime atc:startTime='0' atc:endTime='0'/&gt;&lt;atc:dismissButton atc:enable_time='96' atc:label="Acknowledge" atc:fontSize='10' atc:width='110' atc:height='30' atc:posX='-200' atc:posY='25'/&gt;&lt;/atc:reminderBox&gt;</v>
      </c>
    </row>
    <row r="17" spans="1:15">
      <c r="A17" s="42">
        <v>16</v>
      </c>
      <c r="B17" s="42">
        <v>138</v>
      </c>
      <c r="C17" s="42">
        <v>165</v>
      </c>
      <c r="D17" s="42" t="s">
        <v>5</v>
      </c>
      <c r="E17" s="42" t="s">
        <v>145</v>
      </c>
      <c r="F17" s="42" t="s">
        <v>147</v>
      </c>
      <c r="G17" s="42" t="s">
        <v>147</v>
      </c>
      <c r="H17" s="42" t="s">
        <v>235</v>
      </c>
      <c r="I17" s="42">
        <v>-310</v>
      </c>
      <c r="J17" s="42">
        <v>-30</v>
      </c>
      <c r="K17" s="42">
        <v>-200</v>
      </c>
      <c r="L17" s="42">
        <v>25</v>
      </c>
      <c r="N17" t="str">
        <f t="shared" si="1"/>
        <v>&lt;!-- ============== PM Box Trial-16-Short-Short================ --&gt;&lt;atc:reminderBox atc:bgColor="LightBlue" atc:width='262' atc:height='70' atc:aircraft='SPM' atc:posX='-310' atc:posY='-30' atc:displayText=" Handoff SPM/nwith Up-arrow" atc:displayTextSize='20'&gt;&lt;atc:displayTime atc:startTime='128' atc:endTime='138'/&gt;&lt;atc:flashColor&gt;darkOrange&lt;/atc:flashColor&gt;&lt;atc:flashColor&gt;darkOrange&lt;/atc:flashColor&gt;&lt;atc:flashTime atc:startTime='0' atc:endTime='0'/&gt;&lt;atc:dismissButton atc:enable_time='130' atc:label="Acknowledge" atc:fontSize='10' atc:width='110' atc:height='30' atc:posX='-200' atc:posY='25'/&gt;&lt;/atc:reminderBox&gt;</v>
      </c>
      <c r="O17" t="str">
        <f t="shared" si="2"/>
        <v>&lt;!-- ============== PM Box Trial-16-Short-Short================ --&gt;&lt;atc:reminderBox atc:bgColor="LightBlue" atc:width='262' atc:height='70' atc:aircraft='SPM' atc:posX='-310' atc:posY='-30' atc:displayText=" Handoff SPM/nwith Up-arrow" atc:displayTextSize='20'&gt;&lt;atc:displayTime atc:startTime='128' atc:endTime='138'/&gt;&lt;atc:flashColor&gt;darkOrange&lt;/atc:flashColor&gt;&lt;atc:flashColor&gt;darkOrange&lt;/atc:flashColor&gt;&lt;atc:flashTime atc:startTime='0' atc:endTime='0'/&gt;&lt;atc:dismissButton atc:enable_time='130' atc:label="Acknowledge" atc:fontSize='10' atc:width='110' atc:height='30' atc:posX='-200' atc:posY='25'/&gt;&lt;/atc:reminderBox&gt;&lt;!-- ============== PM Box Trial-16-Long-Long================ --&gt;&lt;atc:reminderBox atc:bgColor="LightBlue" atc:width='262' atc:height='70' atc:aircraft='LPM' atc:posX='-310' atc:posY='-30' atc:displayText=" Handoff LPM/nwith Up-arrow" atc:displayTextSize='20'&gt;&lt;atc:displayTime atc:startTime='88' atc:endTime='98'/&gt;&lt;atc:flashColor&gt;darkOrange&lt;/atc:flashColor&gt;&lt;atc:flashColor&gt;darkOrange&lt;/atc:flashColor&gt;&lt;atc:flashTime atc:startTime='0' atc:endTime='0'/&gt;&lt;atc:dismissButton atc:enable_time='90' atc:label="Acknowledge" atc:fontSize='10' atc:width='110' atc:height='30' atc:posX='-200' atc:posY='25'/&gt;&lt;/atc:reminderBox&gt;</v>
      </c>
    </row>
    <row r="18" spans="1:15">
      <c r="A18" s="34">
        <v>1</v>
      </c>
      <c r="B18" s="34">
        <v>120</v>
      </c>
      <c r="C18" s="34">
        <v>147</v>
      </c>
      <c r="D18" s="34" t="s">
        <v>4</v>
      </c>
      <c r="E18" s="34" t="s">
        <v>146</v>
      </c>
      <c r="F18" s="34" t="s">
        <v>147</v>
      </c>
      <c r="G18" s="34" t="s">
        <v>148</v>
      </c>
      <c r="H18" s="34" t="s">
        <v>238</v>
      </c>
      <c r="I18" s="34">
        <v>-310</v>
      </c>
      <c r="J18" s="34">
        <v>-30</v>
      </c>
      <c r="K18" s="34">
        <v>-200</v>
      </c>
      <c r="L18" s="34">
        <v>25</v>
      </c>
      <c r="N18" t="str">
        <f t="shared" si="1"/>
        <v>&lt;!-- ============== PM Box Trial-1-Short-Long================ --&gt;&lt;atc:reminderBox atc:bgColor="LightBlue" atc:width='262' atc:height='70' atc:aircraft='LPM' atc:posX='-310' atc:posY='-30' atc:displayText=" Handoff LPM/nwith Down-arrow" atc:displayTextSize='20'&gt;&lt;atc:displayTime atc:startTime='110' atc:endTime='120'/&gt;&lt;atc:flashColor&gt;darkOrange&lt;/atc:flashColor&gt;&lt;atc:flashColor&gt;darkOrange&lt;/atc:flashColor&gt;&lt;atc:flashTime atc:startTime='0' atc:endTime='0'/&gt;&lt;atc:dismissButton atc:enable_time='112' atc:label="Acknowledge" atc:fontSize='10' atc:width='110' atc:height='30' atc:posX='-200' atc:posY='25'/&gt;&lt;/atc:reminderBox&gt;</v>
      </c>
    </row>
    <row r="19" spans="1:15">
      <c r="A19" s="34">
        <v>2</v>
      </c>
      <c r="B19" s="34">
        <v>142</v>
      </c>
      <c r="C19" s="34">
        <v>169</v>
      </c>
      <c r="D19" s="34" t="s">
        <v>4</v>
      </c>
      <c r="E19" s="34" t="s">
        <v>146</v>
      </c>
      <c r="F19" s="34" t="s">
        <v>147</v>
      </c>
      <c r="G19" s="34" t="s">
        <v>148</v>
      </c>
      <c r="H19" s="34" t="s">
        <v>238</v>
      </c>
      <c r="I19" s="34">
        <v>-310</v>
      </c>
      <c r="J19" s="34">
        <v>-30</v>
      </c>
      <c r="K19" s="34">
        <v>-200</v>
      </c>
      <c r="L19" s="34">
        <v>25</v>
      </c>
      <c r="N19" t="str">
        <f t="shared" si="1"/>
        <v>&lt;!-- ============== PM Box Trial-2-Short-Long================ --&gt;&lt;atc:reminderBox atc:bgColor="LightBlue" atc:width='262' atc:height='70' atc:aircraft='LPM' atc:posX='-310' atc:posY='-30' atc:displayText=" Handoff LPM/nwith Down-arrow" atc:displayTextSize='20'&gt;&lt;atc:displayTime atc:startTime='132' atc:endTime='142'/&gt;&lt;atc:flashColor&gt;darkOrange&lt;/atc:flashColor&gt;&lt;atc:flashColor&gt;darkOrange&lt;/atc:flashColor&gt;&lt;atc:flashTime atc:startTime='0' atc:endTime='0'/&gt;&lt;atc:dismissButton atc:enable_time='134' atc:label="Acknowledge" atc:fontSize='10' atc:width='110' atc:height='30' atc:posX='-200' atc:posY='25'/&gt;&lt;/atc:reminderBox&gt;</v>
      </c>
    </row>
    <row r="20" spans="1:15">
      <c r="A20" s="34">
        <v>3</v>
      </c>
      <c r="B20" s="34">
        <v>95</v>
      </c>
      <c r="C20" s="34">
        <v>122</v>
      </c>
      <c r="D20" s="34" t="s">
        <v>4</v>
      </c>
      <c r="E20" s="34" t="s">
        <v>146</v>
      </c>
      <c r="F20" s="34" t="s">
        <v>147</v>
      </c>
      <c r="G20" s="34" t="s">
        <v>148</v>
      </c>
      <c r="H20" s="34" t="s">
        <v>238</v>
      </c>
      <c r="I20" s="34">
        <v>-310</v>
      </c>
      <c r="J20" s="34">
        <v>-30</v>
      </c>
      <c r="K20" s="34">
        <v>-200</v>
      </c>
      <c r="L20" s="34">
        <v>25</v>
      </c>
      <c r="N20" t="str">
        <f t="shared" si="1"/>
        <v>&lt;!-- ============== PM Box Trial-3-Short-Long================ --&gt;&lt;atc:reminderBox atc:bgColor="LightBlue" atc:width='262' atc:height='70' atc:aircraft='LPM' atc:posX='-310' atc:posY='-30' atc:displayText=" Handoff LPM/nwith Down-arrow" atc:displayTextSize='20'&gt;&lt;atc:displayTime atc:startTime='85' atc:endTime='95'/&gt;&lt;atc:flashColor&gt;darkOrange&lt;/atc:flashColor&gt;&lt;atc:flashColor&gt;darkOrange&lt;/atc:flashColor&gt;&lt;atc:flashTime atc:startTime='0' atc:endTime='0'/&gt;&lt;atc:dismissButton atc:enable_time='87' atc:label="Acknowledge" atc:fontSize='10' atc:width='110' atc:height='30' atc:posX='-200' atc:posY='25'/&gt;&lt;/atc:reminderBox&gt;</v>
      </c>
    </row>
    <row r="21" spans="1:15">
      <c r="A21" s="34">
        <v>4</v>
      </c>
      <c r="B21" s="34">
        <v>96</v>
      </c>
      <c r="C21" s="34">
        <v>123</v>
      </c>
      <c r="D21" s="34" t="s">
        <v>2</v>
      </c>
      <c r="E21" s="34" t="s">
        <v>144</v>
      </c>
      <c r="F21" s="34" t="s">
        <v>147</v>
      </c>
      <c r="G21" s="34" t="s">
        <v>148</v>
      </c>
      <c r="H21" s="34" t="s">
        <v>238</v>
      </c>
      <c r="I21" s="34">
        <v>-131</v>
      </c>
      <c r="J21" s="34">
        <v>30</v>
      </c>
      <c r="K21" s="34">
        <v>-60</v>
      </c>
      <c r="L21" s="34">
        <v>60</v>
      </c>
      <c r="N21" t="str">
        <f t="shared" si="1"/>
        <v>&lt;!-- ============== PM Box Trial-4-Short-Long================ --&gt;&lt;atc:reminderBox atc:bgColor="LightBlue" atc:width='262' atc:height='70' atc:aircraft='LPM' atc:posX='-131' atc:posY='30' atc:displayText=" Handoff LPM/nwith Right-arrow" atc:displayTextSize='20'&gt;&lt;atc:displayTime atc:startTime='86' atc:endTime='96'/&gt;&lt;atc:flashColor&gt;darkOrange&lt;/atc:flashColor&gt;&lt;atc:flashColor&gt;darkOrange&lt;/atc:flashColor&gt;&lt;atc:flashTime atc:startTime='0' atc:endTime='0'/&gt;&lt;atc:dismissButton atc:enable_time='88' atc:label="Acknowledge" atc:fontSize='10' atc:width='110' atc:height='30' atc:posX='-60' atc:posY='60'/&gt;&lt;/atc:reminderBox&gt;</v>
      </c>
    </row>
    <row r="22" spans="1:15">
      <c r="A22" s="34">
        <v>5</v>
      </c>
      <c r="B22" s="34">
        <v>148</v>
      </c>
      <c r="C22" s="34">
        <v>175</v>
      </c>
      <c r="D22" s="34" t="s">
        <v>1</v>
      </c>
      <c r="E22" s="34" t="s">
        <v>126</v>
      </c>
      <c r="F22" s="34" t="s">
        <v>147</v>
      </c>
      <c r="G22" s="34" t="s">
        <v>148</v>
      </c>
      <c r="H22" s="34" t="s">
        <v>238</v>
      </c>
      <c r="I22" s="34">
        <v>-250</v>
      </c>
      <c r="J22" s="34">
        <v>-115</v>
      </c>
      <c r="K22" s="34">
        <v>-150</v>
      </c>
      <c r="L22" s="34">
        <v>-23</v>
      </c>
      <c r="N22" t="str">
        <f t="shared" si="1"/>
        <v>&lt;!-- ============== PM Box Trial-5-Short-Long================ --&gt;&lt;atc:reminderBox atc:bgColor="LightBlue" atc:width='262' atc:height='70' atc:aircraft='LPM' atc:posX='-250' atc:posY='-115' atc:displayText=" Handoff LPM/nwith Left-arrow" atc:displayTextSize='20'&gt;&lt;atc:displayTime atc:startTime='138' atc:endTime='148'/&gt;&lt;atc:flashColor&gt;darkOrange&lt;/atc:flashColor&gt;&lt;atc:flashColor&gt;darkOrange&lt;/atc:flashColor&gt;&lt;atc:flashTime atc:startTime='0' atc:endTime='0'/&gt;&lt;atc:dismissButton atc:enable_time='140' atc:label="Acknowledge" atc:fontSize='10' atc:width='110' atc:height='30' atc:posX='-150' atc:posY='-23'/&gt;&lt;/atc:reminderBox&gt;</v>
      </c>
    </row>
    <row r="23" spans="1:15">
      <c r="A23" s="34">
        <v>6</v>
      </c>
      <c r="B23" s="34">
        <v>96</v>
      </c>
      <c r="C23" s="34">
        <v>123</v>
      </c>
      <c r="D23" s="34" t="s">
        <v>3</v>
      </c>
      <c r="E23" s="34" t="s">
        <v>145</v>
      </c>
      <c r="F23" s="34" t="s">
        <v>147</v>
      </c>
      <c r="G23" s="34" t="s">
        <v>148</v>
      </c>
      <c r="H23" s="34" t="s">
        <v>238</v>
      </c>
      <c r="I23" s="34">
        <v>-310</v>
      </c>
      <c r="J23" s="34">
        <v>-30</v>
      </c>
      <c r="K23" s="34">
        <v>-200</v>
      </c>
      <c r="L23" s="34">
        <v>25</v>
      </c>
      <c r="N23" t="str">
        <f t="shared" si="1"/>
        <v>&lt;!-- ============== PM Box Trial-6-Short-Long================ --&gt;&lt;atc:reminderBox atc:bgColor="LightBlue" atc:width='262' atc:height='70' atc:aircraft='LPM' atc:posX='-310' atc:posY='-30' atc:displayText=" Handoff LPM/nwith Up-arrow" atc:displayTextSize='20'&gt;&lt;atc:displayTime atc:startTime='86' atc:endTime='96'/&gt;&lt;atc:flashColor&gt;darkOrange&lt;/atc:flashColor&gt;&lt;atc:flashColor&gt;darkOrange&lt;/atc:flashColor&gt;&lt;atc:flashTime atc:startTime='0' atc:endTime='0'/&gt;&lt;atc:dismissButton atc:enable_time='88' atc:label="Acknowledge" atc:fontSize='10' atc:width='110' atc:height='30' atc:posX='-200' atc:posY='25'/&gt;&lt;/atc:reminderBox&gt;</v>
      </c>
    </row>
    <row r="24" spans="1:15">
      <c r="A24" s="34">
        <v>7</v>
      </c>
      <c r="B24" s="34">
        <v>123</v>
      </c>
      <c r="C24" s="34">
        <v>150</v>
      </c>
      <c r="D24" s="34" t="s">
        <v>6</v>
      </c>
      <c r="E24" s="34" t="s">
        <v>146</v>
      </c>
      <c r="F24" s="34" t="s">
        <v>147</v>
      </c>
      <c r="G24" s="34" t="s">
        <v>148</v>
      </c>
      <c r="H24" s="34" t="s">
        <v>238</v>
      </c>
      <c r="I24" s="34">
        <v>-310</v>
      </c>
      <c r="J24" s="34">
        <v>-30</v>
      </c>
      <c r="K24" s="34">
        <v>-200</v>
      </c>
      <c r="L24" s="34">
        <v>25</v>
      </c>
      <c r="N24" t="str">
        <f t="shared" si="1"/>
        <v>&lt;!-- ============== PM Box Trial-7-Short-Long================ --&gt;&lt;atc:reminderBox atc:bgColor="LightBlue" atc:width='262' atc:height='70' atc:aircraft='LPM' atc:posX='-310' atc:posY='-30' atc:displayText=" Handoff LPM/nwith Down-arrow" atc:displayTextSize='20'&gt;&lt;atc:displayTime atc:startTime='113' atc:endTime='123'/&gt;&lt;atc:flashColor&gt;darkOrange&lt;/atc:flashColor&gt;&lt;atc:flashColor&gt;darkOrange&lt;/atc:flashColor&gt;&lt;atc:flashTime atc:startTime='0' atc:endTime='0'/&gt;&lt;atc:dismissButton atc:enable_time='115' atc:label="Acknowledge" atc:fontSize='10' atc:width='110' atc:height='30' atc:posX='-200' atc:posY='25'/&gt;&lt;/atc:reminderBox&gt;</v>
      </c>
    </row>
    <row r="25" spans="1:15">
      <c r="A25" s="34">
        <v>8</v>
      </c>
      <c r="B25" s="34">
        <v>91</v>
      </c>
      <c r="C25" s="34">
        <v>118</v>
      </c>
      <c r="D25" s="34" t="s">
        <v>3</v>
      </c>
      <c r="E25" s="34" t="s">
        <v>145</v>
      </c>
      <c r="F25" s="34" t="s">
        <v>147</v>
      </c>
      <c r="G25" s="34" t="s">
        <v>148</v>
      </c>
      <c r="H25" s="34" t="s">
        <v>238</v>
      </c>
      <c r="I25" s="34">
        <v>-310</v>
      </c>
      <c r="J25" s="34">
        <v>-30</v>
      </c>
      <c r="K25" s="34">
        <v>-200</v>
      </c>
      <c r="L25" s="34">
        <v>25</v>
      </c>
      <c r="N25" t="str">
        <f t="shared" si="1"/>
        <v>&lt;!-- ============== PM Box Trial-8-Short-Long================ --&gt;&lt;atc:reminderBox atc:bgColor="LightBlue" atc:width='262' atc:height='70' atc:aircraft='LPM' atc:posX='-310' atc:posY='-30' atc:displayText=" Handoff LPM/nwith Up-arrow" atc:displayTextSize='20'&gt;&lt;atc:displayTime atc:startTime='81' atc:endTime='91'/&gt;&lt;atc:flashColor&gt;darkOrange&lt;/atc:flashColor&gt;&lt;atc:flashColor&gt;darkOrange&lt;/atc:flashColor&gt;&lt;atc:flashTime atc:startTime='0' atc:endTime='0'/&gt;&lt;atc:dismissButton atc:enable_time='83' atc:label="Acknowledge" atc:fontSize='10' atc:width='110' atc:height='30' atc:posX='-200' atc:posY='25'/&gt;&lt;/atc:reminderBox&gt;</v>
      </c>
    </row>
    <row r="26" spans="1:15">
      <c r="A26" s="34">
        <v>9</v>
      </c>
      <c r="B26" s="34">
        <v>133</v>
      </c>
      <c r="C26" s="34">
        <v>160</v>
      </c>
      <c r="D26" s="34" t="s">
        <v>1</v>
      </c>
      <c r="E26" s="34" t="s">
        <v>126</v>
      </c>
      <c r="F26" s="34" t="s">
        <v>147</v>
      </c>
      <c r="G26" s="34" t="s">
        <v>148</v>
      </c>
      <c r="H26" s="34" t="s">
        <v>238</v>
      </c>
      <c r="I26" s="34">
        <v>-250</v>
      </c>
      <c r="J26" s="34">
        <v>-115</v>
      </c>
      <c r="K26" s="34">
        <v>-150</v>
      </c>
      <c r="L26" s="34">
        <v>-23</v>
      </c>
      <c r="N26" t="str">
        <f t="shared" si="1"/>
        <v>&lt;!-- ============== PM Box Trial-9-Short-Long================ --&gt;&lt;atc:reminderBox atc:bgColor="LightBlue" atc:width='262' atc:height='70' atc:aircraft='LPM' atc:posX='-250' atc:posY='-115' atc:displayText=" Handoff LPM/nwith Left-arrow" atc:displayTextSize='20'&gt;&lt;atc:displayTime atc:startTime='123' atc:endTime='133'/&gt;&lt;atc:flashColor&gt;darkOrange&lt;/atc:flashColor&gt;&lt;atc:flashColor&gt;darkOrange&lt;/atc:flashColor&gt;&lt;atc:flashTime atc:startTime='0' atc:endTime='0'/&gt;&lt;atc:dismissButton atc:enable_time='125' atc:label="Acknowledge" atc:fontSize='10' atc:width='110' atc:height='30' atc:posX='-150' atc:posY='-23'/&gt;&lt;/atc:reminderBox&gt;</v>
      </c>
    </row>
    <row r="27" spans="1:15">
      <c r="A27" s="34">
        <v>10</v>
      </c>
      <c r="B27" s="34">
        <v>123</v>
      </c>
      <c r="C27" s="34">
        <v>150</v>
      </c>
      <c r="D27" s="34" t="s">
        <v>5</v>
      </c>
      <c r="E27" s="34" t="s">
        <v>145</v>
      </c>
      <c r="F27" s="34" t="s">
        <v>147</v>
      </c>
      <c r="G27" s="34" t="s">
        <v>148</v>
      </c>
      <c r="H27" s="34" t="s">
        <v>238</v>
      </c>
      <c r="I27" s="34">
        <v>-310</v>
      </c>
      <c r="J27" s="34">
        <v>-30</v>
      </c>
      <c r="K27" s="34">
        <v>-200</v>
      </c>
      <c r="L27" s="34">
        <v>25</v>
      </c>
      <c r="N27" t="str">
        <f t="shared" si="1"/>
        <v>&lt;!-- ============== PM Box Trial-10-Short-Long================ --&gt;&lt;atc:reminderBox atc:bgColor="LightBlue" atc:width='262' atc:height='70' atc:aircraft='LPM' atc:posX='-310' atc:posY='-30' atc:displayText=" Handoff LPM/nwith Up-arrow" atc:displayTextSize='20'&gt;&lt;atc:displayTime atc:startTime='113' atc:endTime='123'/&gt;&lt;atc:flashColor&gt;darkOrange&lt;/atc:flashColor&gt;&lt;atc:flashColor&gt;darkOrange&lt;/atc:flashColor&gt;&lt;atc:flashTime atc:startTime='0' atc:endTime='0'/&gt;&lt;atc:dismissButton atc:enable_time='115' atc:label="Acknowledge" atc:fontSize='10' atc:width='110' atc:height='30' atc:posX='-200' atc:posY='25'/&gt;&lt;/atc:reminderBox&gt;</v>
      </c>
    </row>
    <row r="28" spans="1:15">
      <c r="A28" s="34">
        <v>11</v>
      </c>
      <c r="B28" s="34">
        <v>144</v>
      </c>
      <c r="C28" s="34">
        <v>171</v>
      </c>
      <c r="D28" s="34" t="s">
        <v>2</v>
      </c>
      <c r="E28" s="34" t="s">
        <v>144</v>
      </c>
      <c r="F28" s="34" t="s">
        <v>147</v>
      </c>
      <c r="G28" s="34" t="s">
        <v>148</v>
      </c>
      <c r="H28" s="34" t="s">
        <v>238</v>
      </c>
      <c r="I28" s="34">
        <v>-131</v>
      </c>
      <c r="J28" s="34">
        <v>30</v>
      </c>
      <c r="K28" s="34">
        <v>-60</v>
      </c>
      <c r="L28" s="34">
        <v>60</v>
      </c>
      <c r="N28" t="str">
        <f t="shared" si="1"/>
        <v>&lt;!-- ============== PM Box Trial-11-Short-Long================ --&gt;&lt;atc:reminderBox atc:bgColor="LightBlue" atc:width='262' atc:height='70' atc:aircraft='LPM' atc:posX='-131' atc:posY='30' atc:displayText=" Handoff LPM/nwith Right-arrow" atc:displayTextSize='20'&gt;&lt;atc:displayTime atc:startTime='134' atc:endTime='144'/&gt;&lt;atc:flashColor&gt;darkOrange&lt;/atc:flashColor&gt;&lt;atc:flashColor&gt;darkOrange&lt;/atc:flashColor&gt;&lt;atc:flashTime atc:startTime='0' atc:endTime='0'/&gt;&lt;atc:dismissButton atc:enable_time='136' atc:label="Acknowledge" atc:fontSize='10' atc:width='110' atc:height='30' atc:posX='-60' atc:posY='60'/&gt;&lt;/atc:reminderBox&gt;</v>
      </c>
    </row>
    <row r="29" spans="1:15">
      <c r="A29" s="34">
        <v>12</v>
      </c>
      <c r="B29" s="34">
        <v>120</v>
      </c>
      <c r="C29" s="34">
        <v>147</v>
      </c>
      <c r="D29" s="34" t="s">
        <v>6</v>
      </c>
      <c r="E29" s="34" t="s">
        <v>146</v>
      </c>
      <c r="F29" s="34" t="s">
        <v>147</v>
      </c>
      <c r="G29" s="34" t="s">
        <v>148</v>
      </c>
      <c r="H29" s="34" t="s">
        <v>238</v>
      </c>
      <c r="I29" s="34">
        <v>-310</v>
      </c>
      <c r="J29" s="34">
        <v>-30</v>
      </c>
      <c r="K29" s="34">
        <v>-200</v>
      </c>
      <c r="L29" s="34">
        <v>25</v>
      </c>
      <c r="N29" t="str">
        <f t="shared" si="1"/>
        <v>&lt;!-- ============== PM Box Trial-12-Short-Long================ --&gt;&lt;atc:reminderBox atc:bgColor="LightBlue" atc:width='262' atc:height='70' atc:aircraft='LPM' atc:posX='-310' atc:posY='-30' atc:displayText=" Handoff LPM/nwith Down-arrow" atc:displayTextSize='20'&gt;&lt;atc:displayTime atc:startTime='110' atc:endTime='120'/&gt;&lt;atc:flashColor&gt;darkOrange&lt;/atc:flashColor&gt;&lt;atc:flashColor&gt;darkOrange&lt;/atc:flashColor&gt;&lt;atc:flashTime atc:startTime='0' atc:endTime='0'/&gt;&lt;atc:dismissButton atc:enable_time='112' atc:label="Acknowledge" atc:fontSize='10' atc:width='110' atc:height='30' atc:posX='-200' atc:posY='25'/&gt;&lt;/atc:reminderBox&gt;</v>
      </c>
    </row>
    <row r="30" spans="1:15">
      <c r="A30" s="34">
        <v>13</v>
      </c>
      <c r="B30" s="34">
        <v>106</v>
      </c>
      <c r="C30" s="34">
        <v>133</v>
      </c>
      <c r="D30" s="34" t="s">
        <v>1</v>
      </c>
      <c r="E30" s="34" t="s">
        <v>126</v>
      </c>
      <c r="F30" s="34" t="s">
        <v>147</v>
      </c>
      <c r="G30" s="34" t="s">
        <v>148</v>
      </c>
      <c r="H30" s="34" t="s">
        <v>238</v>
      </c>
      <c r="I30" s="34">
        <v>-250</v>
      </c>
      <c r="J30" s="34">
        <v>-115</v>
      </c>
      <c r="K30" s="34">
        <v>-150</v>
      </c>
      <c r="L30" s="34">
        <v>-23</v>
      </c>
      <c r="N30" t="str">
        <f t="shared" si="1"/>
        <v>&lt;!-- ============== PM Box Trial-13-Short-Long================ --&gt;&lt;atc:reminderBox atc:bgColor="LightBlue" atc:width='262' atc:height='70' atc:aircraft='LPM' atc:posX='-250' atc:posY='-115' atc:displayText=" Handoff LPM/nwith Left-arrow" atc:displayTextSize='20'&gt;&lt;atc:displayTime atc:startTime='96' atc:endTime='106'/&gt;&lt;atc:flashColor&gt;darkOrange&lt;/atc:flashColor&gt;&lt;atc:flashColor&gt;darkOrange&lt;/atc:flashColor&gt;&lt;atc:flashTime atc:startTime='0' atc:endTime='0'/&gt;&lt;atc:dismissButton atc:enable_time='98' atc:label="Acknowledge" atc:fontSize='10' atc:width='110' atc:height='30' atc:posX='-150' atc:posY='-23'/&gt;&lt;/atc:reminderBox&gt;</v>
      </c>
    </row>
    <row r="31" spans="1:15">
      <c r="A31" s="34">
        <v>14</v>
      </c>
      <c r="B31" s="34">
        <v>111</v>
      </c>
      <c r="C31" s="34">
        <v>138</v>
      </c>
      <c r="D31" s="34" t="s">
        <v>2</v>
      </c>
      <c r="E31" s="34" t="s">
        <v>144</v>
      </c>
      <c r="F31" s="34" t="s">
        <v>147</v>
      </c>
      <c r="G31" s="34" t="s">
        <v>148</v>
      </c>
      <c r="H31" s="34" t="s">
        <v>238</v>
      </c>
      <c r="I31" s="34">
        <v>-131</v>
      </c>
      <c r="J31" s="34">
        <v>30</v>
      </c>
      <c r="K31" s="34">
        <v>-60</v>
      </c>
      <c r="L31" s="34">
        <v>60</v>
      </c>
      <c r="N31" t="str">
        <f t="shared" si="1"/>
        <v>&lt;!-- ============== PM Box Trial-14-Short-Long================ --&gt;&lt;atc:reminderBox atc:bgColor="LightBlue" atc:width='262' atc:height='70' atc:aircraft='LPM' atc:posX='-131' atc:posY='30' atc:displayText=" Handoff LPM/nwith Right-arrow" atc:displayTextSize='20'&gt;&lt;atc:displayTime atc:startTime='101' atc:endTime='111'/&gt;&lt;atc:flashColor&gt;darkOrange&lt;/atc:flashColor&gt;&lt;atc:flashColor&gt;darkOrange&lt;/atc:flashColor&gt;&lt;atc:flashTime atc:startTime='0' atc:endTime='0'/&gt;&lt;atc:dismissButton atc:enable_time='103' atc:label="Acknowledge" atc:fontSize='10' atc:width='110' atc:height='30' atc:posX='-60' atc:posY='60'/&gt;&lt;/atc:reminderBox&gt;</v>
      </c>
    </row>
    <row r="32" spans="1:15">
      <c r="A32" s="34">
        <v>15</v>
      </c>
      <c r="B32" s="34">
        <v>144</v>
      </c>
      <c r="C32" s="34">
        <v>171</v>
      </c>
      <c r="D32" s="34" t="s">
        <v>5</v>
      </c>
      <c r="E32" s="34" t="s">
        <v>145</v>
      </c>
      <c r="F32" s="34" t="s">
        <v>147</v>
      </c>
      <c r="G32" s="34" t="s">
        <v>148</v>
      </c>
      <c r="H32" s="34" t="s">
        <v>238</v>
      </c>
      <c r="I32" s="34">
        <v>-310</v>
      </c>
      <c r="J32" s="34">
        <v>-30</v>
      </c>
      <c r="K32" s="34">
        <v>-200</v>
      </c>
      <c r="L32" s="34">
        <v>25</v>
      </c>
      <c r="N32" t="str">
        <f t="shared" si="1"/>
        <v>&lt;!-- ============== PM Box Trial-15-Short-Long================ --&gt;&lt;atc:reminderBox atc:bgColor="LightBlue" atc:width='262' atc:height='70' atc:aircraft='LPM' atc:posX='-310' atc:posY='-30' atc:displayText=" Handoff LPM/nwith Up-arrow" atc:displayTextSize='20'&gt;&lt;atc:displayTime atc:startTime='134' atc:endTime='144'/&gt;&lt;atc:flashColor&gt;darkOrange&lt;/atc:flashColor&gt;&lt;atc:flashColor&gt;darkOrange&lt;/atc:flashColor&gt;&lt;atc:flashTime atc:startTime='0' atc:endTime='0'/&gt;&lt;atc:dismissButton atc:enable_time='136' atc:label="Acknowledge" atc:fontSize='10' atc:width='110' atc:height='30' atc:posX='-200' atc:posY='25'/&gt;&lt;/atc:reminderBox&gt;</v>
      </c>
    </row>
    <row r="33" spans="1:14">
      <c r="A33" s="34">
        <v>16</v>
      </c>
      <c r="B33" s="34">
        <v>138</v>
      </c>
      <c r="C33" s="34">
        <v>165</v>
      </c>
      <c r="D33" s="34" t="s">
        <v>5</v>
      </c>
      <c r="E33" s="34" t="s">
        <v>145</v>
      </c>
      <c r="F33" s="34" t="s">
        <v>147</v>
      </c>
      <c r="G33" s="34" t="s">
        <v>148</v>
      </c>
      <c r="H33" s="34" t="s">
        <v>238</v>
      </c>
      <c r="I33" s="34">
        <v>-310</v>
      </c>
      <c r="J33" s="34">
        <v>-30</v>
      </c>
      <c r="K33" s="34">
        <v>-200</v>
      </c>
      <c r="L33" s="34">
        <v>25</v>
      </c>
      <c r="N33" t="str">
        <f t="shared" si="1"/>
        <v>&lt;!-- ============== PM Box Trial-16-Short-Long================ --&gt;&lt;atc:reminderBox atc:bgColor="LightBlue" atc:width='262' atc:height='70' atc:aircraft='LPM' atc:posX='-310' atc:posY='-30' atc:displayText=" Handoff LPM/nwith Up-arrow" atc:displayTextSize='20'&gt;&lt;atc:displayTime atc:startTime='128' atc:endTime='138'/&gt;&lt;atc:flashColor&gt;darkOrange&lt;/atc:flashColor&gt;&lt;atc:flashColor&gt;darkOrange&lt;/atc:flashColor&gt;&lt;atc:flashTime atc:startTime='0' atc:endTime='0'/&gt;&lt;atc:dismissButton atc:enable_time='130' atc:label="Acknowledge" atc:fontSize='10' atc:width='110' atc:height='30' atc:posX='-200' atc:posY='25'/&gt;&lt;/atc:reminderBox&gt;</v>
      </c>
    </row>
    <row r="34" spans="1:14">
      <c r="A34" s="17">
        <v>1</v>
      </c>
      <c r="B34" s="17">
        <v>120</v>
      </c>
      <c r="C34" s="17">
        <v>147</v>
      </c>
      <c r="D34" s="17" t="s">
        <v>4</v>
      </c>
      <c r="E34" s="17" t="s">
        <v>146</v>
      </c>
      <c r="F34" s="17" t="s">
        <v>148</v>
      </c>
      <c r="G34" s="17" t="s">
        <v>147</v>
      </c>
      <c r="H34" s="17" t="s">
        <v>235</v>
      </c>
      <c r="I34" s="17">
        <v>-310</v>
      </c>
      <c r="J34" s="17">
        <v>-30</v>
      </c>
      <c r="K34" s="17">
        <v>-200</v>
      </c>
      <c r="L34" s="17">
        <v>25</v>
      </c>
      <c r="N34" t="str">
        <f t="shared" si="1"/>
        <v>&lt;!-- ============== PM Box Trial-1-Long-Short================ --&gt;&lt;atc:reminderBox atc:bgColor="LightBlue" atc:width='262' atc:height='70' atc:aircraft='SPM' atc:posX='-310' atc:posY='-30' atc:displayText=" Handoff SPM/nwith Down-arrow" atc:displayTextSize='20'&gt;&lt;atc:displayTime atc:startTime='70' atc:endTime='80'/&gt;&lt;atc:flashColor&gt;darkOrange&lt;/atc:flashColor&gt;&lt;atc:flashColor&gt;darkOrange&lt;/atc:flashColor&gt;&lt;atc:flashTime atc:startTime='0' atc:endTime='0'/&gt;&lt;atc:dismissButton atc:enable_time='72' atc:label="Acknowledge" atc:fontSize='10' atc:width='110' atc:height='30' atc:posX='-200' atc:posY='25'/&gt;&lt;/atc:reminderBox&gt;</v>
      </c>
    </row>
    <row r="35" spans="1:14">
      <c r="A35" s="17">
        <v>2</v>
      </c>
      <c r="B35" s="17">
        <v>142</v>
      </c>
      <c r="C35" s="17">
        <v>169</v>
      </c>
      <c r="D35" s="17" t="s">
        <v>4</v>
      </c>
      <c r="E35" s="17" t="s">
        <v>146</v>
      </c>
      <c r="F35" s="17" t="s">
        <v>148</v>
      </c>
      <c r="G35" s="17" t="s">
        <v>147</v>
      </c>
      <c r="H35" s="17" t="s">
        <v>235</v>
      </c>
      <c r="I35" s="17">
        <v>-310</v>
      </c>
      <c r="J35" s="17">
        <v>-30</v>
      </c>
      <c r="K35" s="17">
        <v>-200</v>
      </c>
      <c r="L35" s="17">
        <v>25</v>
      </c>
      <c r="N35" t="str">
        <f t="shared" si="1"/>
        <v>&lt;!-- ============== PM Box Trial-2-Long-Short================ --&gt;&lt;atc:reminderBox atc:bgColor="LightBlue" atc:width='262' atc:height='70' atc:aircraft='SPM' atc:posX='-310' atc:posY='-30' atc:displayText=" Handoff SPM/nwith Down-arrow" atc:displayTextSize='20'&gt;&lt;atc:displayTime atc:startTime='92' atc:endTime='102'/&gt;&lt;atc:flashColor&gt;darkOrange&lt;/atc:flashColor&gt;&lt;atc:flashColor&gt;darkOrange&lt;/atc:flashColor&gt;&lt;atc:flashTime atc:startTime='0' atc:endTime='0'/&gt;&lt;atc:dismissButton atc:enable_time='94' atc:label="Acknowledge" atc:fontSize='10' atc:width='110' atc:height='30' atc:posX='-200' atc:posY='25'/&gt;&lt;/atc:reminderBox&gt;</v>
      </c>
    </row>
    <row r="36" spans="1:14">
      <c r="A36" s="17">
        <v>3</v>
      </c>
      <c r="B36" s="17">
        <v>95</v>
      </c>
      <c r="C36" s="17">
        <v>122</v>
      </c>
      <c r="D36" s="17" t="s">
        <v>4</v>
      </c>
      <c r="E36" s="17" t="s">
        <v>146</v>
      </c>
      <c r="F36" s="17" t="s">
        <v>148</v>
      </c>
      <c r="G36" s="17" t="s">
        <v>147</v>
      </c>
      <c r="H36" s="17" t="s">
        <v>235</v>
      </c>
      <c r="I36" s="17">
        <v>-310</v>
      </c>
      <c r="J36" s="17">
        <v>-30</v>
      </c>
      <c r="K36" s="17">
        <v>-200</v>
      </c>
      <c r="L36" s="17">
        <v>25</v>
      </c>
      <c r="N36" t="str">
        <f t="shared" si="1"/>
        <v>&lt;!-- ============== PM Box Trial-3-Long-Short================ --&gt;&lt;atc:reminderBox atc:bgColor="LightBlue" atc:width='262' atc:height='70' atc:aircraft='SPM' atc:posX='-310' atc:posY='-30' atc:displayText=" Handoff SPM/nwith Down-arrow" atc:displayTextSize='20'&gt;&lt;atc:displayTime atc:startTime='45' atc:endTime='55'/&gt;&lt;atc:flashColor&gt;darkOrange&lt;/atc:flashColor&gt;&lt;atc:flashColor&gt;darkOrange&lt;/atc:flashColor&gt;&lt;atc:flashTime atc:startTime='0' atc:endTime='0'/&gt;&lt;atc:dismissButton atc:enable_time='47' atc:label="Acknowledge" atc:fontSize='10' atc:width='110' atc:height='30' atc:posX='-200' atc:posY='25'/&gt;&lt;/atc:reminderBox&gt;</v>
      </c>
    </row>
    <row r="37" spans="1:14">
      <c r="A37" s="17">
        <v>4</v>
      </c>
      <c r="B37" s="17">
        <v>96</v>
      </c>
      <c r="C37" s="17">
        <v>123</v>
      </c>
      <c r="D37" s="17" t="s">
        <v>2</v>
      </c>
      <c r="E37" s="17" t="s">
        <v>144</v>
      </c>
      <c r="F37" s="17" t="s">
        <v>148</v>
      </c>
      <c r="G37" s="17" t="s">
        <v>147</v>
      </c>
      <c r="H37" s="17" t="s">
        <v>235</v>
      </c>
      <c r="I37" s="17">
        <v>-131</v>
      </c>
      <c r="J37" s="17">
        <v>30</v>
      </c>
      <c r="K37" s="17">
        <v>-60</v>
      </c>
      <c r="L37" s="17">
        <v>60</v>
      </c>
      <c r="N37" t="str">
        <f t="shared" si="1"/>
        <v>&lt;!-- ============== PM Box Trial-4-Long-Short================ --&gt;&lt;atc:reminderBox atc:bgColor="LightBlue" atc:width='262' atc:height='70' atc:aircraft='SPM' atc:posX='-131' atc:posY='30' atc:displayText=" Handoff SPM/nwith Right-arrow" atc:displayTextSize='20'&gt;&lt;atc:displayTime atc:startTime='46' atc:endTime='56'/&gt;&lt;atc:flashColor&gt;darkOrange&lt;/atc:flashColor&gt;&lt;atc:flashColor&gt;darkOrange&lt;/atc:flashColor&gt;&lt;atc:flashTime atc:startTime='0' atc:endTime='0'/&gt;&lt;atc:dismissButton atc:enable_time='48' atc:label="Acknowledge" atc:fontSize='10' atc:width='110' atc:height='30' atc:posX='-60' atc:posY='60'/&gt;&lt;/atc:reminderBox&gt;</v>
      </c>
    </row>
    <row r="38" spans="1:14">
      <c r="A38" s="17">
        <v>5</v>
      </c>
      <c r="B38" s="17">
        <v>148</v>
      </c>
      <c r="C38" s="17">
        <v>175</v>
      </c>
      <c r="D38" s="17" t="s">
        <v>1</v>
      </c>
      <c r="E38" s="17" t="s">
        <v>126</v>
      </c>
      <c r="F38" s="17" t="s">
        <v>148</v>
      </c>
      <c r="G38" s="17" t="s">
        <v>147</v>
      </c>
      <c r="H38" s="17" t="s">
        <v>235</v>
      </c>
      <c r="I38" s="17">
        <v>-250</v>
      </c>
      <c r="J38" s="17">
        <v>-115</v>
      </c>
      <c r="K38" s="17">
        <v>-150</v>
      </c>
      <c r="L38" s="17">
        <v>-23</v>
      </c>
      <c r="N38" t="str">
        <f t="shared" si="1"/>
        <v>&lt;!-- ============== PM Box Trial-5-Long-Short================ --&gt;&lt;atc:reminderBox atc:bgColor="LightBlue" atc:width='262' atc:height='70' atc:aircraft='SPM' atc:posX='-250' atc:posY='-115' atc:displayText=" Handoff SPM/nwith Left-arrow" atc:displayTextSize='20'&gt;&lt;atc:displayTime atc:startTime='98' atc:endTime='108'/&gt;&lt;atc:flashColor&gt;darkOrange&lt;/atc:flashColor&gt;&lt;atc:flashColor&gt;darkOrange&lt;/atc:flashColor&gt;&lt;atc:flashTime atc:startTime='0' atc:endTime='0'/&gt;&lt;atc:dismissButton atc:enable_time='100' atc:label="Acknowledge" atc:fontSize='10' atc:width='110' atc:height='30' atc:posX='-150' atc:posY='-23'/&gt;&lt;/atc:reminderBox&gt;</v>
      </c>
    </row>
    <row r="39" spans="1:14">
      <c r="A39" s="17">
        <v>6</v>
      </c>
      <c r="B39" s="17">
        <v>96</v>
      </c>
      <c r="C39" s="17">
        <v>123</v>
      </c>
      <c r="D39" s="17" t="s">
        <v>3</v>
      </c>
      <c r="E39" s="17" t="s">
        <v>145</v>
      </c>
      <c r="F39" s="17" t="s">
        <v>148</v>
      </c>
      <c r="G39" s="17" t="s">
        <v>147</v>
      </c>
      <c r="H39" s="17" t="s">
        <v>235</v>
      </c>
      <c r="I39" s="17">
        <v>-310</v>
      </c>
      <c r="J39" s="17">
        <v>-30</v>
      </c>
      <c r="K39" s="17">
        <v>-200</v>
      </c>
      <c r="L39" s="17">
        <v>25</v>
      </c>
      <c r="N39" t="str">
        <f t="shared" si="1"/>
        <v>&lt;!-- ============== PM Box Trial-6-Long-Short================ --&gt;&lt;atc:reminderBox atc:bgColor="LightBlue" atc:width='262' atc:height='70' atc:aircraft='SPM' atc:posX='-310' atc:posY='-30' atc:displayText=" Handoff SPM/nwith Up-arrow" atc:displayTextSize='20'&gt;&lt;atc:displayTime atc:startTime='46' atc:endTime='56'/&gt;&lt;atc:flashColor&gt;darkOrange&lt;/atc:flashColor&gt;&lt;atc:flashColor&gt;darkOrange&lt;/atc:flashColor&gt;&lt;atc:flashTime atc:startTime='0' atc:endTime='0'/&gt;&lt;atc:dismissButton atc:enable_time='48' atc:label="Acknowledge" atc:fontSize='10' atc:width='110' atc:height='30' atc:posX='-200' atc:posY='25'/&gt;&lt;/atc:reminderBox&gt;</v>
      </c>
    </row>
    <row r="40" spans="1:14">
      <c r="A40" s="17">
        <v>7</v>
      </c>
      <c r="B40" s="17">
        <v>123</v>
      </c>
      <c r="C40" s="17">
        <v>150</v>
      </c>
      <c r="D40" s="17" t="s">
        <v>6</v>
      </c>
      <c r="E40" s="17" t="s">
        <v>146</v>
      </c>
      <c r="F40" s="17" t="s">
        <v>148</v>
      </c>
      <c r="G40" s="17" t="s">
        <v>147</v>
      </c>
      <c r="H40" s="17" t="s">
        <v>235</v>
      </c>
      <c r="I40" s="17">
        <v>-310</v>
      </c>
      <c r="J40" s="17">
        <v>-30</v>
      </c>
      <c r="K40" s="17">
        <v>-200</v>
      </c>
      <c r="L40" s="17">
        <v>25</v>
      </c>
      <c r="N40" t="str">
        <f t="shared" si="1"/>
        <v>&lt;!-- ============== PM Box Trial-7-Long-Short================ --&gt;&lt;atc:reminderBox atc:bgColor="LightBlue" atc:width='262' atc:height='70' atc:aircraft='SPM' atc:posX='-310' atc:posY='-30' atc:displayText=" Handoff SPM/nwith Down-arrow" atc:displayTextSize='20'&gt;&lt;atc:displayTime atc:startTime='73' atc:endTime='83'/&gt;&lt;atc:flashColor&gt;darkOrange&lt;/atc:flashColor&gt;&lt;atc:flashColor&gt;darkOrange&lt;/atc:flashColor&gt;&lt;atc:flashTime atc:startTime='0' atc:endTime='0'/&gt;&lt;atc:dismissButton atc:enable_time='75' atc:label="Acknowledge" atc:fontSize='10' atc:width='110' atc:height='30' atc:posX='-200' atc:posY='25'/&gt;&lt;/atc:reminderBox&gt;</v>
      </c>
    </row>
    <row r="41" spans="1:14">
      <c r="A41" s="17">
        <v>8</v>
      </c>
      <c r="B41" s="17">
        <v>91</v>
      </c>
      <c r="C41" s="17">
        <v>118</v>
      </c>
      <c r="D41" s="17" t="s">
        <v>3</v>
      </c>
      <c r="E41" s="17" t="s">
        <v>145</v>
      </c>
      <c r="F41" s="17" t="s">
        <v>148</v>
      </c>
      <c r="G41" s="17" t="s">
        <v>147</v>
      </c>
      <c r="H41" s="17" t="s">
        <v>235</v>
      </c>
      <c r="I41" s="17">
        <v>-310</v>
      </c>
      <c r="J41" s="17">
        <v>-30</v>
      </c>
      <c r="K41" s="17">
        <v>-200</v>
      </c>
      <c r="L41" s="17">
        <v>25</v>
      </c>
      <c r="N41" t="str">
        <f t="shared" si="1"/>
        <v>&lt;!-- ============== PM Box Trial-8-Long-Short================ --&gt;&lt;atc:reminderBox atc:bgColor="LightBlue" atc:width='262' atc:height='70' atc:aircraft='SPM' atc:posX='-310' atc:posY='-30' atc:displayText=" Handoff SPM/nwith Up-arrow" atc:displayTextSize='20'&gt;&lt;atc:displayTime atc:startTime='41' atc:endTime='51'/&gt;&lt;atc:flashColor&gt;darkOrange&lt;/atc:flashColor&gt;&lt;atc:flashColor&gt;darkOrange&lt;/atc:flashColor&gt;&lt;atc:flashTime atc:startTime='0' atc:endTime='0'/&gt;&lt;atc:dismissButton atc:enable_time='43' atc:label="Acknowledge" atc:fontSize='10' atc:width='110' atc:height='30' atc:posX='-200' atc:posY='25'/&gt;&lt;/atc:reminderBox&gt;</v>
      </c>
    </row>
    <row r="42" spans="1:14">
      <c r="A42" s="17">
        <v>9</v>
      </c>
      <c r="B42" s="17">
        <v>133</v>
      </c>
      <c r="C42" s="17">
        <v>160</v>
      </c>
      <c r="D42" s="17" t="s">
        <v>1</v>
      </c>
      <c r="E42" s="17" t="s">
        <v>126</v>
      </c>
      <c r="F42" s="17" t="s">
        <v>148</v>
      </c>
      <c r="G42" s="17" t="s">
        <v>147</v>
      </c>
      <c r="H42" s="17" t="s">
        <v>235</v>
      </c>
      <c r="I42" s="17">
        <v>-250</v>
      </c>
      <c r="J42" s="17">
        <v>-115</v>
      </c>
      <c r="K42" s="17">
        <v>-150</v>
      </c>
      <c r="L42" s="17">
        <v>-23</v>
      </c>
      <c r="N42" t="str">
        <f t="shared" si="1"/>
        <v>&lt;!-- ============== PM Box Trial-9-Long-Short================ --&gt;&lt;atc:reminderBox atc:bgColor="LightBlue" atc:width='262' atc:height='70' atc:aircraft='SPM' atc:posX='-250' atc:posY='-115' atc:displayText=" Handoff SPM/nwith Left-arrow" atc:displayTextSize='20'&gt;&lt;atc:displayTime atc:startTime='83' atc:endTime='93'/&gt;&lt;atc:flashColor&gt;darkOrange&lt;/atc:flashColor&gt;&lt;atc:flashColor&gt;darkOrange&lt;/atc:flashColor&gt;&lt;atc:flashTime atc:startTime='0' atc:endTime='0'/&gt;&lt;atc:dismissButton atc:enable_time='85' atc:label="Acknowledge" atc:fontSize='10' atc:width='110' atc:height='30' atc:posX='-150' atc:posY='-23'/&gt;&lt;/atc:reminderBox&gt;</v>
      </c>
    </row>
    <row r="43" spans="1:14">
      <c r="A43" s="17">
        <v>10</v>
      </c>
      <c r="B43" s="17">
        <v>123</v>
      </c>
      <c r="C43" s="17">
        <v>150</v>
      </c>
      <c r="D43" s="17" t="s">
        <v>5</v>
      </c>
      <c r="E43" s="17" t="s">
        <v>145</v>
      </c>
      <c r="F43" s="17" t="s">
        <v>148</v>
      </c>
      <c r="G43" s="17" t="s">
        <v>147</v>
      </c>
      <c r="H43" s="17" t="s">
        <v>235</v>
      </c>
      <c r="I43" s="17">
        <v>-310</v>
      </c>
      <c r="J43" s="17">
        <v>-30</v>
      </c>
      <c r="K43" s="17">
        <v>-200</v>
      </c>
      <c r="L43" s="17">
        <v>25</v>
      </c>
      <c r="N43" t="str">
        <f t="shared" si="1"/>
        <v>&lt;!-- ============== PM Box Trial-10-Long-Short================ --&gt;&lt;atc:reminderBox atc:bgColor="LightBlue" atc:width='262' atc:height='70' atc:aircraft='SPM' atc:posX='-310' atc:posY='-30' atc:displayText=" Handoff SPM/nwith Up-arrow" atc:displayTextSize='20'&gt;&lt;atc:displayTime atc:startTime='73' atc:endTime='83'/&gt;&lt;atc:flashColor&gt;darkOrange&lt;/atc:flashColor&gt;&lt;atc:flashColor&gt;darkOrange&lt;/atc:flashColor&gt;&lt;atc:flashTime atc:startTime='0' atc:endTime='0'/&gt;&lt;atc:dismissButton atc:enable_time='75' atc:label="Acknowledge" atc:fontSize='10' atc:width='110' atc:height='30' atc:posX='-200' atc:posY='25'/&gt;&lt;/atc:reminderBox&gt;</v>
      </c>
    </row>
    <row r="44" spans="1:14">
      <c r="A44" s="17">
        <v>11</v>
      </c>
      <c r="B44" s="17">
        <v>144</v>
      </c>
      <c r="C44" s="17">
        <v>171</v>
      </c>
      <c r="D44" s="17" t="s">
        <v>2</v>
      </c>
      <c r="E44" s="17" t="s">
        <v>144</v>
      </c>
      <c r="F44" s="17" t="s">
        <v>148</v>
      </c>
      <c r="G44" s="17" t="s">
        <v>147</v>
      </c>
      <c r="H44" s="17" t="s">
        <v>235</v>
      </c>
      <c r="I44" s="17">
        <v>-131</v>
      </c>
      <c r="J44" s="17">
        <v>30</v>
      </c>
      <c r="K44" s="17">
        <v>-60</v>
      </c>
      <c r="L44" s="17">
        <v>60</v>
      </c>
      <c r="N44" t="str">
        <f t="shared" si="1"/>
        <v>&lt;!-- ============== PM Box Trial-11-Long-Short================ --&gt;&lt;atc:reminderBox atc:bgColor="LightBlue" atc:width='262' atc:height='70' atc:aircraft='SPM' atc:posX='-131' atc:posY='30' atc:displayText=" Handoff SPM/nwith Right-arrow" atc:displayTextSize='20'&gt;&lt;atc:displayTime atc:startTime='94' atc:endTime='104'/&gt;&lt;atc:flashColor&gt;darkOrange&lt;/atc:flashColor&gt;&lt;atc:flashColor&gt;darkOrange&lt;/atc:flashColor&gt;&lt;atc:flashTime atc:startTime='0' atc:endTime='0'/&gt;&lt;atc:dismissButton atc:enable_time='96' atc:label="Acknowledge" atc:fontSize='10' atc:width='110' atc:height='30' atc:posX='-60' atc:posY='60'/&gt;&lt;/atc:reminderBox&gt;</v>
      </c>
    </row>
    <row r="45" spans="1:14">
      <c r="A45" s="17">
        <v>12</v>
      </c>
      <c r="B45" s="17">
        <v>120</v>
      </c>
      <c r="C45" s="17">
        <v>147</v>
      </c>
      <c r="D45" s="17" t="s">
        <v>6</v>
      </c>
      <c r="E45" s="17" t="s">
        <v>146</v>
      </c>
      <c r="F45" s="17" t="s">
        <v>148</v>
      </c>
      <c r="G45" s="17" t="s">
        <v>147</v>
      </c>
      <c r="H45" s="17" t="s">
        <v>235</v>
      </c>
      <c r="I45" s="17">
        <v>-310</v>
      </c>
      <c r="J45" s="17">
        <v>-30</v>
      </c>
      <c r="K45" s="17">
        <v>-200</v>
      </c>
      <c r="L45" s="17">
        <v>25</v>
      </c>
      <c r="N45" t="str">
        <f t="shared" si="1"/>
        <v>&lt;!-- ============== PM Box Trial-12-Long-Short================ --&gt;&lt;atc:reminderBox atc:bgColor="LightBlue" atc:width='262' atc:height='70' atc:aircraft='SPM' atc:posX='-310' atc:posY='-30' atc:displayText=" Handoff SPM/nwith Down-arrow" atc:displayTextSize='20'&gt;&lt;atc:displayTime atc:startTime='70' atc:endTime='80'/&gt;&lt;atc:flashColor&gt;darkOrange&lt;/atc:flashColor&gt;&lt;atc:flashColor&gt;darkOrange&lt;/atc:flashColor&gt;&lt;atc:flashTime atc:startTime='0' atc:endTime='0'/&gt;&lt;atc:dismissButton atc:enable_time='72' atc:label="Acknowledge" atc:fontSize='10' atc:width='110' atc:height='30' atc:posX='-200' atc:posY='25'/&gt;&lt;/atc:reminderBox&gt;</v>
      </c>
    </row>
    <row r="46" spans="1:14">
      <c r="A46" s="17">
        <v>13</v>
      </c>
      <c r="B46" s="17">
        <v>106</v>
      </c>
      <c r="C46" s="17">
        <v>133</v>
      </c>
      <c r="D46" s="17" t="s">
        <v>1</v>
      </c>
      <c r="E46" s="17" t="s">
        <v>126</v>
      </c>
      <c r="F46" s="17" t="s">
        <v>148</v>
      </c>
      <c r="G46" s="17" t="s">
        <v>147</v>
      </c>
      <c r="H46" s="17" t="s">
        <v>235</v>
      </c>
      <c r="I46" s="17">
        <v>-250</v>
      </c>
      <c r="J46" s="17">
        <v>-115</v>
      </c>
      <c r="K46" s="17">
        <v>-150</v>
      </c>
      <c r="L46" s="17">
        <v>-23</v>
      </c>
      <c r="N46" t="str">
        <f t="shared" si="1"/>
        <v>&lt;!-- ============== PM Box Trial-13-Long-Short================ --&gt;&lt;atc:reminderBox atc:bgColor="LightBlue" atc:width='262' atc:height='70' atc:aircraft='SPM' atc:posX='-250' atc:posY='-115' atc:displayText=" Handoff SPM/nwith Left-arrow" atc:displayTextSize='20'&gt;&lt;atc:displayTime atc:startTime='56' atc:endTime='66'/&gt;&lt;atc:flashColor&gt;darkOrange&lt;/atc:flashColor&gt;&lt;atc:flashColor&gt;darkOrange&lt;/atc:flashColor&gt;&lt;atc:flashTime atc:startTime='0' atc:endTime='0'/&gt;&lt;atc:dismissButton atc:enable_time='58' atc:label="Acknowledge" atc:fontSize='10' atc:width='110' atc:height='30' atc:posX='-150' atc:posY='-23'/&gt;&lt;/atc:reminderBox&gt;</v>
      </c>
    </row>
    <row r="47" spans="1:14">
      <c r="A47" s="17">
        <v>14</v>
      </c>
      <c r="B47" s="17">
        <v>111</v>
      </c>
      <c r="C47" s="17">
        <v>138</v>
      </c>
      <c r="D47" s="17" t="s">
        <v>2</v>
      </c>
      <c r="E47" s="17" t="s">
        <v>144</v>
      </c>
      <c r="F47" s="17" t="s">
        <v>148</v>
      </c>
      <c r="G47" s="17" t="s">
        <v>147</v>
      </c>
      <c r="H47" s="17" t="s">
        <v>235</v>
      </c>
      <c r="I47" s="17">
        <v>-131</v>
      </c>
      <c r="J47" s="17">
        <v>30</v>
      </c>
      <c r="K47" s="17">
        <v>-60</v>
      </c>
      <c r="L47" s="17">
        <v>60</v>
      </c>
      <c r="N47" t="str">
        <f t="shared" si="1"/>
        <v>&lt;!-- ============== PM Box Trial-14-Long-Short================ --&gt;&lt;atc:reminderBox atc:bgColor="LightBlue" atc:width='262' atc:height='70' atc:aircraft='SPM' atc:posX='-131' atc:posY='30' atc:displayText=" Handoff SPM/nwith Right-arrow" atc:displayTextSize='20'&gt;&lt;atc:displayTime atc:startTime='61' atc:endTime='71'/&gt;&lt;atc:flashColor&gt;darkOrange&lt;/atc:flashColor&gt;&lt;atc:flashColor&gt;darkOrange&lt;/atc:flashColor&gt;&lt;atc:flashTime atc:startTime='0' atc:endTime='0'/&gt;&lt;atc:dismissButton atc:enable_time='63' atc:label="Acknowledge" atc:fontSize='10' atc:width='110' atc:height='30' atc:posX='-60' atc:posY='60'/&gt;&lt;/atc:reminderBox&gt;</v>
      </c>
    </row>
    <row r="48" spans="1:14">
      <c r="A48" s="17">
        <v>15</v>
      </c>
      <c r="B48" s="17">
        <v>144</v>
      </c>
      <c r="C48" s="17">
        <v>171</v>
      </c>
      <c r="D48" s="17" t="s">
        <v>5</v>
      </c>
      <c r="E48" s="17" t="s">
        <v>145</v>
      </c>
      <c r="F48" s="17" t="s">
        <v>148</v>
      </c>
      <c r="G48" s="17" t="s">
        <v>147</v>
      </c>
      <c r="H48" s="17" t="s">
        <v>235</v>
      </c>
      <c r="I48" s="17">
        <v>-310</v>
      </c>
      <c r="J48" s="17">
        <v>-30</v>
      </c>
      <c r="K48" s="17">
        <v>-200</v>
      </c>
      <c r="L48" s="17">
        <v>25</v>
      </c>
      <c r="N48" t="str">
        <f t="shared" si="1"/>
        <v>&lt;!-- ============== PM Box Trial-15-Long-Short================ --&gt;&lt;atc:reminderBox atc:bgColor="LightBlue" atc:width='262' atc:height='70' atc:aircraft='SPM' atc:posX='-310' atc:posY='-30' atc:displayText=" Handoff SPM/nwith Up-arrow" atc:displayTextSize='20'&gt;&lt;atc:displayTime atc:startTime='94' atc:endTime='104'/&gt;&lt;atc:flashColor&gt;darkOrange&lt;/atc:flashColor&gt;&lt;atc:flashColor&gt;darkOrange&lt;/atc:flashColor&gt;&lt;atc:flashTime atc:startTime='0' atc:endTime='0'/&gt;&lt;atc:dismissButton atc:enable_time='96' atc:label="Acknowledge" atc:fontSize='10' atc:width='110' atc:height='30' atc:posX='-200' atc:posY='25'/&gt;&lt;/atc:reminderBox&gt;</v>
      </c>
    </row>
    <row r="49" spans="1:14">
      <c r="A49" s="17">
        <v>16</v>
      </c>
      <c r="B49" s="17">
        <v>138</v>
      </c>
      <c r="C49" s="17">
        <v>165</v>
      </c>
      <c r="D49" s="17" t="s">
        <v>5</v>
      </c>
      <c r="E49" s="17" t="s">
        <v>145</v>
      </c>
      <c r="F49" s="17" t="s">
        <v>148</v>
      </c>
      <c r="G49" s="17" t="s">
        <v>147</v>
      </c>
      <c r="H49" s="17" t="s">
        <v>235</v>
      </c>
      <c r="I49" s="17">
        <v>-310</v>
      </c>
      <c r="J49" s="17">
        <v>-30</v>
      </c>
      <c r="K49" s="17">
        <v>-200</v>
      </c>
      <c r="L49" s="17">
        <v>25</v>
      </c>
      <c r="N49" t="str">
        <f>"&lt;!-- ============== PM Box"&amp;" Trial-"&amp;A49&amp;"-"&amp;F49&amp;"-"&amp;G49&amp;"================ --&gt;"&amp;
"&lt;atc:reminderBox atc:bgColor="&amp;CHAR(34)&amp;"LightBlue"&amp;CHAR(34)&amp;" atc:width='262' atc:height='70' "&amp;
"atc:aircraft='"&amp;H49&amp;"' atc:posX='"&amp;I49&amp;"' atc:posY='"&amp;J49&amp;"' atc:displayText="&amp;CHAR(34)&amp;" Handoff "&amp;H49&amp;"/nwith "&amp;E49&amp;"-arrow"&amp;CHAR(34)&amp;" atc:displayTextSize='20'&gt;"&amp;
"&lt;atc:displayTime"&amp;
" atc:startTime='"&amp;IF(F49="Short",B49-10,B49-50)&amp;
"' atc:endTime='"&amp;IF(F49="Short",B49,B49-40)&amp;"'/&gt;"&amp;
"&lt;atc:flashColor&gt;darkOrange&lt;/atc:flashColor&gt;"&amp;
"&lt;atc:flashColor&gt;darkOrange&lt;/atc:flashColor&gt;"&amp;
"&lt;atc:flashTime atc:startTime='0' atc:endTime='0'/&gt;"&amp;
"&lt;atc:dismissButton atc:enable_time='"&amp;IF(F49="Short",B49-8,B49-48)&amp;
"' atc:label="&amp;CHAR(34)&amp;"Acknowledge"&amp;CHAR(34)&amp;" atc:fontSize='10' atc:width='110' atc:height='30' atc:posX='"&amp;K49&amp;"' atc:posY='"&amp;L49&amp;"'/&gt;"&amp;
"&lt;/atc:reminderBox&gt;"</f>
        <v>&lt;!-- ============== PM Box Trial-16-Long-Short================ --&gt;&lt;atc:reminderBox atc:bgColor="LightBlue" atc:width='262' atc:height='70' atc:aircraft='SPM' atc:posX='-310' atc:posY='-30' atc:displayText=" Handoff SPM/nwith Up-arrow" atc:displayTextSize='20'&gt;&lt;atc:displayTime atc:startTime='88' atc:endTime='98'/&gt;&lt;atc:flashColor&gt;darkOrange&lt;/atc:flashColor&gt;&lt;atc:flashColor&gt;darkOrange&lt;/atc:flashColor&gt;&lt;atc:flashTime atc:startTime='0' atc:endTime='0'/&gt;&lt;atc:dismissButton atc:enable_time='90' atc:label="Acknowledge" atc:fontSize='10' atc:width='110' atc:height='30' atc:posX='-200' atc:posY='25'/&gt;&lt;/atc:reminderBox&gt;</v>
      </c>
    </row>
    <row r="50" spans="1:14">
      <c r="A50" s="8">
        <v>1</v>
      </c>
      <c r="B50" s="8">
        <v>120</v>
      </c>
      <c r="C50" s="8">
        <v>147</v>
      </c>
      <c r="D50" s="8" t="s">
        <v>4</v>
      </c>
      <c r="E50" s="8" t="s">
        <v>146</v>
      </c>
      <c r="F50" s="8" t="s">
        <v>148</v>
      </c>
      <c r="G50" s="8" t="s">
        <v>148</v>
      </c>
      <c r="H50" s="8" t="s">
        <v>238</v>
      </c>
      <c r="I50" s="8">
        <v>-310</v>
      </c>
      <c r="J50" s="8">
        <v>-30</v>
      </c>
      <c r="K50" s="8">
        <v>-200</v>
      </c>
      <c r="L50" s="8">
        <v>25</v>
      </c>
      <c r="N50" t="str">
        <f t="shared" si="1"/>
        <v>&lt;!-- ============== PM Box Trial-1-Long-Long================ --&gt;&lt;atc:reminderBox atc:bgColor="LightBlue" atc:width='262' atc:height='70' atc:aircraft='LPM' atc:posX='-310' atc:posY='-30' atc:displayText=" Handoff LPM/nwith Down-arrow" atc:displayTextSize='20'&gt;&lt;atc:displayTime atc:startTime='70' atc:endTime='80'/&gt;&lt;atc:flashColor&gt;darkOrange&lt;/atc:flashColor&gt;&lt;atc:flashColor&gt;darkOrange&lt;/atc:flashColor&gt;&lt;atc:flashTime atc:startTime='0' atc:endTime='0'/&gt;&lt;atc:dismissButton atc:enable_time='72' atc:label="Acknowledge" atc:fontSize='10' atc:width='110' atc:height='30' atc:posX='-200' atc:posY='25'/&gt;&lt;/atc:reminderBox&gt;</v>
      </c>
    </row>
    <row r="51" spans="1:14">
      <c r="A51" s="8">
        <v>2</v>
      </c>
      <c r="B51" s="8">
        <v>142</v>
      </c>
      <c r="C51" s="8">
        <v>169</v>
      </c>
      <c r="D51" s="8" t="s">
        <v>4</v>
      </c>
      <c r="E51" s="8" t="s">
        <v>146</v>
      </c>
      <c r="F51" s="8" t="s">
        <v>148</v>
      </c>
      <c r="G51" s="8" t="s">
        <v>148</v>
      </c>
      <c r="H51" s="8" t="s">
        <v>238</v>
      </c>
      <c r="I51" s="8">
        <v>-310</v>
      </c>
      <c r="J51" s="8">
        <v>-30</v>
      </c>
      <c r="K51" s="8">
        <v>-200</v>
      </c>
      <c r="L51" s="8">
        <v>25</v>
      </c>
      <c r="N51" t="str">
        <f t="shared" si="1"/>
        <v>&lt;!-- ============== PM Box Trial-2-Long-Long================ --&gt;&lt;atc:reminderBox atc:bgColor="LightBlue" atc:width='262' atc:height='70' atc:aircraft='LPM' atc:posX='-310' atc:posY='-30' atc:displayText=" Handoff LPM/nwith Down-arrow" atc:displayTextSize='20'&gt;&lt;atc:displayTime atc:startTime='92' atc:endTime='102'/&gt;&lt;atc:flashColor&gt;darkOrange&lt;/atc:flashColor&gt;&lt;atc:flashColor&gt;darkOrange&lt;/atc:flashColor&gt;&lt;atc:flashTime atc:startTime='0' atc:endTime='0'/&gt;&lt;atc:dismissButton atc:enable_time='94' atc:label="Acknowledge" atc:fontSize='10' atc:width='110' atc:height='30' atc:posX='-200' atc:posY='25'/&gt;&lt;/atc:reminderBox&gt;</v>
      </c>
    </row>
    <row r="52" spans="1:14">
      <c r="A52" s="8">
        <v>3</v>
      </c>
      <c r="B52" s="8">
        <v>95</v>
      </c>
      <c r="C52" s="8">
        <v>122</v>
      </c>
      <c r="D52" s="8" t="s">
        <v>4</v>
      </c>
      <c r="E52" s="8" t="s">
        <v>146</v>
      </c>
      <c r="F52" s="8" t="s">
        <v>148</v>
      </c>
      <c r="G52" s="8" t="s">
        <v>148</v>
      </c>
      <c r="H52" s="8" t="s">
        <v>238</v>
      </c>
      <c r="I52" s="8">
        <v>-310</v>
      </c>
      <c r="J52" s="8">
        <v>-30</v>
      </c>
      <c r="K52" s="8">
        <v>-200</v>
      </c>
      <c r="L52" s="8">
        <v>25</v>
      </c>
      <c r="N52" t="str">
        <f t="shared" si="1"/>
        <v>&lt;!-- ============== PM Box Trial-3-Long-Long================ --&gt;&lt;atc:reminderBox atc:bgColor="LightBlue" atc:width='262' atc:height='70' atc:aircraft='LPM' atc:posX='-310' atc:posY='-30' atc:displayText=" Handoff LPM/nwith Down-arrow" atc:displayTextSize='20'&gt;&lt;atc:displayTime atc:startTime='45' atc:endTime='55'/&gt;&lt;atc:flashColor&gt;darkOrange&lt;/atc:flashColor&gt;&lt;atc:flashColor&gt;darkOrange&lt;/atc:flashColor&gt;&lt;atc:flashTime atc:startTime='0' atc:endTime='0'/&gt;&lt;atc:dismissButton atc:enable_time='47' atc:label="Acknowledge" atc:fontSize='10' atc:width='110' atc:height='30' atc:posX='-200' atc:posY='25'/&gt;&lt;/atc:reminderBox&gt;</v>
      </c>
    </row>
    <row r="53" spans="1:14">
      <c r="A53" s="8">
        <v>4</v>
      </c>
      <c r="B53" s="8">
        <v>96</v>
      </c>
      <c r="C53" s="8">
        <v>123</v>
      </c>
      <c r="D53" s="8" t="s">
        <v>2</v>
      </c>
      <c r="E53" s="8" t="s">
        <v>144</v>
      </c>
      <c r="F53" s="8" t="s">
        <v>148</v>
      </c>
      <c r="G53" s="8" t="s">
        <v>148</v>
      </c>
      <c r="H53" s="8" t="s">
        <v>238</v>
      </c>
      <c r="I53" s="8">
        <v>-131</v>
      </c>
      <c r="J53" s="8">
        <v>30</v>
      </c>
      <c r="K53" s="8">
        <v>-60</v>
      </c>
      <c r="L53" s="8">
        <v>60</v>
      </c>
      <c r="N53" t="str">
        <f t="shared" si="1"/>
        <v>&lt;!-- ============== PM Box Trial-4-Long-Long================ --&gt;&lt;atc:reminderBox atc:bgColor="LightBlue" atc:width='262' atc:height='70' atc:aircraft='LPM' atc:posX='-131' atc:posY='30' atc:displayText=" Handoff LPM/nwith Right-arrow" atc:displayTextSize='20'&gt;&lt;atc:displayTime atc:startTime='46' atc:endTime='56'/&gt;&lt;atc:flashColor&gt;darkOrange&lt;/atc:flashColor&gt;&lt;atc:flashColor&gt;darkOrange&lt;/atc:flashColor&gt;&lt;atc:flashTime atc:startTime='0' atc:endTime='0'/&gt;&lt;atc:dismissButton atc:enable_time='48' atc:label="Acknowledge" atc:fontSize='10' atc:width='110' atc:height='30' atc:posX='-60' atc:posY='60'/&gt;&lt;/atc:reminderBox&gt;</v>
      </c>
    </row>
    <row r="54" spans="1:14">
      <c r="A54" s="8">
        <v>5</v>
      </c>
      <c r="B54" s="8">
        <v>148</v>
      </c>
      <c r="C54" s="8">
        <v>175</v>
      </c>
      <c r="D54" s="8" t="s">
        <v>1</v>
      </c>
      <c r="E54" s="8" t="s">
        <v>126</v>
      </c>
      <c r="F54" s="8" t="s">
        <v>148</v>
      </c>
      <c r="G54" s="8" t="s">
        <v>148</v>
      </c>
      <c r="H54" s="8" t="s">
        <v>238</v>
      </c>
      <c r="I54" s="8">
        <v>-250</v>
      </c>
      <c r="J54" s="8">
        <v>-115</v>
      </c>
      <c r="K54" s="8">
        <v>-150</v>
      </c>
      <c r="L54" s="8">
        <v>-23</v>
      </c>
      <c r="N54" t="str">
        <f t="shared" si="1"/>
        <v>&lt;!-- ============== PM Box Trial-5-Long-Long================ --&gt;&lt;atc:reminderBox atc:bgColor="LightBlue" atc:width='262' atc:height='70' atc:aircraft='LPM' atc:posX='-250' atc:posY='-115' atc:displayText=" Handoff LPM/nwith Left-arrow" atc:displayTextSize='20'&gt;&lt;atc:displayTime atc:startTime='98' atc:endTime='108'/&gt;&lt;atc:flashColor&gt;darkOrange&lt;/atc:flashColor&gt;&lt;atc:flashColor&gt;darkOrange&lt;/atc:flashColor&gt;&lt;atc:flashTime atc:startTime='0' atc:endTime='0'/&gt;&lt;atc:dismissButton atc:enable_time='100' atc:label="Acknowledge" atc:fontSize='10' atc:width='110' atc:height='30' atc:posX='-150' atc:posY='-23'/&gt;&lt;/atc:reminderBox&gt;</v>
      </c>
    </row>
    <row r="55" spans="1:14">
      <c r="A55" s="8">
        <v>6</v>
      </c>
      <c r="B55" s="8">
        <v>96</v>
      </c>
      <c r="C55" s="8">
        <v>123</v>
      </c>
      <c r="D55" s="8" t="s">
        <v>3</v>
      </c>
      <c r="E55" s="8" t="s">
        <v>145</v>
      </c>
      <c r="F55" s="8" t="s">
        <v>148</v>
      </c>
      <c r="G55" s="8" t="s">
        <v>148</v>
      </c>
      <c r="H55" s="8" t="s">
        <v>238</v>
      </c>
      <c r="I55" s="8">
        <v>-310</v>
      </c>
      <c r="J55" s="8">
        <v>-30</v>
      </c>
      <c r="K55" s="8">
        <v>-200</v>
      </c>
      <c r="L55" s="8">
        <v>25</v>
      </c>
      <c r="N55" t="str">
        <f t="shared" si="1"/>
        <v>&lt;!-- ============== PM Box Trial-6-Long-Long================ --&gt;&lt;atc:reminderBox atc:bgColor="LightBlue" atc:width='262' atc:height='70' atc:aircraft='LPM' atc:posX='-310' atc:posY='-30' atc:displayText=" Handoff LPM/nwith Up-arrow" atc:displayTextSize='20'&gt;&lt;atc:displayTime atc:startTime='46' atc:endTime='56'/&gt;&lt;atc:flashColor&gt;darkOrange&lt;/atc:flashColor&gt;&lt;atc:flashColor&gt;darkOrange&lt;/atc:flashColor&gt;&lt;atc:flashTime atc:startTime='0' atc:endTime='0'/&gt;&lt;atc:dismissButton atc:enable_time='48' atc:label="Acknowledge" atc:fontSize='10' atc:width='110' atc:height='30' atc:posX='-200' atc:posY='25'/&gt;&lt;/atc:reminderBox&gt;</v>
      </c>
    </row>
    <row r="56" spans="1:14">
      <c r="A56" s="8">
        <v>7</v>
      </c>
      <c r="B56" s="8">
        <v>123</v>
      </c>
      <c r="C56" s="8">
        <v>150</v>
      </c>
      <c r="D56" s="8" t="s">
        <v>6</v>
      </c>
      <c r="E56" s="8" t="s">
        <v>146</v>
      </c>
      <c r="F56" s="8" t="s">
        <v>148</v>
      </c>
      <c r="G56" s="8" t="s">
        <v>148</v>
      </c>
      <c r="H56" s="8" t="s">
        <v>238</v>
      </c>
      <c r="I56" s="8">
        <v>-310</v>
      </c>
      <c r="J56" s="8">
        <v>-30</v>
      </c>
      <c r="K56" s="8">
        <v>-200</v>
      </c>
      <c r="L56" s="8">
        <v>25</v>
      </c>
      <c r="N56" t="str">
        <f t="shared" si="1"/>
        <v>&lt;!-- ============== PM Box Trial-7-Long-Long================ --&gt;&lt;atc:reminderBox atc:bgColor="LightBlue" atc:width='262' atc:height='70' atc:aircraft='LPM' atc:posX='-310' atc:posY='-30' atc:displayText=" Handoff LPM/nwith Down-arrow" atc:displayTextSize='20'&gt;&lt;atc:displayTime atc:startTime='73' atc:endTime='83'/&gt;&lt;atc:flashColor&gt;darkOrange&lt;/atc:flashColor&gt;&lt;atc:flashColor&gt;darkOrange&lt;/atc:flashColor&gt;&lt;atc:flashTime atc:startTime='0' atc:endTime='0'/&gt;&lt;atc:dismissButton atc:enable_time='75' atc:label="Acknowledge" atc:fontSize='10' atc:width='110' atc:height='30' atc:posX='-200' atc:posY='25'/&gt;&lt;/atc:reminderBox&gt;</v>
      </c>
    </row>
    <row r="57" spans="1:14">
      <c r="A57" s="8">
        <v>8</v>
      </c>
      <c r="B57" s="8">
        <v>91</v>
      </c>
      <c r="C57" s="8">
        <v>118</v>
      </c>
      <c r="D57" s="8" t="s">
        <v>3</v>
      </c>
      <c r="E57" s="8" t="s">
        <v>145</v>
      </c>
      <c r="F57" s="8" t="s">
        <v>148</v>
      </c>
      <c r="G57" s="8" t="s">
        <v>148</v>
      </c>
      <c r="H57" s="8" t="s">
        <v>238</v>
      </c>
      <c r="I57" s="8">
        <v>-310</v>
      </c>
      <c r="J57" s="8">
        <v>-30</v>
      </c>
      <c r="K57" s="8">
        <v>-200</v>
      </c>
      <c r="L57" s="8">
        <v>25</v>
      </c>
      <c r="N57" t="str">
        <f t="shared" si="1"/>
        <v>&lt;!-- ============== PM Box Trial-8-Long-Long================ --&gt;&lt;atc:reminderBox atc:bgColor="LightBlue" atc:width='262' atc:height='70' atc:aircraft='LPM' atc:posX='-310' atc:posY='-30' atc:displayText=" Handoff LPM/nwith Up-arrow" atc:displayTextSize='20'&gt;&lt;atc:displayTime atc:startTime='41' atc:endTime='51'/&gt;&lt;atc:flashColor&gt;darkOrange&lt;/atc:flashColor&gt;&lt;atc:flashColor&gt;darkOrange&lt;/atc:flashColor&gt;&lt;atc:flashTime atc:startTime='0' atc:endTime='0'/&gt;&lt;atc:dismissButton atc:enable_time='43' atc:label="Acknowledge" atc:fontSize='10' atc:width='110' atc:height='30' atc:posX='-200' atc:posY='25'/&gt;&lt;/atc:reminderBox&gt;</v>
      </c>
    </row>
    <row r="58" spans="1:14">
      <c r="A58" s="8">
        <v>9</v>
      </c>
      <c r="B58" s="8">
        <v>133</v>
      </c>
      <c r="C58" s="8">
        <v>160</v>
      </c>
      <c r="D58" s="8" t="s">
        <v>1</v>
      </c>
      <c r="E58" s="8" t="s">
        <v>126</v>
      </c>
      <c r="F58" s="8" t="s">
        <v>148</v>
      </c>
      <c r="G58" s="8" t="s">
        <v>148</v>
      </c>
      <c r="H58" s="8" t="s">
        <v>238</v>
      </c>
      <c r="I58" s="8">
        <v>-250</v>
      </c>
      <c r="J58" s="8">
        <v>-115</v>
      </c>
      <c r="K58" s="8">
        <v>-150</v>
      </c>
      <c r="L58" s="8">
        <v>-23</v>
      </c>
      <c r="N58" t="str">
        <f t="shared" si="1"/>
        <v>&lt;!-- ============== PM Box Trial-9-Long-Long================ --&gt;&lt;atc:reminderBox atc:bgColor="LightBlue" atc:width='262' atc:height='70' atc:aircraft='LPM' atc:posX='-250' atc:posY='-115' atc:displayText=" Handoff LPM/nwith Left-arrow" atc:displayTextSize='20'&gt;&lt;atc:displayTime atc:startTime='83' atc:endTime='93'/&gt;&lt;atc:flashColor&gt;darkOrange&lt;/atc:flashColor&gt;&lt;atc:flashColor&gt;darkOrange&lt;/atc:flashColor&gt;&lt;atc:flashTime atc:startTime='0' atc:endTime='0'/&gt;&lt;atc:dismissButton atc:enable_time='85' atc:label="Acknowledge" atc:fontSize='10' atc:width='110' atc:height='30' atc:posX='-150' atc:posY='-23'/&gt;&lt;/atc:reminderBox&gt;</v>
      </c>
    </row>
    <row r="59" spans="1:14">
      <c r="A59" s="8">
        <v>10</v>
      </c>
      <c r="B59" s="8">
        <v>123</v>
      </c>
      <c r="C59" s="8">
        <v>150</v>
      </c>
      <c r="D59" s="8" t="s">
        <v>5</v>
      </c>
      <c r="E59" s="8" t="s">
        <v>145</v>
      </c>
      <c r="F59" s="8" t="s">
        <v>148</v>
      </c>
      <c r="G59" s="8" t="s">
        <v>148</v>
      </c>
      <c r="H59" s="8" t="s">
        <v>238</v>
      </c>
      <c r="I59" s="8">
        <v>-310</v>
      </c>
      <c r="J59" s="8">
        <v>-30</v>
      </c>
      <c r="K59" s="8">
        <v>-200</v>
      </c>
      <c r="L59" s="8">
        <v>25</v>
      </c>
      <c r="N59" t="str">
        <f t="shared" si="1"/>
        <v>&lt;!-- ============== PM Box Trial-10-Long-Long================ --&gt;&lt;atc:reminderBox atc:bgColor="LightBlue" atc:width='262' atc:height='70' atc:aircraft='LPM' atc:posX='-310' atc:posY='-30' atc:displayText=" Handoff LPM/nwith Up-arrow" atc:displayTextSize='20'&gt;&lt;atc:displayTime atc:startTime='73' atc:endTime='83'/&gt;&lt;atc:flashColor&gt;darkOrange&lt;/atc:flashColor&gt;&lt;atc:flashColor&gt;darkOrange&lt;/atc:flashColor&gt;&lt;atc:flashTime atc:startTime='0' atc:endTime='0'/&gt;&lt;atc:dismissButton atc:enable_time='75' atc:label="Acknowledge" atc:fontSize='10' atc:width='110' atc:height='30' atc:posX='-200' atc:posY='25'/&gt;&lt;/atc:reminderBox&gt;</v>
      </c>
    </row>
    <row r="60" spans="1:14">
      <c r="A60" s="8">
        <v>11</v>
      </c>
      <c r="B60" s="8">
        <v>144</v>
      </c>
      <c r="C60" s="8">
        <v>171</v>
      </c>
      <c r="D60" s="8" t="s">
        <v>2</v>
      </c>
      <c r="E60" s="8" t="s">
        <v>144</v>
      </c>
      <c r="F60" s="8" t="s">
        <v>148</v>
      </c>
      <c r="G60" s="8" t="s">
        <v>148</v>
      </c>
      <c r="H60" s="8" t="s">
        <v>238</v>
      </c>
      <c r="I60" s="8">
        <v>-131</v>
      </c>
      <c r="J60" s="8">
        <v>30</v>
      </c>
      <c r="K60" s="8">
        <v>-60</v>
      </c>
      <c r="L60" s="8">
        <v>60</v>
      </c>
      <c r="N60" t="str">
        <f t="shared" si="1"/>
        <v>&lt;!-- ============== PM Box Trial-11-Long-Long================ --&gt;&lt;atc:reminderBox atc:bgColor="LightBlue" atc:width='262' atc:height='70' atc:aircraft='LPM' atc:posX='-131' atc:posY='30' atc:displayText=" Handoff LPM/nwith Right-arrow" atc:displayTextSize='20'&gt;&lt;atc:displayTime atc:startTime='94' atc:endTime='104'/&gt;&lt;atc:flashColor&gt;darkOrange&lt;/atc:flashColor&gt;&lt;atc:flashColor&gt;darkOrange&lt;/atc:flashColor&gt;&lt;atc:flashTime atc:startTime='0' atc:endTime='0'/&gt;&lt;atc:dismissButton atc:enable_time='96' atc:label="Acknowledge" atc:fontSize='10' atc:width='110' atc:height='30' atc:posX='-60' atc:posY='60'/&gt;&lt;/atc:reminderBox&gt;</v>
      </c>
    </row>
    <row r="61" spans="1:14">
      <c r="A61" s="8">
        <v>12</v>
      </c>
      <c r="B61" s="8">
        <v>120</v>
      </c>
      <c r="C61" s="8">
        <v>147</v>
      </c>
      <c r="D61" s="8" t="s">
        <v>6</v>
      </c>
      <c r="E61" s="8" t="s">
        <v>146</v>
      </c>
      <c r="F61" s="8" t="s">
        <v>148</v>
      </c>
      <c r="G61" s="8" t="s">
        <v>148</v>
      </c>
      <c r="H61" s="8" t="s">
        <v>238</v>
      </c>
      <c r="I61" s="8">
        <v>-310</v>
      </c>
      <c r="J61" s="8">
        <v>-30</v>
      </c>
      <c r="K61" s="8">
        <v>-200</v>
      </c>
      <c r="L61" s="8">
        <v>25</v>
      </c>
      <c r="N61" t="str">
        <f t="shared" si="1"/>
        <v>&lt;!-- ============== PM Box Trial-12-Long-Long================ --&gt;&lt;atc:reminderBox atc:bgColor="LightBlue" atc:width='262' atc:height='70' atc:aircraft='LPM' atc:posX='-310' atc:posY='-30' atc:displayText=" Handoff LPM/nwith Down-arrow" atc:displayTextSize='20'&gt;&lt;atc:displayTime atc:startTime='70' atc:endTime='80'/&gt;&lt;atc:flashColor&gt;darkOrange&lt;/atc:flashColor&gt;&lt;atc:flashColor&gt;darkOrange&lt;/atc:flashColor&gt;&lt;atc:flashTime atc:startTime='0' atc:endTime='0'/&gt;&lt;atc:dismissButton atc:enable_time='72' atc:label="Acknowledge" atc:fontSize='10' atc:width='110' atc:height='30' atc:posX='-200' atc:posY='25'/&gt;&lt;/atc:reminderBox&gt;</v>
      </c>
    </row>
    <row r="62" spans="1:14">
      <c r="A62" s="8">
        <v>13</v>
      </c>
      <c r="B62" s="8">
        <v>106</v>
      </c>
      <c r="C62" s="8">
        <v>133</v>
      </c>
      <c r="D62" s="8" t="s">
        <v>1</v>
      </c>
      <c r="E62" s="8" t="s">
        <v>126</v>
      </c>
      <c r="F62" s="8" t="s">
        <v>148</v>
      </c>
      <c r="G62" s="8" t="s">
        <v>148</v>
      </c>
      <c r="H62" s="8" t="s">
        <v>238</v>
      </c>
      <c r="I62" s="8">
        <v>-250</v>
      </c>
      <c r="J62" s="8">
        <v>-115</v>
      </c>
      <c r="K62" s="8">
        <v>-150</v>
      </c>
      <c r="L62" s="8">
        <v>-23</v>
      </c>
      <c r="N62" t="str">
        <f t="shared" si="1"/>
        <v>&lt;!-- ============== PM Box Trial-13-Long-Long================ --&gt;&lt;atc:reminderBox atc:bgColor="LightBlue" atc:width='262' atc:height='70' atc:aircraft='LPM' atc:posX='-250' atc:posY='-115' atc:displayText=" Handoff LPM/nwith Left-arrow" atc:displayTextSize='20'&gt;&lt;atc:displayTime atc:startTime='56' atc:endTime='66'/&gt;&lt;atc:flashColor&gt;darkOrange&lt;/atc:flashColor&gt;&lt;atc:flashColor&gt;darkOrange&lt;/atc:flashColor&gt;&lt;atc:flashTime atc:startTime='0' atc:endTime='0'/&gt;&lt;atc:dismissButton atc:enable_time='58' atc:label="Acknowledge" atc:fontSize='10' atc:width='110' atc:height='30' atc:posX='-150' atc:posY='-23'/&gt;&lt;/atc:reminderBox&gt;</v>
      </c>
    </row>
    <row r="63" spans="1:14">
      <c r="A63" s="8">
        <v>14</v>
      </c>
      <c r="B63" s="8">
        <v>111</v>
      </c>
      <c r="C63" s="8">
        <v>138</v>
      </c>
      <c r="D63" s="8" t="s">
        <v>2</v>
      </c>
      <c r="E63" s="8" t="s">
        <v>144</v>
      </c>
      <c r="F63" s="8" t="s">
        <v>148</v>
      </c>
      <c r="G63" s="8" t="s">
        <v>148</v>
      </c>
      <c r="H63" s="8" t="s">
        <v>238</v>
      </c>
      <c r="I63" s="8">
        <v>-131</v>
      </c>
      <c r="J63" s="8">
        <v>30</v>
      </c>
      <c r="K63" s="8">
        <v>-60</v>
      </c>
      <c r="L63" s="8">
        <v>60</v>
      </c>
      <c r="N63" t="str">
        <f t="shared" si="1"/>
        <v>&lt;!-- ============== PM Box Trial-14-Long-Long================ --&gt;&lt;atc:reminderBox atc:bgColor="LightBlue" atc:width='262' atc:height='70' atc:aircraft='LPM' atc:posX='-131' atc:posY='30' atc:displayText=" Handoff LPM/nwith Right-arrow" atc:displayTextSize='20'&gt;&lt;atc:displayTime atc:startTime='61' atc:endTime='71'/&gt;&lt;atc:flashColor&gt;darkOrange&lt;/atc:flashColor&gt;&lt;atc:flashColor&gt;darkOrange&lt;/atc:flashColor&gt;&lt;atc:flashTime atc:startTime='0' atc:endTime='0'/&gt;&lt;atc:dismissButton atc:enable_time='63' atc:label="Acknowledge" atc:fontSize='10' atc:width='110' atc:height='30' atc:posX='-60' atc:posY='60'/&gt;&lt;/atc:reminderBox&gt;</v>
      </c>
    </row>
    <row r="64" spans="1:14">
      <c r="A64" s="8">
        <v>15</v>
      </c>
      <c r="B64" s="8">
        <v>144</v>
      </c>
      <c r="C64" s="8">
        <v>171</v>
      </c>
      <c r="D64" s="8" t="s">
        <v>5</v>
      </c>
      <c r="E64" s="8" t="s">
        <v>145</v>
      </c>
      <c r="F64" s="8" t="s">
        <v>148</v>
      </c>
      <c r="G64" s="8" t="s">
        <v>148</v>
      </c>
      <c r="H64" s="8" t="s">
        <v>238</v>
      </c>
      <c r="I64" s="8">
        <v>-310</v>
      </c>
      <c r="J64" s="8">
        <v>-30</v>
      </c>
      <c r="K64" s="8">
        <v>-200</v>
      </c>
      <c r="L64" s="8">
        <v>25</v>
      </c>
      <c r="N64" t="str">
        <f t="shared" si="1"/>
        <v>&lt;!-- ============== PM Box Trial-15-Long-Long================ --&gt;&lt;atc:reminderBox atc:bgColor="LightBlue" atc:width='262' atc:height='70' atc:aircraft='LPM' atc:posX='-310' atc:posY='-30' atc:displayText=" Handoff LPM/nwith Up-arrow" atc:displayTextSize='20'&gt;&lt;atc:displayTime atc:startTime='94' atc:endTime='104'/&gt;&lt;atc:flashColor&gt;darkOrange&lt;/atc:flashColor&gt;&lt;atc:flashColor&gt;darkOrange&lt;/atc:flashColor&gt;&lt;atc:flashTime atc:startTime='0' atc:endTime='0'/&gt;&lt;atc:dismissButton atc:enable_time='96' atc:label="Acknowledge" atc:fontSize='10' atc:width='110' atc:height='30' atc:posX='-200' atc:posY='25'/&gt;&lt;/atc:reminderBox&gt;</v>
      </c>
    </row>
    <row r="65" spans="1:14">
      <c r="A65" s="8">
        <v>16</v>
      </c>
      <c r="B65" s="8">
        <v>138</v>
      </c>
      <c r="C65" s="8">
        <v>165</v>
      </c>
      <c r="D65" s="8" t="s">
        <v>5</v>
      </c>
      <c r="E65" s="8" t="s">
        <v>145</v>
      </c>
      <c r="F65" s="8" t="s">
        <v>148</v>
      </c>
      <c r="G65" s="8" t="s">
        <v>148</v>
      </c>
      <c r="H65" s="8" t="s">
        <v>238</v>
      </c>
      <c r="I65" s="8">
        <v>-310</v>
      </c>
      <c r="J65" s="8">
        <v>-30</v>
      </c>
      <c r="K65" s="8">
        <v>-200</v>
      </c>
      <c r="L65" s="8">
        <v>25</v>
      </c>
      <c r="N65" t="str">
        <f t="shared" si="1"/>
        <v>&lt;!-- ============== PM Box Trial-16-Long-Long================ --&gt;&lt;atc:reminderBox atc:bgColor="LightBlue" atc:width='262' atc:height='70' atc:aircraft='LPM' atc:posX='-310' atc:posY='-30' atc:displayText=" Handoff LPM/nwith Up-arrow" atc:displayTextSize='20'&gt;&lt;atc:displayTime atc:startTime='88' atc:endTime='98'/&gt;&lt;atc:flashColor&gt;darkOrange&lt;/atc:flashColor&gt;&lt;atc:flashColor&gt;darkOrange&lt;/atc:flashColor&gt;&lt;atc:flashTime atc:startTime='0' atc:endTime='0'/&gt;&lt;atc:dismissButton atc:enable_time='90' atc:label="Acknowledge" atc:fontSize='10' atc:width='110' atc:height='30' atc:posX='-200' atc:posY='25'/&gt;&lt;/atc:reminderBox&gt;</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abSelected="1" workbookViewId="0">
      <selection activeCell="L6" sqref="L6"/>
    </sheetView>
  </sheetViews>
  <sheetFormatPr defaultRowHeight="15"/>
  <cols>
    <col min="6" max="6" width="13.42578125" customWidth="1"/>
    <col min="7" max="7" width="10.140625" customWidth="1"/>
    <col min="8" max="8" width="10" customWidth="1"/>
    <col min="9" max="9" width="21.85546875" bestFit="1" customWidth="1"/>
  </cols>
  <sheetData>
    <row r="1" spans="1:10" ht="15.75" thickBot="1">
      <c r="A1" s="62" t="s">
        <v>50</v>
      </c>
      <c r="B1" s="63" t="s">
        <v>223</v>
      </c>
      <c r="C1" s="63" t="s">
        <v>224</v>
      </c>
      <c r="D1" s="63" t="s">
        <v>225</v>
      </c>
      <c r="E1" s="63" t="s">
        <v>226</v>
      </c>
      <c r="F1" s="63" t="s">
        <v>227</v>
      </c>
      <c r="G1" s="63" t="s">
        <v>141</v>
      </c>
      <c r="H1" s="63" t="s">
        <v>142</v>
      </c>
      <c r="I1" s="63" t="s">
        <v>228</v>
      </c>
      <c r="J1" s="64" t="s">
        <v>229</v>
      </c>
    </row>
    <row r="2" spans="1:10" ht="15.75" thickTop="1">
      <c r="A2" s="68">
        <v>1</v>
      </c>
      <c r="B2" s="69" t="s">
        <v>182</v>
      </c>
      <c r="C2" s="69" t="s">
        <v>183</v>
      </c>
      <c r="D2" s="69">
        <v>0</v>
      </c>
      <c r="E2" s="69">
        <v>38</v>
      </c>
      <c r="F2" s="69">
        <v>38</v>
      </c>
      <c r="G2" s="69">
        <v>120</v>
      </c>
      <c r="H2" s="69">
        <v>147</v>
      </c>
      <c r="I2" s="69" t="s">
        <v>184</v>
      </c>
      <c r="J2" s="70">
        <v>0</v>
      </c>
    </row>
    <row r="3" spans="1:10">
      <c r="A3" s="65">
        <v>1</v>
      </c>
      <c r="B3" s="66" t="s">
        <v>185</v>
      </c>
      <c r="C3" s="66" t="s">
        <v>186</v>
      </c>
      <c r="D3" s="66">
        <v>0</v>
      </c>
      <c r="E3" s="66">
        <v>91</v>
      </c>
      <c r="F3" s="66">
        <v>91</v>
      </c>
      <c r="G3" s="66">
        <v>120</v>
      </c>
      <c r="H3" s="66">
        <v>147</v>
      </c>
      <c r="I3" s="66" t="s">
        <v>184</v>
      </c>
      <c r="J3" s="67">
        <v>0</v>
      </c>
    </row>
    <row r="4" spans="1:10">
      <c r="A4" s="68">
        <v>1</v>
      </c>
      <c r="B4" s="69" t="s">
        <v>205</v>
      </c>
      <c r="C4" s="69" t="s">
        <v>206</v>
      </c>
      <c r="D4" s="69">
        <v>119</v>
      </c>
      <c r="E4" s="69">
        <v>210</v>
      </c>
      <c r="F4" s="69">
        <v>91</v>
      </c>
      <c r="G4" s="69">
        <v>120</v>
      </c>
      <c r="H4" s="69">
        <v>147</v>
      </c>
      <c r="I4" s="69" t="s">
        <v>207</v>
      </c>
      <c r="J4" s="70">
        <v>0</v>
      </c>
    </row>
    <row r="5" spans="1:10">
      <c r="A5" s="68">
        <v>2</v>
      </c>
      <c r="B5" s="69" t="s">
        <v>187</v>
      </c>
      <c r="C5" s="69" t="s">
        <v>188</v>
      </c>
      <c r="D5" s="69">
        <v>0</v>
      </c>
      <c r="E5" s="69">
        <v>123</v>
      </c>
      <c r="F5" s="69">
        <v>123</v>
      </c>
      <c r="G5" s="69">
        <v>142</v>
      </c>
      <c r="H5" s="69">
        <v>169</v>
      </c>
      <c r="I5" s="69" t="s">
        <v>184</v>
      </c>
      <c r="J5" s="70">
        <v>0</v>
      </c>
    </row>
    <row r="6" spans="1:10">
      <c r="A6" s="65">
        <v>2</v>
      </c>
      <c r="B6" s="66" t="s">
        <v>172</v>
      </c>
      <c r="C6" s="66" t="s">
        <v>208</v>
      </c>
      <c r="D6" s="66">
        <v>110</v>
      </c>
      <c r="E6" s="66">
        <v>212</v>
      </c>
      <c r="F6" s="66">
        <v>102</v>
      </c>
      <c r="G6" s="66">
        <v>142</v>
      </c>
      <c r="H6" s="66">
        <v>169</v>
      </c>
      <c r="I6" s="66" t="s">
        <v>207</v>
      </c>
      <c r="J6" s="67">
        <v>0</v>
      </c>
    </row>
    <row r="7" spans="1:10">
      <c r="A7" s="68">
        <v>2</v>
      </c>
      <c r="B7" s="69" t="s">
        <v>178</v>
      </c>
      <c r="C7" s="69" t="s">
        <v>175</v>
      </c>
      <c r="D7" s="69">
        <v>80</v>
      </c>
      <c r="E7" s="69">
        <v>245</v>
      </c>
      <c r="F7" s="69">
        <v>165</v>
      </c>
      <c r="G7" s="69">
        <v>142</v>
      </c>
      <c r="H7" s="69">
        <v>169</v>
      </c>
      <c r="I7" s="69" t="s">
        <v>207</v>
      </c>
      <c r="J7" s="70">
        <v>0</v>
      </c>
    </row>
    <row r="8" spans="1:10">
      <c r="A8" s="65">
        <v>3</v>
      </c>
      <c r="B8" s="66" t="s">
        <v>160</v>
      </c>
      <c r="C8" s="66" t="s">
        <v>161</v>
      </c>
      <c r="D8" s="66">
        <v>154</v>
      </c>
      <c r="E8" s="66">
        <v>241</v>
      </c>
      <c r="F8" s="66">
        <v>87</v>
      </c>
      <c r="G8" s="66">
        <v>95</v>
      </c>
      <c r="H8" s="66">
        <v>122</v>
      </c>
      <c r="I8" s="66" t="s">
        <v>162</v>
      </c>
      <c r="J8" s="67">
        <v>0</v>
      </c>
    </row>
    <row r="9" spans="1:10">
      <c r="A9" s="65">
        <v>3</v>
      </c>
      <c r="B9" s="66" t="s">
        <v>189</v>
      </c>
      <c r="C9" s="66" t="s">
        <v>190</v>
      </c>
      <c r="D9" s="66">
        <v>0</v>
      </c>
      <c r="E9" s="66">
        <v>49</v>
      </c>
      <c r="F9" s="66">
        <v>49</v>
      </c>
      <c r="G9" s="66">
        <v>95</v>
      </c>
      <c r="H9" s="66">
        <v>122</v>
      </c>
      <c r="I9" s="66" t="s">
        <v>184</v>
      </c>
      <c r="J9" s="67">
        <v>0</v>
      </c>
    </row>
    <row r="10" spans="1:10">
      <c r="A10" s="65">
        <v>3</v>
      </c>
      <c r="B10" s="66" t="s">
        <v>168</v>
      </c>
      <c r="C10" s="66" t="s">
        <v>209</v>
      </c>
      <c r="D10" s="66">
        <v>45</v>
      </c>
      <c r="E10" s="66">
        <v>166</v>
      </c>
      <c r="F10" s="66">
        <v>122</v>
      </c>
      <c r="G10" s="66">
        <v>95</v>
      </c>
      <c r="H10" s="66">
        <v>122</v>
      </c>
      <c r="I10" s="66" t="s">
        <v>207</v>
      </c>
      <c r="J10" s="67">
        <v>0</v>
      </c>
    </row>
    <row r="11" spans="1:10">
      <c r="A11" s="68">
        <v>4</v>
      </c>
      <c r="B11" s="69" t="s">
        <v>189</v>
      </c>
      <c r="C11" s="69" t="s">
        <v>191</v>
      </c>
      <c r="D11" s="69">
        <v>0</v>
      </c>
      <c r="E11" s="69">
        <v>44</v>
      </c>
      <c r="F11" s="69">
        <v>44</v>
      </c>
      <c r="G11" s="69">
        <v>96</v>
      </c>
      <c r="H11" s="69">
        <v>123</v>
      </c>
      <c r="I11" s="69" t="s">
        <v>184</v>
      </c>
      <c r="J11" s="70">
        <v>0</v>
      </c>
    </row>
    <row r="12" spans="1:10">
      <c r="A12" s="68">
        <v>4</v>
      </c>
      <c r="B12" s="69" t="s">
        <v>210</v>
      </c>
      <c r="C12" s="69" t="s">
        <v>211</v>
      </c>
      <c r="D12" s="69">
        <v>120</v>
      </c>
      <c r="E12" s="69">
        <v>223</v>
      </c>
      <c r="F12" s="69">
        <v>103</v>
      </c>
      <c r="G12" s="69">
        <v>96</v>
      </c>
      <c r="H12" s="69">
        <v>123</v>
      </c>
      <c r="I12" s="69" t="s">
        <v>207</v>
      </c>
      <c r="J12" s="70">
        <v>0</v>
      </c>
    </row>
    <row r="13" spans="1:10">
      <c r="A13" s="65">
        <v>4</v>
      </c>
      <c r="B13" s="66" t="s">
        <v>212</v>
      </c>
      <c r="C13" s="66" t="s">
        <v>213</v>
      </c>
      <c r="D13" s="66">
        <v>100</v>
      </c>
      <c r="E13" s="66">
        <v>257</v>
      </c>
      <c r="F13" s="66">
        <v>157</v>
      </c>
      <c r="G13" s="66">
        <v>96</v>
      </c>
      <c r="H13" s="66">
        <v>123</v>
      </c>
      <c r="I13" s="66" t="s">
        <v>207</v>
      </c>
      <c r="J13" s="67">
        <v>0</v>
      </c>
    </row>
    <row r="14" spans="1:10">
      <c r="A14" s="68">
        <v>5</v>
      </c>
      <c r="B14" s="69" t="s">
        <v>163</v>
      </c>
      <c r="C14" s="69" t="s">
        <v>164</v>
      </c>
      <c r="D14" s="69">
        <v>194</v>
      </c>
      <c r="E14" s="69">
        <v>272</v>
      </c>
      <c r="F14" s="69">
        <v>78</v>
      </c>
      <c r="G14" s="69">
        <v>148</v>
      </c>
      <c r="H14" s="69">
        <v>175</v>
      </c>
      <c r="I14" s="69" t="s">
        <v>162</v>
      </c>
      <c r="J14" s="70">
        <v>0</v>
      </c>
    </row>
    <row r="15" spans="1:10">
      <c r="A15" s="65">
        <v>5</v>
      </c>
      <c r="B15" s="66" t="s">
        <v>192</v>
      </c>
      <c r="C15" s="66" t="s">
        <v>193</v>
      </c>
      <c r="D15" s="66">
        <v>0</v>
      </c>
      <c r="E15" s="66">
        <v>101</v>
      </c>
      <c r="F15" s="66">
        <v>101</v>
      </c>
      <c r="G15" s="66">
        <v>148</v>
      </c>
      <c r="H15" s="66">
        <v>175</v>
      </c>
      <c r="I15" s="66" t="s">
        <v>184</v>
      </c>
      <c r="J15" s="67">
        <v>0</v>
      </c>
    </row>
    <row r="16" spans="1:10">
      <c r="A16" s="68">
        <v>5</v>
      </c>
      <c r="B16" s="69" t="s">
        <v>178</v>
      </c>
      <c r="C16" s="69" t="s">
        <v>204</v>
      </c>
      <c r="D16" s="69">
        <v>40</v>
      </c>
      <c r="E16" s="69">
        <v>222</v>
      </c>
      <c r="F16" s="69">
        <v>182</v>
      </c>
      <c r="G16" s="69">
        <v>148</v>
      </c>
      <c r="H16" s="69">
        <v>175</v>
      </c>
      <c r="I16" s="69" t="s">
        <v>207</v>
      </c>
      <c r="J16" s="70">
        <v>0</v>
      </c>
    </row>
    <row r="17" spans="1:10">
      <c r="A17" s="65">
        <v>6</v>
      </c>
      <c r="B17" s="66" t="s">
        <v>165</v>
      </c>
      <c r="C17" s="66" t="s">
        <v>166</v>
      </c>
      <c r="D17" s="66">
        <v>137</v>
      </c>
      <c r="E17" s="66">
        <v>256</v>
      </c>
      <c r="F17" s="66">
        <v>119</v>
      </c>
      <c r="G17" s="66">
        <v>96</v>
      </c>
      <c r="H17" s="66">
        <v>123</v>
      </c>
      <c r="I17" s="66" t="s">
        <v>162</v>
      </c>
      <c r="J17" s="67">
        <v>0</v>
      </c>
    </row>
    <row r="18" spans="1:10">
      <c r="A18" s="68">
        <v>6</v>
      </c>
      <c r="B18" s="69" t="s">
        <v>194</v>
      </c>
      <c r="C18" s="69" t="s">
        <v>195</v>
      </c>
      <c r="D18" s="69">
        <v>0</v>
      </c>
      <c r="E18" s="69">
        <v>54</v>
      </c>
      <c r="F18" s="69">
        <v>54</v>
      </c>
      <c r="G18" s="69">
        <v>96</v>
      </c>
      <c r="H18" s="69">
        <v>123</v>
      </c>
      <c r="I18" s="69" t="s">
        <v>184</v>
      </c>
      <c r="J18" s="70">
        <v>0</v>
      </c>
    </row>
    <row r="19" spans="1:10">
      <c r="A19" s="65">
        <v>6</v>
      </c>
      <c r="B19" s="66" t="s">
        <v>214</v>
      </c>
      <c r="C19" s="66" t="s">
        <v>215</v>
      </c>
      <c r="D19" s="66">
        <v>85</v>
      </c>
      <c r="E19" s="66">
        <v>260</v>
      </c>
      <c r="F19" s="66">
        <v>175</v>
      </c>
      <c r="G19" s="66">
        <v>96</v>
      </c>
      <c r="H19" s="66">
        <v>123</v>
      </c>
      <c r="I19" s="66" t="s">
        <v>207</v>
      </c>
      <c r="J19" s="67">
        <v>0</v>
      </c>
    </row>
    <row r="20" spans="1:10">
      <c r="A20" s="68">
        <v>7</v>
      </c>
      <c r="B20" s="69" t="s">
        <v>167</v>
      </c>
      <c r="C20" s="69" t="s">
        <v>168</v>
      </c>
      <c r="D20" s="69">
        <v>180</v>
      </c>
      <c r="E20" s="69">
        <v>274</v>
      </c>
      <c r="F20" s="69">
        <v>94</v>
      </c>
      <c r="G20" s="69">
        <v>123</v>
      </c>
      <c r="H20" s="69">
        <v>150</v>
      </c>
      <c r="I20" s="69" t="s">
        <v>162</v>
      </c>
      <c r="J20" s="70">
        <v>0</v>
      </c>
    </row>
    <row r="21" spans="1:10">
      <c r="A21" s="65">
        <v>7</v>
      </c>
      <c r="B21" s="66" t="s">
        <v>160</v>
      </c>
      <c r="C21" s="66" t="s">
        <v>196</v>
      </c>
      <c r="D21" s="66">
        <v>0</v>
      </c>
      <c r="E21" s="66">
        <v>72</v>
      </c>
      <c r="F21" s="66">
        <v>72</v>
      </c>
      <c r="G21" s="66">
        <v>123</v>
      </c>
      <c r="H21" s="66">
        <v>150</v>
      </c>
      <c r="I21" s="66" t="s">
        <v>184</v>
      </c>
      <c r="J21" s="67">
        <v>0</v>
      </c>
    </row>
    <row r="22" spans="1:10">
      <c r="A22" s="68">
        <v>7</v>
      </c>
      <c r="B22" s="69" t="s">
        <v>171</v>
      </c>
      <c r="C22" s="69" t="s">
        <v>216</v>
      </c>
      <c r="D22" s="69">
        <v>100</v>
      </c>
      <c r="E22" s="69">
        <v>208</v>
      </c>
      <c r="F22" s="69">
        <v>108</v>
      </c>
      <c r="G22" s="69">
        <v>123</v>
      </c>
      <c r="H22" s="69">
        <v>150</v>
      </c>
      <c r="I22" s="69" t="s">
        <v>207</v>
      </c>
      <c r="J22" s="70">
        <v>0</v>
      </c>
    </row>
    <row r="23" spans="1:10">
      <c r="A23" s="65">
        <v>8</v>
      </c>
      <c r="B23" s="66" t="s">
        <v>169</v>
      </c>
      <c r="C23" s="66" t="s">
        <v>170</v>
      </c>
      <c r="D23" s="66">
        <v>140</v>
      </c>
      <c r="E23" s="66">
        <v>213</v>
      </c>
      <c r="F23" s="66">
        <v>73</v>
      </c>
      <c r="G23" s="66">
        <v>91</v>
      </c>
      <c r="H23" s="66">
        <v>118</v>
      </c>
      <c r="I23" s="66" t="s">
        <v>162</v>
      </c>
      <c r="J23" s="67">
        <v>0</v>
      </c>
    </row>
    <row r="24" spans="1:10">
      <c r="A24" s="68">
        <v>8</v>
      </c>
      <c r="B24" s="69" t="s">
        <v>197</v>
      </c>
      <c r="C24" s="69" t="s">
        <v>166</v>
      </c>
      <c r="D24" s="69">
        <v>0</v>
      </c>
      <c r="E24" s="69">
        <v>72</v>
      </c>
      <c r="F24" s="69">
        <v>72</v>
      </c>
      <c r="G24" s="69">
        <v>91</v>
      </c>
      <c r="H24" s="69">
        <v>118</v>
      </c>
      <c r="I24" s="69" t="s">
        <v>184</v>
      </c>
      <c r="J24" s="70">
        <v>0</v>
      </c>
    </row>
    <row r="25" spans="1:10">
      <c r="A25" s="65">
        <v>8</v>
      </c>
      <c r="B25" s="66" t="s">
        <v>217</v>
      </c>
      <c r="C25" s="66" t="s">
        <v>218</v>
      </c>
      <c r="D25" s="66">
        <v>25</v>
      </c>
      <c r="E25" s="66">
        <v>223</v>
      </c>
      <c r="F25" s="66">
        <v>198</v>
      </c>
      <c r="G25" s="66">
        <v>91</v>
      </c>
      <c r="H25" s="66">
        <v>118</v>
      </c>
      <c r="I25" s="66" t="s">
        <v>207</v>
      </c>
      <c r="J25" s="67">
        <v>0</v>
      </c>
    </row>
    <row r="26" spans="1:10">
      <c r="A26" s="68">
        <v>9</v>
      </c>
      <c r="B26" s="69" t="s">
        <v>171</v>
      </c>
      <c r="C26" s="69" t="s">
        <v>172</v>
      </c>
      <c r="D26" s="69">
        <v>180</v>
      </c>
      <c r="E26" s="69">
        <v>255</v>
      </c>
      <c r="F26" s="69">
        <v>75</v>
      </c>
      <c r="G26" s="69">
        <v>133</v>
      </c>
      <c r="H26" s="69">
        <v>160</v>
      </c>
      <c r="I26" s="69" t="s">
        <v>162</v>
      </c>
      <c r="J26" s="70">
        <v>0</v>
      </c>
    </row>
    <row r="27" spans="1:10">
      <c r="A27" s="65">
        <v>9</v>
      </c>
      <c r="B27" s="66" t="s">
        <v>198</v>
      </c>
      <c r="C27" s="66" t="s">
        <v>188</v>
      </c>
      <c r="D27" s="66">
        <v>0</v>
      </c>
      <c r="E27" s="66">
        <v>88</v>
      </c>
      <c r="F27" s="66">
        <v>88</v>
      </c>
      <c r="G27" s="66">
        <v>133</v>
      </c>
      <c r="H27" s="66">
        <v>160</v>
      </c>
      <c r="I27" s="66" t="s">
        <v>184</v>
      </c>
      <c r="J27" s="67">
        <v>0</v>
      </c>
    </row>
    <row r="28" spans="1:10">
      <c r="A28" s="68">
        <v>9</v>
      </c>
      <c r="B28" s="69" t="s">
        <v>219</v>
      </c>
      <c r="C28" s="69" t="s">
        <v>165</v>
      </c>
      <c r="D28" s="69">
        <v>90</v>
      </c>
      <c r="E28" s="69">
        <v>288</v>
      </c>
      <c r="F28" s="69">
        <v>198</v>
      </c>
      <c r="G28" s="69">
        <v>133</v>
      </c>
      <c r="H28" s="69">
        <v>160</v>
      </c>
      <c r="I28" s="69" t="s">
        <v>207</v>
      </c>
      <c r="J28" s="70">
        <v>0</v>
      </c>
    </row>
    <row r="29" spans="1:10">
      <c r="A29" s="65">
        <v>10</v>
      </c>
      <c r="B29" s="66" t="s">
        <v>173</v>
      </c>
      <c r="C29" s="66" t="s">
        <v>174</v>
      </c>
      <c r="D29" s="66">
        <v>151</v>
      </c>
      <c r="E29" s="66">
        <v>256</v>
      </c>
      <c r="F29" s="66">
        <v>105</v>
      </c>
      <c r="G29" s="66">
        <v>123</v>
      </c>
      <c r="H29" s="66">
        <v>150</v>
      </c>
      <c r="I29" s="66" t="s">
        <v>162</v>
      </c>
      <c r="J29" s="67">
        <v>0</v>
      </c>
    </row>
    <row r="30" spans="1:10">
      <c r="A30" s="68">
        <v>10</v>
      </c>
      <c r="B30" s="69" t="s">
        <v>199</v>
      </c>
      <c r="C30" s="69" t="s">
        <v>200</v>
      </c>
      <c r="D30" s="69">
        <v>0</v>
      </c>
      <c r="E30" s="69">
        <v>81</v>
      </c>
      <c r="F30" s="69">
        <v>81</v>
      </c>
      <c r="G30" s="69">
        <v>123</v>
      </c>
      <c r="H30" s="69">
        <v>150</v>
      </c>
      <c r="I30" s="69" t="s">
        <v>184</v>
      </c>
      <c r="J30" s="70">
        <v>0</v>
      </c>
    </row>
    <row r="31" spans="1:10">
      <c r="A31" s="65">
        <v>10</v>
      </c>
      <c r="B31" s="66" t="s">
        <v>220</v>
      </c>
      <c r="C31" s="66" t="s">
        <v>221</v>
      </c>
      <c r="D31" s="66">
        <v>83</v>
      </c>
      <c r="E31" s="66">
        <v>183</v>
      </c>
      <c r="F31" s="66">
        <v>100</v>
      </c>
      <c r="G31" s="66">
        <v>123</v>
      </c>
      <c r="H31" s="66">
        <v>150</v>
      </c>
      <c r="I31" s="66" t="s">
        <v>207</v>
      </c>
      <c r="J31" s="67">
        <v>0</v>
      </c>
    </row>
    <row r="32" spans="1:10">
      <c r="A32" s="68">
        <v>11</v>
      </c>
      <c r="B32" s="69" t="s">
        <v>171</v>
      </c>
      <c r="C32" s="69" t="s">
        <v>160</v>
      </c>
      <c r="D32" s="69">
        <v>180</v>
      </c>
      <c r="E32" s="69">
        <v>286</v>
      </c>
      <c r="F32" s="69">
        <v>106</v>
      </c>
      <c r="G32" s="69">
        <v>144</v>
      </c>
      <c r="H32" s="69">
        <v>171</v>
      </c>
      <c r="I32" s="69" t="s">
        <v>162</v>
      </c>
      <c r="J32" s="70">
        <v>0</v>
      </c>
    </row>
    <row r="33" spans="1:10">
      <c r="A33" s="65">
        <v>11</v>
      </c>
      <c r="B33" s="66" t="s">
        <v>166</v>
      </c>
      <c r="C33" s="66" t="s">
        <v>197</v>
      </c>
      <c r="D33" s="66">
        <v>0</v>
      </c>
      <c r="E33" s="66">
        <v>97</v>
      </c>
      <c r="F33" s="66">
        <v>97</v>
      </c>
      <c r="G33" s="66">
        <v>144</v>
      </c>
      <c r="H33" s="66">
        <v>171</v>
      </c>
      <c r="I33" s="66" t="s">
        <v>184</v>
      </c>
      <c r="J33" s="67">
        <v>0</v>
      </c>
    </row>
    <row r="34" spans="1:10">
      <c r="A34" s="68">
        <v>11</v>
      </c>
      <c r="B34" s="69" t="s">
        <v>170</v>
      </c>
      <c r="C34" s="69" t="s">
        <v>169</v>
      </c>
      <c r="D34" s="69">
        <v>140</v>
      </c>
      <c r="E34" s="69">
        <v>213</v>
      </c>
      <c r="F34" s="69">
        <v>73</v>
      </c>
      <c r="G34" s="69">
        <v>144</v>
      </c>
      <c r="H34" s="69">
        <v>171</v>
      </c>
      <c r="I34" s="69" t="s">
        <v>207</v>
      </c>
      <c r="J34" s="70">
        <v>0</v>
      </c>
    </row>
    <row r="35" spans="1:10">
      <c r="A35" s="65">
        <v>12</v>
      </c>
      <c r="B35" s="66" t="s">
        <v>175</v>
      </c>
      <c r="C35" s="66" t="s">
        <v>176</v>
      </c>
      <c r="D35" s="66">
        <v>148</v>
      </c>
      <c r="E35" s="66">
        <v>246</v>
      </c>
      <c r="F35" s="66">
        <v>98</v>
      </c>
      <c r="G35" s="66">
        <v>120</v>
      </c>
      <c r="H35" s="66">
        <v>147</v>
      </c>
      <c r="I35" s="66" t="s">
        <v>162</v>
      </c>
      <c r="J35" s="67">
        <v>0</v>
      </c>
    </row>
    <row r="36" spans="1:10">
      <c r="A36" s="68">
        <v>12</v>
      </c>
      <c r="B36" s="69" t="s">
        <v>177</v>
      </c>
      <c r="C36" s="69" t="s">
        <v>178</v>
      </c>
      <c r="D36" s="69">
        <v>175</v>
      </c>
      <c r="E36" s="69">
        <v>287</v>
      </c>
      <c r="F36" s="69">
        <v>112</v>
      </c>
      <c r="G36" s="69">
        <v>120</v>
      </c>
      <c r="H36" s="69">
        <v>147</v>
      </c>
      <c r="I36" s="69" t="s">
        <v>162</v>
      </c>
      <c r="J36" s="70">
        <v>0</v>
      </c>
    </row>
    <row r="37" spans="1:10">
      <c r="A37" s="68">
        <v>12</v>
      </c>
      <c r="B37" s="69" t="s">
        <v>201</v>
      </c>
      <c r="C37" s="69" t="s">
        <v>202</v>
      </c>
      <c r="D37" s="69">
        <v>0</v>
      </c>
      <c r="E37" s="69">
        <v>54</v>
      </c>
      <c r="F37" s="69">
        <v>54</v>
      </c>
      <c r="G37" s="69">
        <v>120</v>
      </c>
      <c r="H37" s="69">
        <v>147</v>
      </c>
      <c r="I37" s="69" t="s">
        <v>184</v>
      </c>
      <c r="J37" s="70">
        <v>0</v>
      </c>
    </row>
    <row r="38" spans="1:10">
      <c r="A38" s="65">
        <v>13</v>
      </c>
      <c r="B38" s="66" t="s">
        <v>179</v>
      </c>
      <c r="C38" s="66" t="s">
        <v>171</v>
      </c>
      <c r="D38" s="66">
        <v>180</v>
      </c>
      <c r="E38" s="66">
        <v>280</v>
      </c>
      <c r="F38" s="66">
        <v>100</v>
      </c>
      <c r="G38" s="66">
        <v>106</v>
      </c>
      <c r="H38" s="66">
        <v>133</v>
      </c>
      <c r="I38" s="66" t="s">
        <v>162</v>
      </c>
      <c r="J38" s="67">
        <v>0</v>
      </c>
    </row>
    <row r="39" spans="1:10">
      <c r="A39" s="65">
        <v>13</v>
      </c>
      <c r="B39" s="66" t="s">
        <v>203</v>
      </c>
      <c r="C39" s="66" t="s">
        <v>188</v>
      </c>
      <c r="D39" s="66">
        <v>0</v>
      </c>
      <c r="E39" s="66">
        <v>75</v>
      </c>
      <c r="F39" s="66">
        <v>75</v>
      </c>
      <c r="G39" s="66">
        <v>106</v>
      </c>
      <c r="H39" s="66">
        <v>133</v>
      </c>
      <c r="I39" s="66" t="s">
        <v>184</v>
      </c>
      <c r="J39" s="67">
        <v>0</v>
      </c>
    </row>
    <row r="40" spans="1:10">
      <c r="A40" s="65">
        <v>13</v>
      </c>
      <c r="B40" s="66" t="s">
        <v>222</v>
      </c>
      <c r="C40" s="66" t="s">
        <v>168</v>
      </c>
      <c r="D40" s="66">
        <v>35</v>
      </c>
      <c r="E40" s="66">
        <v>220</v>
      </c>
      <c r="F40" s="66">
        <v>185</v>
      </c>
      <c r="G40" s="66">
        <v>106</v>
      </c>
      <c r="H40" s="66">
        <v>133</v>
      </c>
      <c r="I40" s="66" t="s">
        <v>207</v>
      </c>
      <c r="J40" s="67">
        <v>0</v>
      </c>
    </row>
    <row r="41" spans="1:10">
      <c r="A41" s="68">
        <v>14</v>
      </c>
      <c r="B41" s="69" t="s">
        <v>180</v>
      </c>
      <c r="C41" s="69" t="s">
        <v>181</v>
      </c>
      <c r="D41" s="69">
        <v>180</v>
      </c>
      <c r="E41" s="69">
        <v>278</v>
      </c>
      <c r="F41" s="69">
        <v>98</v>
      </c>
      <c r="G41" s="69">
        <v>111</v>
      </c>
      <c r="H41" s="69">
        <v>138</v>
      </c>
      <c r="I41" s="69" t="s">
        <v>162</v>
      </c>
      <c r="J41" s="70">
        <v>0</v>
      </c>
    </row>
    <row r="42" spans="1:10">
      <c r="A42" s="68">
        <v>14</v>
      </c>
      <c r="B42" s="69" t="s">
        <v>199</v>
      </c>
      <c r="C42" s="69" t="s">
        <v>200</v>
      </c>
      <c r="D42" s="69">
        <v>0</v>
      </c>
      <c r="E42" s="69">
        <v>81</v>
      </c>
      <c r="F42" s="69">
        <v>81</v>
      </c>
      <c r="G42" s="69">
        <v>111</v>
      </c>
      <c r="H42" s="69">
        <v>138</v>
      </c>
      <c r="I42" s="69" t="s">
        <v>184</v>
      </c>
      <c r="J42" s="70">
        <v>0</v>
      </c>
    </row>
    <row r="43" spans="1:10">
      <c r="A43" s="68">
        <v>14</v>
      </c>
      <c r="B43" s="69" t="s">
        <v>220</v>
      </c>
      <c r="C43" s="69" t="s">
        <v>179</v>
      </c>
      <c r="D43" s="69">
        <v>93</v>
      </c>
      <c r="E43" s="69">
        <v>191</v>
      </c>
      <c r="F43" s="69">
        <v>98</v>
      </c>
      <c r="G43" s="69">
        <v>111</v>
      </c>
      <c r="H43" s="69">
        <v>138</v>
      </c>
      <c r="I43" s="69" t="s">
        <v>207</v>
      </c>
      <c r="J43" s="70">
        <v>0</v>
      </c>
    </row>
    <row r="44" spans="1:10">
      <c r="A44" s="65">
        <v>15</v>
      </c>
      <c r="B44" s="66" t="s">
        <v>164</v>
      </c>
      <c r="C44" s="66" t="s">
        <v>163</v>
      </c>
      <c r="D44" s="66">
        <v>190</v>
      </c>
      <c r="E44" s="66">
        <v>269</v>
      </c>
      <c r="F44" s="66">
        <v>79</v>
      </c>
      <c r="G44" s="66">
        <v>144</v>
      </c>
      <c r="H44" s="66">
        <v>171</v>
      </c>
      <c r="I44" s="66" t="s">
        <v>162</v>
      </c>
      <c r="J44" s="67">
        <v>0</v>
      </c>
    </row>
    <row r="45" spans="1:10">
      <c r="A45" s="65">
        <v>15</v>
      </c>
      <c r="B45" s="66" t="s">
        <v>204</v>
      </c>
      <c r="C45" s="66" t="s">
        <v>190</v>
      </c>
      <c r="D45" s="66">
        <v>25</v>
      </c>
      <c r="E45" s="66">
        <v>118</v>
      </c>
      <c r="F45" s="66">
        <v>93</v>
      </c>
      <c r="G45" s="66">
        <v>144</v>
      </c>
      <c r="H45" s="66">
        <v>171</v>
      </c>
      <c r="I45" s="66" t="s">
        <v>184</v>
      </c>
      <c r="J45" s="67">
        <v>0</v>
      </c>
    </row>
    <row r="46" spans="1:10">
      <c r="A46" s="71">
        <v>15</v>
      </c>
      <c r="B46" s="72" t="s">
        <v>179</v>
      </c>
      <c r="C46" s="72" t="s">
        <v>218</v>
      </c>
      <c r="D46" s="72">
        <v>165</v>
      </c>
      <c r="E46" s="72">
        <v>286</v>
      </c>
      <c r="F46" s="72">
        <v>121</v>
      </c>
      <c r="G46" s="72">
        <v>144</v>
      </c>
      <c r="H46" s="72">
        <v>171</v>
      </c>
      <c r="I46" s="72" t="s">
        <v>207</v>
      </c>
      <c r="J46" s="73">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
  <sheetViews>
    <sheetView topLeftCell="A28" workbookViewId="0">
      <selection activeCell="J46" sqref="J46"/>
    </sheetView>
  </sheetViews>
  <sheetFormatPr defaultRowHeight="15"/>
  <cols>
    <col min="1" max="1" width="15.7109375" customWidth="1"/>
    <col min="4" max="4" width="9.140625" customWidth="1"/>
  </cols>
  <sheetData>
    <row r="1" spans="1:15">
      <c r="A1" t="s">
        <v>92</v>
      </c>
      <c r="B1" s="103" t="s">
        <v>93</v>
      </c>
      <c r="C1" s="103"/>
      <c r="D1" s="100" t="s">
        <v>94</v>
      </c>
      <c r="E1" s="100"/>
      <c r="F1" s="58" t="s">
        <v>48</v>
      </c>
      <c r="G1" s="103" t="s">
        <v>95</v>
      </c>
      <c r="H1" s="103"/>
      <c r="I1" s="59" t="s">
        <v>48</v>
      </c>
      <c r="J1" s="100" t="s">
        <v>96</v>
      </c>
      <c r="K1" s="100"/>
      <c r="L1" s="99" t="s">
        <v>68</v>
      </c>
      <c r="M1" s="99"/>
    </row>
    <row r="2" spans="1:15">
      <c r="A2" s="32" t="s">
        <v>97</v>
      </c>
      <c r="B2" s="33" t="s">
        <v>38</v>
      </c>
      <c r="C2" s="33" t="s">
        <v>39</v>
      </c>
      <c r="D2" s="34" t="s">
        <v>40</v>
      </c>
      <c r="E2" s="34" t="s">
        <v>41</v>
      </c>
      <c r="F2" s="35" t="s">
        <v>98</v>
      </c>
      <c r="G2" s="33" t="s">
        <v>90</v>
      </c>
      <c r="H2" s="33" t="s">
        <v>91</v>
      </c>
      <c r="I2" s="33" t="s">
        <v>99</v>
      </c>
      <c r="J2" s="34" t="s">
        <v>100</v>
      </c>
      <c r="K2" s="34" t="s">
        <v>101</v>
      </c>
      <c r="L2" s="8" t="s">
        <v>44</v>
      </c>
      <c r="M2" s="8" t="s">
        <v>45</v>
      </c>
    </row>
    <row r="3" spans="1:15" ht="15.75" thickBot="1">
      <c r="A3" t="s">
        <v>0</v>
      </c>
      <c r="B3">
        <v>50.6008</v>
      </c>
      <c r="C3">
        <v>0</v>
      </c>
      <c r="D3">
        <v>50.508699999999997</v>
      </c>
      <c r="E3">
        <v>35.523200000000003</v>
      </c>
      <c r="F3" s="36">
        <f>SQRT((B3-D3)^2+(C3-E3)^2)</f>
        <v>35.5233193923372</v>
      </c>
      <c r="G3">
        <v>67.275700000000001</v>
      </c>
      <c r="H3">
        <v>52.5</v>
      </c>
      <c r="I3" s="36">
        <f>SQRT((D3-G3)^2+(E3-H3)^2)</f>
        <v>23.860930980160855</v>
      </c>
      <c r="J3" t="s">
        <v>54</v>
      </c>
      <c r="K3" t="s">
        <v>54</v>
      </c>
      <c r="L3" s="8">
        <v>55.58</v>
      </c>
      <c r="M3" s="8">
        <v>40.65795552215662</v>
      </c>
    </row>
    <row r="4" spans="1:15" ht="15.75" thickTop="1">
      <c r="F4">
        <f>ROUNDUP((F3-5)/(B15/60/60),0)</f>
        <v>245</v>
      </c>
    </row>
    <row r="5" spans="1:15">
      <c r="B5" s="99" t="s">
        <v>102</v>
      </c>
      <c r="C5" s="99"/>
      <c r="D5" s="99"/>
      <c r="E5" s="99"/>
      <c r="F5" s="99"/>
      <c r="G5" s="99"/>
      <c r="H5" s="99"/>
      <c r="I5" s="37" t="s">
        <v>49</v>
      </c>
      <c r="J5" s="7" t="s">
        <v>103</v>
      </c>
      <c r="K5" s="7"/>
      <c r="L5" s="7"/>
      <c r="M5" s="7"/>
      <c r="N5" s="102" t="s">
        <v>111</v>
      </c>
      <c r="O5" s="102"/>
    </row>
    <row r="6" spans="1:15">
      <c r="A6" s="32" t="s">
        <v>104</v>
      </c>
      <c r="B6" s="20" t="s">
        <v>38</v>
      </c>
      <c r="C6" s="20" t="s">
        <v>39</v>
      </c>
      <c r="D6" s="20" t="s">
        <v>40</v>
      </c>
      <c r="E6" s="20" t="s">
        <v>41</v>
      </c>
      <c r="F6" s="20" t="s">
        <v>48</v>
      </c>
      <c r="G6" s="20" t="s">
        <v>42</v>
      </c>
      <c r="H6" s="20" t="s">
        <v>43</v>
      </c>
      <c r="I6" s="38" t="str">
        <f>"@"&amp;450</f>
        <v>@450</v>
      </c>
      <c r="J6" s="17" t="s">
        <v>44</v>
      </c>
      <c r="K6" s="17" t="s">
        <v>45</v>
      </c>
      <c r="L6" s="17" t="s">
        <v>44</v>
      </c>
      <c r="M6" s="17" t="s">
        <v>45</v>
      </c>
      <c r="N6" s="42" t="s">
        <v>48</v>
      </c>
      <c r="O6" s="42" t="str">
        <f>"Time"&amp;"@450"</f>
        <v>Time@450</v>
      </c>
    </row>
    <row r="7" spans="1:15">
      <c r="A7" t="s">
        <v>105</v>
      </c>
      <c r="B7">
        <v>50.6008</v>
      </c>
      <c r="C7">
        <v>0</v>
      </c>
      <c r="D7">
        <v>50.508699999999997</v>
      </c>
      <c r="E7">
        <v>35.523200000000003</v>
      </c>
      <c r="F7" s="39">
        <f>SQRT((B7-D7)^2+(C7-E7)^2)</f>
        <v>35.5233193923372</v>
      </c>
      <c r="G7" s="6">
        <f>(E7-C7)/(D7-B7)</f>
        <v>-385.70249728555052</v>
      </c>
      <c r="H7" s="6">
        <f>C7-G7*B7</f>
        <v>19516.854924646686</v>
      </c>
      <c r="I7">
        <f>ROUNDUP(F7/(B15/60/60),0)</f>
        <v>285</v>
      </c>
      <c r="J7" s="5"/>
      <c r="K7">
        <f>G7*J7+H7</f>
        <v>19516.854924646686</v>
      </c>
      <c r="L7" s="40">
        <f>(M7-H7)/G7</f>
        <v>50.596133190703547</v>
      </c>
      <c r="M7" s="40">
        <v>1.8</v>
      </c>
      <c r="N7" s="39">
        <f>SQRT((L8-L7)^2+(M8-M7)^2)</f>
        <v>12.900043356486741</v>
      </c>
      <c r="O7">
        <f>ROUNDUP((N7)/(B15/60/60),0)</f>
        <v>104</v>
      </c>
    </row>
    <row r="8" spans="1:15">
      <c r="A8" t="s">
        <v>106</v>
      </c>
      <c r="B8">
        <v>50.508699999999997</v>
      </c>
      <c r="C8">
        <v>35.523200000000003</v>
      </c>
      <c r="D8">
        <v>67.275700000000001</v>
      </c>
      <c r="E8">
        <v>52.5</v>
      </c>
      <c r="F8" s="39">
        <f>SQRT((B8-L3)^2+(C8-M3)^2)</f>
        <v>7.2169105552388464</v>
      </c>
      <c r="G8" s="6">
        <f>(E8-C8)/(D8-B8)</f>
        <v>1.0125126737042998</v>
      </c>
      <c r="H8" s="6">
        <f>C8-G8*B8</f>
        <v>-15.617498882328363</v>
      </c>
      <c r="I8">
        <f>ROUNDUP(F8/(B15/60/60),0)</f>
        <v>58</v>
      </c>
      <c r="J8" s="5"/>
      <c r="K8">
        <f>G8*J8+H8</f>
        <v>-15.617498882328363</v>
      </c>
      <c r="L8" s="40">
        <f>(M8-H7)/G7</f>
        <v>50.562687724078913</v>
      </c>
      <c r="M8" s="40">
        <v>14.7</v>
      </c>
      <c r="N8" s="39">
        <f>SQRT((L3-L8)^2+(M3-M8)^2)</f>
        <v>26.438397783609538</v>
      </c>
      <c r="O8">
        <f>ROUNDUP((N8)/(B15/60/60),0)</f>
        <v>212</v>
      </c>
    </row>
    <row r="9" spans="1:15" ht="15.75" thickBot="1">
      <c r="A9" s="41" t="s">
        <v>107</v>
      </c>
      <c r="B9" s="41"/>
      <c r="C9" s="41"/>
      <c r="D9" s="41"/>
      <c r="E9" s="41"/>
      <c r="F9" s="41">
        <f>F8+F7</f>
        <v>42.740229947576047</v>
      </c>
      <c r="G9" s="41"/>
      <c r="H9" s="41"/>
      <c r="I9" s="41">
        <f t="shared" ref="I9" si="0">ROUNDUP(F9/(450/60/60),0)</f>
        <v>342</v>
      </c>
      <c r="J9" s="41"/>
      <c r="K9" s="41"/>
      <c r="L9" s="41"/>
      <c r="M9" s="41"/>
      <c r="N9" s="41"/>
      <c r="O9" s="41"/>
    </row>
    <row r="10" spans="1:15" ht="15.75" thickTop="1"/>
    <row r="11" spans="1:15">
      <c r="A11" t="s">
        <v>69</v>
      </c>
      <c r="B11" t="str">
        <f ca="1">CHAR(RANDBETWEEN(65,90))&amp;CHAR(RANDBETWEEN(65,90))&amp;CHAR(RANDBETWEEN(65,90))&amp;(RANDBETWEEN(0,9)&amp;(RANDBETWEEN(0,9)))</f>
        <v>QUS52</v>
      </c>
    </row>
    <row r="12" spans="1:15">
      <c r="A12" t="s">
        <v>34</v>
      </c>
      <c r="B12" t="s">
        <v>46</v>
      </c>
    </row>
    <row r="13" spans="1:15">
      <c r="A13" t="s">
        <v>50</v>
      </c>
      <c r="B13">
        <v>8</v>
      </c>
    </row>
    <row r="14" spans="1:15">
      <c r="A14" t="s">
        <v>108</v>
      </c>
      <c r="B14">
        <v>180</v>
      </c>
    </row>
    <row r="15" spans="1:15">
      <c r="A15" t="s">
        <v>36</v>
      </c>
      <c r="B15">
        <v>450</v>
      </c>
    </row>
    <row r="16" spans="1:15">
      <c r="A16" t="s">
        <v>109</v>
      </c>
      <c r="B16" t="str">
        <f>IF(B14&lt;I8,"LastLeg",IF(B14&lt;(I8+I7),"SecondLast","EvenLater"))</f>
        <v>SecondLast</v>
      </c>
    </row>
    <row r="17" spans="1:23">
      <c r="A17" t="s">
        <v>35</v>
      </c>
      <c r="B17">
        <v>0</v>
      </c>
    </row>
    <row r="18" spans="1:23" ht="15.75" customHeight="1">
      <c r="A18" t="s">
        <v>37</v>
      </c>
      <c r="B18">
        <v>39000</v>
      </c>
    </row>
    <row r="19" spans="1:23" ht="15.75" customHeight="1">
      <c r="A19" t="s">
        <v>129</v>
      </c>
      <c r="B19" t="s">
        <v>132</v>
      </c>
    </row>
    <row r="20" spans="1:23">
      <c r="A20" t="s">
        <v>110</v>
      </c>
      <c r="B20" s="6" t="str">
        <f ca="1">"&lt;atc:aircraft atc:idx="&amp;CHAR(34)&amp;B11&amp;CHAR(34)&amp;" "&amp;"atc:type="&amp;CHAR(34)&amp;B12&amp;CHAR(34)&amp;"&gt;"&amp;
"&lt;atc:start&gt;"&amp;0&amp;"&lt;/atc:start&gt;"&amp;
"&lt;atc:altitude&gt;"&amp;B18&amp;"&lt;/atc:altitude&gt;"&amp;
"&lt;atc:velocity&gt;"&amp;B15&amp;"&lt;/atc:velocity&gt;"&amp;
"&lt;atc:flightpath&gt;"&amp;
IF(
B16 = "LastLeg","&lt;atc:point atc:x="&amp;"'"&amp;L8&amp;"'"&amp;" "&amp;"atc:y="&amp;"'"&amp;M8&amp;"'"&amp;"/&gt;"&amp;
"&lt;atc:point atc:x="&amp;"'"&amp;D8&amp;"'"&amp;" "&amp;"atc:y="&amp;"'"&amp;E8&amp;"'"&amp;"/&gt;"&amp;
"&lt;/atc:flightpath&gt;"&amp;
"&lt;atc:handoffKey&gt;"&amp;B19&amp;"&lt;/atc:handoffKey&gt;"&amp;
"&lt;/atc:aircraft&gt;", IF(
B16 = "SecondLast","&lt;atc:point atc:x="&amp;"'"&amp;L7&amp;"'"&amp;" "&amp;"atc:y="&amp;"'"&amp;M7&amp;"'"&amp;"/&gt;"&amp;
"&lt;atc:point atc:x="&amp;"'"&amp;B8&amp;"'"&amp;" "&amp;"atc:y="&amp;"'"&amp;C8&amp;"'"&amp;"/&gt;"&amp;
"&lt;atc:point atc:x="&amp;"'"&amp;D8&amp;"'"&amp;" "&amp;"atc:y="&amp;"'"&amp;E8&amp;"'"&amp;"/&gt;"&amp;
"&lt;/atc:flightpath&gt;"&amp;
"&lt;atc:handoffKey&gt;"&amp;B19&amp;"&lt;/atc:handoffKey&gt;"&amp;
"&lt;/atc:aircraft&gt;","Manual Required"))</f>
        <v>&lt;atc:aircraft atc:idx="QUS52" atc:type="A320"&gt;&lt;atc:start&gt;0&lt;/atc:start&gt;&lt;atc:altitude&gt;39000&lt;/atc:altitude&gt;&lt;atc:velocity&gt;450&lt;/atc:velocity&gt;&lt;atc:flightpath&gt;&lt;atc:point atc:x='50.5961331907035' atc:y='1.8'/&gt;&lt;atc:point atc:x='50.5087' atc:y='35.5232'/&gt;&lt;atc:point atc:x='67.2757' atc:y='52.5'/&gt;&lt;/atc:flightpath&gt;&lt;atc:handoffKey&gt;key_up&lt;/atc:handoffKey&gt;&lt;/atc:aircraft&gt;</v>
      </c>
    </row>
    <row r="23" spans="1:23">
      <c r="A23" s="102" t="s">
        <v>89</v>
      </c>
      <c r="B23" s="102"/>
      <c r="C23" s="102"/>
      <c r="D23" s="102"/>
      <c r="E23" s="102"/>
      <c r="F23" s="102"/>
      <c r="G23" s="102"/>
      <c r="H23" s="102"/>
      <c r="I23" s="102"/>
      <c r="J23" s="102"/>
      <c r="K23" s="102"/>
      <c r="L23" s="102"/>
      <c r="M23" s="102"/>
      <c r="N23" s="98" t="s">
        <v>31</v>
      </c>
      <c r="O23" s="98"/>
      <c r="P23" s="98"/>
      <c r="Q23" s="98"/>
      <c r="R23" s="99" t="s">
        <v>68</v>
      </c>
      <c r="S23" s="99"/>
      <c r="T23" s="9"/>
      <c r="U23" s="9"/>
      <c r="V23" s="1" t="s">
        <v>32</v>
      </c>
      <c r="W23" s="2" t="s">
        <v>70</v>
      </c>
    </row>
    <row r="24" spans="1:23">
      <c r="A24" s="2" t="s">
        <v>33</v>
      </c>
      <c r="B24" s="2" t="s">
        <v>34</v>
      </c>
      <c r="C24" s="2" t="s">
        <v>50</v>
      </c>
      <c r="D24" s="2" t="s">
        <v>35</v>
      </c>
      <c r="E24" s="2" t="s">
        <v>129</v>
      </c>
      <c r="F24" s="2" t="s">
        <v>36</v>
      </c>
      <c r="G24" s="2" t="s">
        <v>37</v>
      </c>
      <c r="H24" s="2" t="s">
        <v>38</v>
      </c>
      <c r="I24" s="2" t="s">
        <v>39</v>
      </c>
      <c r="J24" s="2" t="s">
        <v>40</v>
      </c>
      <c r="K24" s="2" t="s">
        <v>41</v>
      </c>
      <c r="L24" s="2" t="s">
        <v>42</v>
      </c>
      <c r="M24" s="2" t="s">
        <v>43</v>
      </c>
      <c r="N24" s="3" t="s">
        <v>44</v>
      </c>
      <c r="O24" s="3" t="s">
        <v>45</v>
      </c>
      <c r="P24" s="4" t="s">
        <v>44</v>
      </c>
      <c r="Q24" s="4" t="s">
        <v>45</v>
      </c>
      <c r="R24" s="8" t="s">
        <v>44</v>
      </c>
      <c r="S24" s="8" t="s">
        <v>45</v>
      </c>
      <c r="T24" s="2" t="s">
        <v>48</v>
      </c>
      <c r="U24" s="2" t="s">
        <v>49</v>
      </c>
    </row>
    <row r="25" spans="1:23">
      <c r="A25" t="str">
        <f ca="1">CHAR(RANDBETWEEN(65,90))&amp;CHAR(RANDBETWEEN(65,90))&amp;CHAR(RANDBETWEEN(65,90))&amp;(RANDBETWEEN(0,9)&amp;(RANDBETWEEN(0,9)))</f>
        <v>OUV56</v>
      </c>
      <c r="B25" t="s">
        <v>46</v>
      </c>
      <c r="C25">
        <v>4</v>
      </c>
      <c r="D25">
        <v>0</v>
      </c>
      <c r="E25" t="s">
        <v>130</v>
      </c>
      <c r="F25">
        <v>470</v>
      </c>
      <c r="G25">
        <v>40000</v>
      </c>
      <c r="H25">
        <v>0</v>
      </c>
      <c r="I25">
        <v>17.569500000000001</v>
      </c>
      <c r="J25">
        <v>70</v>
      </c>
      <c r="K25">
        <v>18.8871</v>
      </c>
      <c r="L25">
        <f>(K25-I25)/(J25-H25)</f>
        <v>1.8822857142857124E-2</v>
      </c>
      <c r="M25">
        <f>I25-L25*H25</f>
        <v>17.569500000000001</v>
      </c>
      <c r="N25" s="5">
        <v>34</v>
      </c>
      <c r="O25">
        <f>L25*N25+M25</f>
        <v>18.209477142857143</v>
      </c>
      <c r="P25">
        <v>47.5</v>
      </c>
      <c r="Q25" s="5">
        <f>L25*N25+M25</f>
        <v>18.209477142857143</v>
      </c>
      <c r="R25" s="8">
        <v>60</v>
      </c>
      <c r="S25" s="8">
        <v>18.698871428571429</v>
      </c>
      <c r="T25">
        <f>SQRT((P25-N25)^2+(Q25-O25)^2)</f>
        <v>13.5</v>
      </c>
      <c r="U25">
        <f>ROUNDUP(T25/(F25/60/60),0)</f>
        <v>104</v>
      </c>
      <c r="V25" s="6" t="str">
        <f ca="1">"&lt;atc:aircraft atc:idx="&amp;CHAR(34)&amp;A25&amp;CHAR(34)&amp;" "&amp;"atc:type="&amp;CHAR(34)&amp;B25&amp;CHAR(34)&amp;"&gt;"&amp;
"&lt;atc:start&gt;"&amp;D25&amp;"&lt;/atc:start&gt;"&amp;
"&lt;atc:altitude&gt;"&amp;G25&amp;"&lt;/atc:altitude&gt;"&amp;
"&lt;atc:velocity&gt;"&amp;F25&amp;"&lt;/atc:velocity&gt;"&amp;
"&lt;atc:flightpath&gt;"&amp;
"&lt;atc:point atc:x="&amp;"'"&amp;N25&amp;"'"&amp;" "&amp;"atc:y="&amp;"'"&amp;O25&amp;"'"&amp;"/&gt;"&amp;
"&lt;atc:point atc:x="&amp;"'"&amp;J25&amp;"'"&amp;" "&amp;"atc:y="&amp;"'"&amp;K25&amp;"'"&amp;"/&gt;"&amp;
"&lt;/atc:flightpath&gt;"&amp;
"&lt;atc:handoffKey&gt;"&amp;E25&amp;"&lt;/atc:handoffKey&gt;"&amp;
"&lt;/atc:aircraft&gt;"</f>
        <v>&lt;atc:aircraft atc:idx="OUV56" atc:type="A320"&gt;&lt;atc:start&gt;0&lt;/atc:start&gt;&lt;atc:altitude&gt;40000&lt;/atc:altitude&gt;&lt;atc:velocity&gt;470&lt;/atc:velocity&gt;&lt;atc:flightpath&gt;&lt;atc:point atc:x='34' atc:y='18.2094771428571'/&gt;&lt;atc:point atc:x='70' atc:y='18.8871'/&gt;&lt;/atc:flightpath&gt;&lt;atc:handoffKey&gt;key_right&lt;/atc:handoffKey&gt;&lt;/atc:aircraft&gt;</v>
      </c>
      <c r="W25" t="str">
        <f>"&lt;atc:point atc:x="&amp;"'"&amp;N25&amp;"'"&amp;" "&amp;"atc:y="&amp;"'"&amp;O25&amp;"'"&amp;"/&gt;"&amp;
"&lt;atc:point atc:x="&amp;"'"&amp;J25&amp;"'"&amp;" "&amp;"atc:y="&amp;"'"&amp;K25&amp;"'"&amp;"/&gt;"</f>
        <v>&lt;atc:point atc:x='34' atc:y='18.2094771428571'/&gt;&lt;atc:point atc:x='70' atc:y='18.8871'/&gt;</v>
      </c>
    </row>
    <row r="32" spans="1:23">
      <c r="F32">
        <v>90</v>
      </c>
      <c r="G32">
        <v>150</v>
      </c>
    </row>
    <row r="33" spans="1:6">
      <c r="C33" t="s">
        <v>231</v>
      </c>
      <c r="D33" t="s">
        <v>232</v>
      </c>
      <c r="E33" t="s">
        <v>233</v>
      </c>
    </row>
    <row r="34" spans="1:6">
      <c r="A34">
        <v>91</v>
      </c>
      <c r="B34">
        <f>A34-90</f>
        <v>1</v>
      </c>
      <c r="C34">
        <f>COUNTIF(B34:B48,"&lt;20")</f>
        <v>5</v>
      </c>
      <c r="D34">
        <f>COUNTIF(B34:B48,"&lt;40")-COUNTIF(B34:B48,"&lt;20")</f>
        <v>5</v>
      </c>
      <c r="E34">
        <f>COUNTIF(B34:B48,"&gt;40")</f>
        <v>5</v>
      </c>
      <c r="F34">
        <v>60</v>
      </c>
    </row>
    <row r="35" spans="1:6">
      <c r="A35">
        <v>95</v>
      </c>
      <c r="B35">
        <f t="shared" ref="B35:B49" si="1">A35-90</f>
        <v>5</v>
      </c>
    </row>
    <row r="36" spans="1:6">
      <c r="A36">
        <v>96</v>
      </c>
      <c r="B36">
        <f t="shared" si="1"/>
        <v>6</v>
      </c>
    </row>
    <row r="37" spans="1:6">
      <c r="A37">
        <v>96</v>
      </c>
      <c r="B37">
        <f t="shared" si="1"/>
        <v>6</v>
      </c>
    </row>
    <row r="38" spans="1:6">
      <c r="A38">
        <v>106</v>
      </c>
      <c r="B38">
        <f t="shared" si="1"/>
        <v>16</v>
      </c>
    </row>
    <row r="39" spans="1:6">
      <c r="A39">
        <v>111</v>
      </c>
      <c r="B39">
        <f t="shared" si="1"/>
        <v>21</v>
      </c>
    </row>
    <row r="40" spans="1:6">
      <c r="A40">
        <v>120</v>
      </c>
      <c r="B40">
        <f t="shared" si="1"/>
        <v>30</v>
      </c>
    </row>
    <row r="41" spans="1:6">
      <c r="A41">
        <v>120</v>
      </c>
      <c r="B41">
        <f t="shared" si="1"/>
        <v>30</v>
      </c>
    </row>
    <row r="42" spans="1:6">
      <c r="A42">
        <v>123</v>
      </c>
      <c r="B42">
        <f t="shared" si="1"/>
        <v>33</v>
      </c>
    </row>
    <row r="43" spans="1:6">
      <c r="A43">
        <v>123</v>
      </c>
      <c r="B43">
        <f t="shared" si="1"/>
        <v>33</v>
      </c>
    </row>
    <row r="44" spans="1:6">
      <c r="A44">
        <v>133</v>
      </c>
      <c r="B44">
        <f t="shared" si="1"/>
        <v>43</v>
      </c>
    </row>
    <row r="45" spans="1:6">
      <c r="A45">
        <v>142</v>
      </c>
      <c r="B45">
        <f t="shared" si="1"/>
        <v>52</v>
      </c>
    </row>
    <row r="46" spans="1:6">
      <c r="A46">
        <v>144</v>
      </c>
      <c r="B46">
        <f t="shared" si="1"/>
        <v>54</v>
      </c>
    </row>
    <row r="47" spans="1:6">
      <c r="A47">
        <v>144</v>
      </c>
      <c r="B47">
        <f t="shared" si="1"/>
        <v>54</v>
      </c>
    </row>
    <row r="48" spans="1:6">
      <c r="A48">
        <v>148</v>
      </c>
      <c r="B48">
        <f t="shared" si="1"/>
        <v>58</v>
      </c>
    </row>
    <row r="49" spans="1:2">
      <c r="A49">
        <v>138</v>
      </c>
      <c r="B49">
        <f t="shared" si="1"/>
        <v>48</v>
      </c>
    </row>
  </sheetData>
  <mergeCells count="10">
    <mergeCell ref="B1:C1"/>
    <mergeCell ref="D1:E1"/>
    <mergeCell ref="G1:H1"/>
    <mergeCell ref="J1:K1"/>
    <mergeCell ref="L1:M1"/>
    <mergeCell ref="B5:H5"/>
    <mergeCell ref="N5:O5"/>
    <mergeCell ref="A23:M23"/>
    <mergeCell ref="N23:Q23"/>
    <mergeCell ref="R23:S23"/>
  </mergeCells>
  <conditionalFormatting sqref="K7:K8">
    <cfRule type="expression" dxfId="0" priority="1">
      <formula>"$J$9+$J$10=0"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H17" sqref="H17"/>
    </sheetView>
  </sheetViews>
  <sheetFormatPr defaultRowHeight="15"/>
  <cols>
    <col min="7" max="7" width="30.5703125" bestFit="1" customWidth="1"/>
    <col min="8" max="8" width="70.7109375" bestFit="1" customWidth="1"/>
  </cols>
  <sheetData>
    <row r="1" spans="1:8">
      <c r="A1" t="s">
        <v>50</v>
      </c>
      <c r="B1" t="s">
        <v>328</v>
      </c>
      <c r="C1" t="s">
        <v>329</v>
      </c>
      <c r="D1" t="s">
        <v>225</v>
      </c>
      <c r="E1" t="s">
        <v>226</v>
      </c>
    </row>
    <row r="2" spans="1:8">
      <c r="A2">
        <v>1</v>
      </c>
      <c r="B2" t="s">
        <v>240</v>
      </c>
      <c r="C2" t="s">
        <v>241</v>
      </c>
      <c r="D2" s="77">
        <v>0</v>
      </c>
      <c r="E2" s="77">
        <v>38</v>
      </c>
      <c r="G2" s="78"/>
      <c r="H2" s="78"/>
    </row>
    <row r="3" spans="1:8">
      <c r="A3">
        <v>1</v>
      </c>
      <c r="B3" t="s">
        <v>239</v>
      </c>
      <c r="C3" t="s">
        <v>242</v>
      </c>
      <c r="D3" s="77">
        <v>105</v>
      </c>
      <c r="E3" s="77">
        <v>191</v>
      </c>
    </row>
    <row r="4" spans="1:8">
      <c r="A4">
        <v>1</v>
      </c>
      <c r="B4" t="s">
        <v>345</v>
      </c>
      <c r="C4" t="s">
        <v>346</v>
      </c>
      <c r="D4" s="77">
        <v>186</v>
      </c>
      <c r="E4" s="77">
        <v>284</v>
      </c>
    </row>
    <row r="5" spans="1:8">
      <c r="A5">
        <v>2</v>
      </c>
      <c r="B5" t="s">
        <v>256</v>
      </c>
      <c r="C5" t="s">
        <v>286</v>
      </c>
      <c r="D5" s="9">
        <v>0</v>
      </c>
      <c r="E5" s="9">
        <v>123</v>
      </c>
      <c r="F5" s="74"/>
      <c r="G5" s="74"/>
    </row>
    <row r="6" spans="1:8">
      <c r="A6">
        <v>2</v>
      </c>
      <c r="B6" t="s">
        <v>283</v>
      </c>
      <c r="C6" t="s">
        <v>284</v>
      </c>
      <c r="D6" s="9">
        <v>80</v>
      </c>
      <c r="E6" s="9">
        <v>245</v>
      </c>
      <c r="F6" s="74"/>
      <c r="G6" s="74"/>
    </row>
    <row r="7" spans="1:8">
      <c r="A7">
        <v>2</v>
      </c>
      <c r="B7" t="s">
        <v>268</v>
      </c>
      <c r="C7" t="s">
        <v>285</v>
      </c>
      <c r="D7" s="77">
        <v>171</v>
      </c>
      <c r="E7" s="77">
        <v>263</v>
      </c>
      <c r="F7" s="74"/>
      <c r="G7" s="74"/>
    </row>
    <row r="8" spans="1:8">
      <c r="A8">
        <v>3</v>
      </c>
      <c r="B8" t="s">
        <v>291</v>
      </c>
      <c r="C8" t="s">
        <v>292</v>
      </c>
      <c r="D8" s="9">
        <v>0</v>
      </c>
      <c r="E8" s="9">
        <v>49</v>
      </c>
      <c r="F8" s="74"/>
      <c r="G8" s="74"/>
    </row>
    <row r="9" spans="1:8">
      <c r="A9">
        <v>3</v>
      </c>
      <c r="B9" t="s">
        <v>289</v>
      </c>
      <c r="C9" t="s">
        <v>290</v>
      </c>
      <c r="D9" s="9">
        <v>30</v>
      </c>
      <c r="E9" s="9">
        <v>166</v>
      </c>
      <c r="F9" s="74"/>
      <c r="G9" s="74"/>
    </row>
    <row r="10" spans="1:8">
      <c r="A10">
        <v>3</v>
      </c>
      <c r="B10" t="s">
        <v>287</v>
      </c>
      <c r="C10" t="s">
        <v>288</v>
      </c>
      <c r="D10" s="9">
        <v>142</v>
      </c>
      <c r="E10" s="9">
        <v>261</v>
      </c>
      <c r="F10" s="74"/>
      <c r="G10" s="74"/>
    </row>
    <row r="11" spans="1:8">
      <c r="A11">
        <v>4</v>
      </c>
      <c r="B11" t="s">
        <v>297</v>
      </c>
      <c r="C11" t="s">
        <v>298</v>
      </c>
      <c r="D11" s="9">
        <v>0</v>
      </c>
      <c r="E11" s="9">
        <v>44</v>
      </c>
      <c r="F11" s="74"/>
      <c r="G11" s="74"/>
    </row>
    <row r="12" spans="1:8">
      <c r="A12">
        <v>4</v>
      </c>
      <c r="B12" t="s">
        <v>293</v>
      </c>
      <c r="C12" t="s">
        <v>294</v>
      </c>
      <c r="D12" s="9">
        <v>95</v>
      </c>
      <c r="E12" s="9">
        <v>253</v>
      </c>
      <c r="F12" s="74"/>
      <c r="G12" s="74"/>
    </row>
    <row r="13" spans="1:8">
      <c r="A13">
        <v>4</v>
      </c>
      <c r="B13" t="s">
        <v>295</v>
      </c>
      <c r="C13" t="s">
        <v>296</v>
      </c>
      <c r="D13" s="9">
        <v>150</v>
      </c>
      <c r="E13" s="9">
        <v>257</v>
      </c>
      <c r="F13" s="74"/>
      <c r="G13" s="74"/>
    </row>
    <row r="14" spans="1:8">
      <c r="A14">
        <v>5</v>
      </c>
      <c r="B14" t="s">
        <v>301</v>
      </c>
      <c r="C14" t="s">
        <v>302</v>
      </c>
      <c r="D14" s="9">
        <v>0</v>
      </c>
      <c r="E14" s="9">
        <v>90</v>
      </c>
      <c r="F14" s="74"/>
      <c r="G14" s="74"/>
    </row>
    <row r="15" spans="1:8">
      <c r="A15">
        <v>5</v>
      </c>
      <c r="B15" t="s">
        <v>299</v>
      </c>
      <c r="C15" t="s">
        <v>300</v>
      </c>
      <c r="D15" s="9">
        <v>40</v>
      </c>
      <c r="E15" s="9">
        <f>180+42</f>
        <v>222</v>
      </c>
      <c r="F15" s="74"/>
      <c r="G15" s="74"/>
    </row>
    <row r="16" spans="1:8">
      <c r="A16">
        <v>5</v>
      </c>
      <c r="B16" t="s">
        <v>303</v>
      </c>
      <c r="C16" t="s">
        <v>304</v>
      </c>
      <c r="D16" s="9">
        <v>177</v>
      </c>
      <c r="E16" s="9">
        <v>244</v>
      </c>
      <c r="F16" s="74"/>
      <c r="G16" s="74"/>
    </row>
    <row r="17" spans="1:7">
      <c r="A17">
        <v>6</v>
      </c>
      <c r="B17" t="s">
        <v>305</v>
      </c>
      <c r="C17" t="s">
        <v>306</v>
      </c>
      <c r="D17" s="9">
        <v>0</v>
      </c>
      <c r="E17" s="9">
        <v>54</v>
      </c>
      <c r="F17" s="74"/>
      <c r="G17" s="74"/>
    </row>
    <row r="18" spans="1:7">
      <c r="A18">
        <v>6</v>
      </c>
      <c r="B18" t="s">
        <v>307</v>
      </c>
      <c r="C18" t="s">
        <v>308</v>
      </c>
      <c r="D18" s="9">
        <v>85</v>
      </c>
      <c r="E18" s="9">
        <v>260</v>
      </c>
      <c r="F18" s="74"/>
      <c r="G18" s="74"/>
    </row>
    <row r="19" spans="1:7">
      <c r="A19">
        <v>6</v>
      </c>
      <c r="B19" t="s">
        <v>309</v>
      </c>
      <c r="C19" t="s">
        <v>310</v>
      </c>
      <c r="D19" s="9">
        <v>144</v>
      </c>
      <c r="E19" s="9">
        <v>258</v>
      </c>
      <c r="F19" s="74"/>
      <c r="G19" s="74"/>
    </row>
    <row r="20" spans="1:7">
      <c r="A20">
        <v>7</v>
      </c>
      <c r="B20" t="s">
        <v>311</v>
      </c>
      <c r="C20" t="s">
        <v>312</v>
      </c>
      <c r="D20" s="9">
        <v>0</v>
      </c>
      <c r="E20" s="9">
        <v>72</v>
      </c>
      <c r="F20" s="74"/>
      <c r="G20" s="74"/>
    </row>
    <row r="21" spans="1:7">
      <c r="A21">
        <v>7</v>
      </c>
      <c r="B21" t="s">
        <v>315</v>
      </c>
      <c r="C21" t="s">
        <v>316</v>
      </c>
      <c r="D21" s="9">
        <v>100</v>
      </c>
      <c r="E21" s="9">
        <v>208</v>
      </c>
      <c r="F21" s="74"/>
      <c r="G21" s="74"/>
    </row>
    <row r="22" spans="1:7">
      <c r="A22">
        <v>7</v>
      </c>
      <c r="B22" t="s">
        <v>313</v>
      </c>
      <c r="C22" t="s">
        <v>314</v>
      </c>
      <c r="D22" s="9">
        <v>180</v>
      </c>
      <c r="E22" s="9">
        <v>274</v>
      </c>
      <c r="F22" s="74"/>
      <c r="G22" s="74"/>
    </row>
    <row r="23" spans="1:7">
      <c r="A23">
        <v>8</v>
      </c>
      <c r="B23" t="s">
        <v>283</v>
      </c>
      <c r="C23" t="s">
        <v>319</v>
      </c>
      <c r="D23" s="9">
        <v>0</v>
      </c>
      <c r="E23" s="9">
        <v>56</v>
      </c>
      <c r="F23" s="74"/>
      <c r="G23" s="74"/>
    </row>
    <row r="24" spans="1:7">
      <c r="A24">
        <v>8</v>
      </c>
      <c r="B24" t="s">
        <v>317</v>
      </c>
      <c r="C24" t="s">
        <v>318</v>
      </c>
      <c r="D24" s="9">
        <v>25</v>
      </c>
      <c r="E24" s="9">
        <v>223</v>
      </c>
      <c r="F24" s="74"/>
      <c r="G24" s="74"/>
    </row>
    <row r="25" spans="1:7">
      <c r="A25">
        <v>8</v>
      </c>
      <c r="B25" t="s">
        <v>320</v>
      </c>
      <c r="C25" t="s">
        <v>321</v>
      </c>
      <c r="D25" s="9">
        <v>100</v>
      </c>
      <c r="E25" s="9">
        <v>213</v>
      </c>
      <c r="F25" s="74"/>
      <c r="G25" s="74"/>
    </row>
    <row r="26" spans="1:7">
      <c r="A26">
        <v>9</v>
      </c>
      <c r="B26" t="s">
        <v>324</v>
      </c>
      <c r="C26" t="s">
        <v>325</v>
      </c>
      <c r="D26" s="9">
        <v>0</v>
      </c>
      <c r="E26" s="9">
        <v>80</v>
      </c>
      <c r="F26" s="74"/>
      <c r="G26" s="74"/>
    </row>
    <row r="27" spans="1:7">
      <c r="A27">
        <v>9</v>
      </c>
      <c r="B27" t="s">
        <v>326</v>
      </c>
      <c r="C27" t="s">
        <v>327</v>
      </c>
      <c r="D27" s="9">
        <v>100</v>
      </c>
      <c r="E27" s="9">
        <v>288</v>
      </c>
      <c r="F27" s="74"/>
      <c r="G27" s="74"/>
    </row>
    <row r="28" spans="1:7">
      <c r="A28">
        <v>9</v>
      </c>
      <c r="B28" t="s">
        <v>322</v>
      </c>
      <c r="C28" t="s">
        <v>323</v>
      </c>
      <c r="D28" s="9">
        <v>162</v>
      </c>
      <c r="E28" s="9">
        <v>237</v>
      </c>
      <c r="F28" s="74"/>
      <c r="G28" s="74"/>
    </row>
    <row r="29" spans="1:7">
      <c r="A29">
        <v>10</v>
      </c>
      <c r="B29" t="s">
        <v>245</v>
      </c>
      <c r="C29" t="s">
        <v>246</v>
      </c>
      <c r="D29" s="9">
        <v>0</v>
      </c>
      <c r="E29" s="9">
        <v>81</v>
      </c>
      <c r="F29" s="74"/>
      <c r="G29" s="74"/>
    </row>
    <row r="30" spans="1:7">
      <c r="A30">
        <v>10</v>
      </c>
      <c r="B30" t="s">
        <v>243</v>
      </c>
      <c r="C30" t="s">
        <v>244</v>
      </c>
      <c r="D30" s="9">
        <v>75</v>
      </c>
      <c r="E30" s="9">
        <v>183</v>
      </c>
      <c r="F30" s="74"/>
      <c r="G30" s="74"/>
    </row>
    <row r="31" spans="1:7">
      <c r="A31">
        <v>10</v>
      </c>
      <c r="B31" t="s">
        <v>247</v>
      </c>
      <c r="C31" t="s">
        <v>248</v>
      </c>
      <c r="D31" s="9">
        <v>148</v>
      </c>
      <c r="E31" s="9">
        <v>256</v>
      </c>
      <c r="F31" s="74"/>
      <c r="G31" s="74"/>
    </row>
    <row r="32" spans="1:7">
      <c r="A32">
        <v>11</v>
      </c>
      <c r="B32" t="s">
        <v>249</v>
      </c>
      <c r="C32" t="s">
        <v>250</v>
      </c>
      <c r="D32" s="9">
        <v>0</v>
      </c>
      <c r="E32" s="9">
        <v>84</v>
      </c>
      <c r="F32" s="74"/>
      <c r="G32" s="74"/>
    </row>
    <row r="33" spans="1:7">
      <c r="A33">
        <v>11</v>
      </c>
      <c r="B33" t="s">
        <v>251</v>
      </c>
      <c r="C33" t="s">
        <v>252</v>
      </c>
      <c r="D33" s="9">
        <v>140</v>
      </c>
      <c r="E33" s="9">
        <v>213</v>
      </c>
      <c r="F33" s="74"/>
      <c r="G33" s="74"/>
    </row>
    <row r="34" spans="1:7">
      <c r="A34">
        <v>11</v>
      </c>
      <c r="B34" t="s">
        <v>253</v>
      </c>
      <c r="C34" t="s">
        <v>254</v>
      </c>
      <c r="D34" s="9">
        <v>180</v>
      </c>
      <c r="E34" s="9">
        <v>277</v>
      </c>
      <c r="F34" s="74"/>
      <c r="G34" s="74"/>
    </row>
    <row r="35" spans="1:7">
      <c r="A35">
        <v>12</v>
      </c>
      <c r="B35" t="s">
        <v>258</v>
      </c>
      <c r="C35" t="s">
        <v>259</v>
      </c>
      <c r="D35" s="9">
        <v>0</v>
      </c>
      <c r="E35" s="9">
        <v>57</v>
      </c>
      <c r="F35" s="74"/>
      <c r="G35" s="74"/>
    </row>
    <row r="36" spans="1:7">
      <c r="A36">
        <v>12</v>
      </c>
      <c r="B36" t="s">
        <v>250</v>
      </c>
      <c r="C36" t="s">
        <v>257</v>
      </c>
      <c r="D36" s="9">
        <v>105</v>
      </c>
      <c r="E36" s="9">
        <v>204</v>
      </c>
      <c r="F36" s="74"/>
      <c r="G36" s="74"/>
    </row>
    <row r="37" spans="1:7">
      <c r="A37">
        <v>12</v>
      </c>
      <c r="B37" t="s">
        <v>255</v>
      </c>
      <c r="C37" t="s">
        <v>256</v>
      </c>
      <c r="D37" s="9">
        <v>175</v>
      </c>
      <c r="E37" s="9">
        <v>287</v>
      </c>
      <c r="F37" s="74"/>
      <c r="G37" s="74"/>
    </row>
    <row r="38" spans="1:7">
      <c r="A38">
        <v>13</v>
      </c>
      <c r="B38" t="s">
        <v>260</v>
      </c>
      <c r="C38" t="s">
        <v>261</v>
      </c>
      <c r="D38" s="9">
        <v>0</v>
      </c>
      <c r="E38" s="9">
        <v>80</v>
      </c>
      <c r="F38" s="74"/>
      <c r="G38" s="74"/>
    </row>
    <row r="39" spans="1:7">
      <c r="A39">
        <v>13</v>
      </c>
      <c r="B39" t="s">
        <v>262</v>
      </c>
      <c r="C39" t="s">
        <v>263</v>
      </c>
      <c r="D39" s="9">
        <v>35</v>
      </c>
      <c r="E39" s="9">
        <v>220</v>
      </c>
      <c r="F39" s="74"/>
      <c r="G39" s="74"/>
    </row>
    <row r="40" spans="1:7">
      <c r="A40">
        <v>13</v>
      </c>
      <c r="B40" t="s">
        <v>264</v>
      </c>
      <c r="C40" t="s">
        <v>265</v>
      </c>
      <c r="D40" s="9">
        <v>180</v>
      </c>
      <c r="E40" s="9">
        <v>280</v>
      </c>
      <c r="F40" s="74"/>
      <c r="G40" s="74"/>
    </row>
    <row r="41" spans="1:7">
      <c r="A41">
        <v>14</v>
      </c>
      <c r="B41" t="s">
        <v>268</v>
      </c>
      <c r="C41" t="s">
        <v>269</v>
      </c>
      <c r="D41" s="9">
        <v>0</v>
      </c>
      <c r="E41" s="9">
        <v>103</v>
      </c>
      <c r="F41" s="74"/>
      <c r="G41" s="74"/>
    </row>
    <row r="42" spans="1:7">
      <c r="A42">
        <v>14</v>
      </c>
      <c r="B42" t="s">
        <v>270</v>
      </c>
      <c r="C42" t="s">
        <v>271</v>
      </c>
      <c r="D42" s="9">
        <v>75</v>
      </c>
      <c r="E42" s="9">
        <v>191</v>
      </c>
      <c r="F42" s="74"/>
      <c r="G42" s="74"/>
    </row>
    <row r="43" spans="1:7">
      <c r="A43">
        <v>14</v>
      </c>
      <c r="B43" t="s">
        <v>266</v>
      </c>
      <c r="C43" t="s">
        <v>267</v>
      </c>
      <c r="D43" s="9">
        <v>185</v>
      </c>
      <c r="E43" s="9">
        <v>278</v>
      </c>
      <c r="F43" s="74"/>
      <c r="G43" s="74"/>
    </row>
    <row r="44" spans="1:7">
      <c r="A44">
        <v>15</v>
      </c>
      <c r="B44" t="s">
        <v>272</v>
      </c>
      <c r="C44" t="s">
        <v>273</v>
      </c>
      <c r="D44" s="9">
        <v>10</v>
      </c>
      <c r="E44" s="9">
        <v>118</v>
      </c>
      <c r="F44" s="74"/>
      <c r="G44" s="74"/>
    </row>
    <row r="45" spans="1:7">
      <c r="A45">
        <v>15</v>
      </c>
      <c r="B45" t="s">
        <v>276</v>
      </c>
      <c r="C45" t="s">
        <v>277</v>
      </c>
      <c r="D45" s="9">
        <v>128</v>
      </c>
      <c r="E45" s="9">
        <v>254</v>
      </c>
      <c r="F45" s="74"/>
      <c r="G45" s="74"/>
    </row>
    <row r="46" spans="1:7">
      <c r="A46">
        <v>15</v>
      </c>
      <c r="B46" t="s">
        <v>274</v>
      </c>
      <c r="C46" t="s">
        <v>275</v>
      </c>
      <c r="D46" s="9">
        <v>190</v>
      </c>
      <c r="E46" s="9">
        <v>269</v>
      </c>
      <c r="F46" s="74"/>
      <c r="G46" s="74"/>
    </row>
    <row r="47" spans="1:7">
      <c r="A47">
        <v>16</v>
      </c>
      <c r="B47" t="s">
        <v>279</v>
      </c>
      <c r="C47" t="s">
        <v>280</v>
      </c>
      <c r="D47" s="9">
        <v>0</v>
      </c>
      <c r="E47" s="9">
        <v>82</v>
      </c>
      <c r="F47" s="74"/>
      <c r="G47" s="74"/>
    </row>
    <row r="48" spans="1:7">
      <c r="A48">
        <v>16</v>
      </c>
      <c r="B48" t="s">
        <v>281</v>
      </c>
      <c r="C48" t="s">
        <v>282</v>
      </c>
      <c r="D48" s="9">
        <v>107</v>
      </c>
      <c r="E48" s="9">
        <v>213</v>
      </c>
    </row>
    <row r="49" spans="1:5">
      <c r="A49">
        <v>16</v>
      </c>
      <c r="B49" t="s">
        <v>275</v>
      </c>
      <c r="C49" t="s">
        <v>278</v>
      </c>
      <c r="D49" s="9">
        <v>192</v>
      </c>
      <c r="E49" s="9">
        <v>273</v>
      </c>
    </row>
  </sheetData>
  <pageMargins left="0.7" right="0.7" top="0.75" bottom="0.75" header="0.3" footer="0.3"/>
  <pageSetup orientation="portrait"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workbookViewId="0">
      <selection activeCell="P13" sqref="P13"/>
    </sheetView>
  </sheetViews>
  <sheetFormatPr defaultRowHeight="15"/>
  <cols>
    <col min="13" max="13" width="19.140625" bestFit="1" customWidth="1"/>
  </cols>
  <sheetData>
    <row r="1" spans="1:19">
      <c r="A1" s="44"/>
      <c r="B1" s="102" t="s">
        <v>123</v>
      </c>
      <c r="C1" s="102"/>
      <c r="D1" s="102"/>
      <c r="E1" s="102"/>
      <c r="F1" s="102"/>
      <c r="G1" s="102"/>
      <c r="H1" s="102"/>
      <c r="I1" s="56" t="s">
        <v>31</v>
      </c>
      <c r="J1" s="56"/>
      <c r="K1" s="56"/>
      <c r="L1" s="56"/>
      <c r="M1" s="56" t="s">
        <v>124</v>
      </c>
      <c r="N1" s="57" t="s">
        <v>68</v>
      </c>
      <c r="O1" s="57"/>
      <c r="P1" s="9"/>
      <c r="Q1" s="9"/>
      <c r="R1" s="1" t="s">
        <v>32</v>
      </c>
      <c r="S1" s="11" t="s">
        <v>70</v>
      </c>
    </row>
    <row r="2" spans="1:19">
      <c r="A2" s="21" t="s">
        <v>0</v>
      </c>
      <c r="B2" s="2" t="s">
        <v>36</v>
      </c>
      <c r="C2" s="2" t="s">
        <v>38</v>
      </c>
      <c r="D2" s="2" t="s">
        <v>39</v>
      </c>
      <c r="E2" s="2" t="s">
        <v>40</v>
      </c>
      <c r="F2" s="2" t="s">
        <v>41</v>
      </c>
      <c r="G2" s="2" t="s">
        <v>42</v>
      </c>
      <c r="H2" s="2" t="s">
        <v>43</v>
      </c>
      <c r="I2" s="3" t="s">
        <v>44</v>
      </c>
      <c r="J2" s="3" t="s">
        <v>45</v>
      </c>
      <c r="K2" s="4" t="s">
        <v>44</v>
      </c>
      <c r="L2" s="4" t="s">
        <v>45</v>
      </c>
      <c r="M2" s="4" t="s">
        <v>125</v>
      </c>
      <c r="N2" s="8" t="s">
        <v>44</v>
      </c>
      <c r="O2" s="8" t="s">
        <v>45</v>
      </c>
      <c r="P2" s="2" t="s">
        <v>48</v>
      </c>
      <c r="Q2" s="2" t="s">
        <v>49</v>
      </c>
      <c r="R2" s="103" t="s">
        <v>72</v>
      </c>
      <c r="S2" s="103"/>
    </row>
    <row r="3" spans="1:19">
      <c r="A3" t="s">
        <v>1</v>
      </c>
      <c r="B3">
        <v>450</v>
      </c>
      <c r="C3">
        <v>70</v>
      </c>
      <c r="D3">
        <v>35.890099999999997</v>
      </c>
      <c r="E3">
        <v>0</v>
      </c>
      <c r="F3">
        <v>34.572499999999998</v>
      </c>
      <c r="G3">
        <f>(F3-D3)/(E3-C3)</f>
        <v>1.8822857142857124E-2</v>
      </c>
      <c r="H3">
        <f>D3-G3*C3</f>
        <v>34.572499999999998</v>
      </c>
      <c r="I3">
        <v>11.5</v>
      </c>
      <c r="J3">
        <f>G3*I3+H3</f>
        <v>34.788962857142856</v>
      </c>
      <c r="K3">
        <f>(L3-H3)/G3</f>
        <v>13.288100000000185</v>
      </c>
      <c r="L3" s="5">
        <v>34.822620008000001</v>
      </c>
      <c r="M3" s="5">
        <v>1</v>
      </c>
      <c r="N3">
        <v>10</v>
      </c>
      <c r="O3">
        <v>34.760728571428572</v>
      </c>
      <c r="P3">
        <f t="shared" ref="P3:P8" si="0">IF(M3=1,SQRT((N3-I3)^2+(O3-J3)^2),SQRT((N3-K3)^2+(O3-L3)^2))</f>
        <v>1.5002657014308485</v>
      </c>
      <c r="Q3">
        <f>ROUNDUP(P3/(B3/60/60),0)</f>
        <v>13</v>
      </c>
      <c r="R3" t="str">
        <f t="shared" ref="R3:R8" si="1">IF(M3=1,"&lt;atc:point atc:x="&amp;"'"&amp;I3&amp;"'"&amp;" "&amp;"atc:y="&amp;"'"&amp;J3&amp;"'"&amp;"/&gt;"&amp;
"&lt;atc:point atc:x="&amp;"'"&amp;E3&amp;"'"&amp;" "&amp;"atc:y="&amp;"'"&amp;F3&amp;"'"&amp;"/&gt;", IF(M3= 2,"&lt;atc:point atc:x="&amp;"'"&amp;K3&amp;"'"&amp;" "&amp;"atc:y="&amp;"'"&amp;L3&amp;"'"&amp;"/&gt;"&amp;
"&lt;atc:point atc:x="&amp;"'"&amp;E3&amp;"'"&amp;" "&amp;"atc:y="&amp;"'"&amp;F3&amp;"'"&amp;"/&gt;", "ERROR"))</f>
        <v>&lt;atc:point atc:x='11.5' atc:y='34.7889628571429'/&gt;&lt;atc:point atc:x='0' atc:y='34.5725'/&gt;</v>
      </c>
    </row>
    <row r="4" spans="1:19">
      <c r="A4" t="s">
        <v>2</v>
      </c>
      <c r="B4">
        <v>450</v>
      </c>
      <c r="C4">
        <v>0</v>
      </c>
      <c r="D4">
        <v>17.569500000000001</v>
      </c>
      <c r="E4">
        <v>70</v>
      </c>
      <c r="F4">
        <v>18.8871</v>
      </c>
      <c r="G4">
        <f t="shared" ref="G4:G8" si="2">(F4-D4)/(E4-C4)</f>
        <v>1.8822857142857124E-2</v>
      </c>
      <c r="H4">
        <f t="shared" ref="H4:H8" si="3">D4-G4*C4</f>
        <v>17.569500000000001</v>
      </c>
      <c r="I4">
        <v>58</v>
      </c>
      <c r="J4">
        <f t="shared" ref="J4:J8" si="4">G4*I4+H4</f>
        <v>18.661225714285713</v>
      </c>
      <c r="K4">
        <f t="shared" ref="K4:K8" si="5">(L4-H4)/G4</f>
        <v>916.60473630844047</v>
      </c>
      <c r="L4" s="5">
        <v>34.822620008000001</v>
      </c>
      <c r="M4" s="5">
        <v>1</v>
      </c>
      <c r="N4">
        <v>60</v>
      </c>
      <c r="O4">
        <v>18.698871428571429</v>
      </c>
      <c r="P4">
        <f t="shared" si="0"/>
        <v>2.0003542685744646</v>
      </c>
      <c r="Q4">
        <f t="shared" ref="Q4:Q8" si="6">ROUNDUP(P4/(B4/60/60),0)</f>
        <v>17</v>
      </c>
      <c r="R4" t="str">
        <f t="shared" si="1"/>
        <v>&lt;atc:point atc:x='58' atc:y='18.6612257142857'/&gt;&lt;atc:point atc:x='70' atc:y='18.8871'/&gt;</v>
      </c>
    </row>
    <row r="5" spans="1:19">
      <c r="A5" t="s">
        <v>3</v>
      </c>
      <c r="B5">
        <v>450</v>
      </c>
      <c r="C5">
        <v>50.508699999999997</v>
      </c>
      <c r="D5">
        <v>35.523200000000003</v>
      </c>
      <c r="E5">
        <v>67.275700000000001</v>
      </c>
      <c r="F5">
        <v>52.5</v>
      </c>
      <c r="G5">
        <f t="shared" si="2"/>
        <v>1.0125126737042998</v>
      </c>
      <c r="H5">
        <f t="shared" si="3"/>
        <v>-15.617498882328363</v>
      </c>
      <c r="I5">
        <v>53</v>
      </c>
      <c r="J5">
        <f t="shared" si="4"/>
        <v>38.045672823999524</v>
      </c>
      <c r="K5">
        <f t="shared" si="5"/>
        <v>49.816777804659061</v>
      </c>
      <c r="L5" s="5">
        <v>34.822620008000001</v>
      </c>
      <c r="M5" s="5">
        <v>1</v>
      </c>
      <c r="N5">
        <v>55.58</v>
      </c>
      <c r="O5">
        <v>40.65795552215662</v>
      </c>
      <c r="P5">
        <f t="shared" si="0"/>
        <v>3.6715692687311381</v>
      </c>
      <c r="Q5">
        <f t="shared" si="6"/>
        <v>30</v>
      </c>
      <c r="R5" t="str">
        <f t="shared" si="1"/>
        <v>&lt;atc:point atc:x='53' atc:y='38.0456728239995'/&gt;&lt;atc:point atc:x='67.2757' atc:y='52.5'/&gt;</v>
      </c>
    </row>
    <row r="6" spans="1:19">
      <c r="A6" t="s">
        <v>4</v>
      </c>
      <c r="B6">
        <v>450</v>
      </c>
      <c r="C6">
        <v>14.3025</v>
      </c>
      <c r="D6">
        <v>34.841700000000003</v>
      </c>
      <c r="E6">
        <v>14.3025</v>
      </c>
      <c r="F6">
        <v>0</v>
      </c>
      <c r="G6" t="s">
        <v>51</v>
      </c>
      <c r="H6" t="s">
        <v>51</v>
      </c>
      <c r="I6">
        <v>14.3025</v>
      </c>
      <c r="J6">
        <v>12.1</v>
      </c>
      <c r="K6">
        <v>14.3025</v>
      </c>
      <c r="L6" s="5"/>
      <c r="M6" s="5">
        <v>1</v>
      </c>
      <c r="N6">
        <v>14.3025</v>
      </c>
      <c r="O6">
        <v>9</v>
      </c>
      <c r="P6">
        <f t="shared" si="0"/>
        <v>3.0999999999999996</v>
      </c>
      <c r="Q6">
        <f t="shared" si="6"/>
        <v>25</v>
      </c>
      <c r="R6" t="str">
        <f t="shared" si="1"/>
        <v>&lt;atc:point atc:x='14.3025' atc:y='12.1'/&gt;&lt;atc:point atc:x='14.3025' atc:y='0'/&gt;</v>
      </c>
    </row>
    <row r="7" spans="1:19">
      <c r="A7" t="s">
        <v>5</v>
      </c>
      <c r="B7">
        <v>450</v>
      </c>
      <c r="C7">
        <v>24.968599999999999</v>
      </c>
      <c r="D7">
        <v>35.042499999999997</v>
      </c>
      <c r="E7">
        <v>16.901399999999999</v>
      </c>
      <c r="F7">
        <v>52.5</v>
      </c>
      <c r="G7">
        <f t="shared" si="2"/>
        <v>-2.1640098175327256</v>
      </c>
      <c r="H7">
        <f t="shared" si="3"/>
        <v>89.074795530047609</v>
      </c>
      <c r="I7">
        <v>22.1</v>
      </c>
      <c r="J7">
        <f t="shared" si="4"/>
        <v>41.250178562574369</v>
      </c>
      <c r="K7">
        <f t="shared" si="5"/>
        <v>25.070207668421158</v>
      </c>
      <c r="L7" s="5">
        <v>34.822620008000001</v>
      </c>
      <c r="M7" s="5">
        <v>1</v>
      </c>
      <c r="N7">
        <v>20.88</v>
      </c>
      <c r="O7">
        <v>43.890270539964298</v>
      </c>
      <c r="P7">
        <f t="shared" si="0"/>
        <v>2.9083475805134902</v>
      </c>
      <c r="Q7">
        <f t="shared" si="6"/>
        <v>24</v>
      </c>
      <c r="R7" t="str">
        <f t="shared" si="1"/>
        <v>&lt;atc:point atc:x='22.1' atc:y='41.2501785625744'/&gt;&lt;atc:point atc:x='16.9014' atc:y='52.5'/&gt;</v>
      </c>
    </row>
    <row r="8" spans="1:19">
      <c r="A8" t="s">
        <v>6</v>
      </c>
      <c r="B8">
        <v>450</v>
      </c>
      <c r="C8">
        <v>23.700700000000001</v>
      </c>
      <c r="D8">
        <v>18.015599999999999</v>
      </c>
      <c r="E8">
        <v>23.711500000000001</v>
      </c>
      <c r="F8">
        <v>0</v>
      </c>
      <c r="G8">
        <f t="shared" si="2"/>
        <v>-1668.1111111111575</v>
      </c>
      <c r="H8">
        <f t="shared" si="3"/>
        <v>39553.41661111221</v>
      </c>
      <c r="I8">
        <v>23.705502952944371</v>
      </c>
      <c r="J8">
        <f t="shared" si="4"/>
        <v>10.003740827349247</v>
      </c>
      <c r="K8">
        <f t="shared" si="5"/>
        <v>23.704306234596682</v>
      </c>
      <c r="L8" s="5">
        <v>12</v>
      </c>
      <c r="M8" s="5">
        <v>2</v>
      </c>
      <c r="N8">
        <v>23.706104675947511</v>
      </c>
      <c r="O8">
        <v>9</v>
      </c>
      <c r="P8">
        <f t="shared" si="0"/>
        <v>3.0000005390651667</v>
      </c>
      <c r="Q8">
        <f t="shared" si="6"/>
        <v>25</v>
      </c>
      <c r="R8" t="str">
        <f t="shared" si="1"/>
        <v>&lt;atc:point atc:x='23.7043062345967' atc:y='12'/&gt;&lt;atc:point atc:x='23.7115' atc:y='0'/&gt;</v>
      </c>
    </row>
    <row r="13" spans="1:19">
      <c r="I13">
        <v>11.394190200986499</v>
      </c>
      <c r="J13">
        <v>34.786971214411693</v>
      </c>
    </row>
    <row r="14" spans="1:19">
      <c r="I14">
        <v>58.876284024115471</v>
      </c>
      <c r="J14">
        <v>18.677719883288319</v>
      </c>
    </row>
    <row r="15" spans="1:19">
      <c r="I15">
        <v>54.516785937874253</v>
      </c>
      <c r="J15">
        <v>39.581437809393677</v>
      </c>
    </row>
    <row r="16" spans="1:19">
      <c r="I16">
        <v>14.3025</v>
      </c>
      <c r="J16">
        <v>10.754416757963076</v>
      </c>
    </row>
    <row r="17" spans="9:10">
      <c r="I17">
        <v>21.3</v>
      </c>
      <c r="J17">
        <v>42.98138641660055</v>
      </c>
    </row>
    <row r="18" spans="9:10">
      <c r="I18">
        <v>23.705502952944371</v>
      </c>
      <c r="J18">
        <v>10.003740827351672</v>
      </c>
    </row>
  </sheetData>
  <mergeCells count="2">
    <mergeCell ref="R2:S2"/>
    <mergeCell ref="B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9"/>
  <sheetViews>
    <sheetView topLeftCell="A19" zoomScaleNormal="100" workbookViewId="0">
      <selection activeCell="N75" sqref="N75"/>
    </sheetView>
  </sheetViews>
  <sheetFormatPr defaultRowHeight="15"/>
  <sheetData>
    <row r="1" spans="1:7">
      <c r="A1" s="9" t="s">
        <v>50</v>
      </c>
      <c r="B1" s="9" t="s">
        <v>141</v>
      </c>
      <c r="C1" s="9" t="s">
        <v>34</v>
      </c>
      <c r="D1" s="9" t="s">
        <v>69</v>
      </c>
      <c r="E1" s="9" t="s">
        <v>330</v>
      </c>
      <c r="F1" s="9"/>
    </row>
    <row r="2" spans="1:7">
      <c r="A2" s="91" t="s">
        <v>381</v>
      </c>
      <c r="B2" s="19">
        <v>120</v>
      </c>
      <c r="C2" s="19" t="s">
        <v>331</v>
      </c>
      <c r="D2" s="19" t="str">
        <f>A2&amp;C2</f>
        <v>01SS</v>
      </c>
      <c r="E2" s="19" t="s">
        <v>336</v>
      </c>
      <c r="F2" s="19"/>
      <c r="G2" t="str">
        <f>"&lt;atc:trial atc:idx='"&amp;D2&amp;"ID"&amp;"' atc:param='default' atc:map='map1' atc:sky="&amp;CHAR(34)&amp;D2&amp;CHAR(34)&amp;" atc:ui='ui001' atc:notify_missed_acceptance='false' atc:notify_missed_handoff='false' atc:disable_callout_rotation='true'&gt;"&amp;"&lt;atc:timeEvent&gt;300&lt;/atc:timeEvent&gt;"&amp;" &lt;!--No Interruption Condition--&gt;"&amp;"&lt;atc:info_box atc:x='0' atc:y='0' atc:font='Courier New' atc:font_size='50' atc:font_colour='blue' atc:border='true'&gt;"&amp;"Primary Scenario&lt;/atc:info_box&gt;&lt;/atc:trial&gt;"</f>
        <v>&lt;atc:trial atc:idx='01SSID' atc:param='default' atc:map='map1' atc:sky="01SS"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3" spans="1:7">
      <c r="A3" s="91" t="s">
        <v>382</v>
      </c>
      <c r="B3" s="19">
        <v>142</v>
      </c>
      <c r="C3" s="19" t="s">
        <v>331</v>
      </c>
      <c r="D3" s="19" t="str">
        <f t="shared" ref="D3:D66" si="0">A3&amp;C3</f>
        <v>02SS</v>
      </c>
      <c r="E3" s="19" t="s">
        <v>336</v>
      </c>
      <c r="F3" s="19"/>
      <c r="G3" t="str">
        <f t="shared" ref="G3:G65" si="1">"&lt;atc:trial atc:idx='"&amp;D3&amp;"ID"&amp;"' atc:param='default' atc:map='map1' atc:sky="&amp;CHAR(34)&amp;D3&amp;CHAR(34)&amp;" atc:ui='ui001' atc:notify_missed_acceptance='false' atc:notify_missed_handoff='false' atc:disable_callout_rotation='true'&gt;"&amp;"&lt;atc:timeEvent&gt;300&lt;/atc:timeEvent&gt;"&amp;" &lt;!--No Interruption Condition--&gt;"&amp;"&lt;atc:info_box atc:x='0' atc:y='0' atc:font='Courier New' atc:font_size='50' atc:font_colour='blue' atc:border='true'&gt;"&amp;"Primary Scenario&lt;/atc:info_box&gt;&lt;/atc:trial&gt;"</f>
        <v>&lt;atc:trial atc:idx='02SSID' atc:param='default' atc:map='map1' atc:sky="02SS"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4" spans="1:7">
      <c r="A4" s="91" t="s">
        <v>383</v>
      </c>
      <c r="B4" s="19">
        <v>95</v>
      </c>
      <c r="C4" s="19" t="s">
        <v>331</v>
      </c>
      <c r="D4" s="19" t="str">
        <f t="shared" si="0"/>
        <v>03SS</v>
      </c>
      <c r="E4" s="19" t="s">
        <v>336</v>
      </c>
      <c r="F4" s="19"/>
      <c r="G4" t="str">
        <f t="shared" si="1"/>
        <v>&lt;atc:trial atc:idx='03SSID' atc:param='default' atc:map='map1' atc:sky="03SS"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5" spans="1:7">
      <c r="A5" s="91" t="s">
        <v>384</v>
      </c>
      <c r="B5" s="19">
        <v>96</v>
      </c>
      <c r="C5" s="19" t="s">
        <v>331</v>
      </c>
      <c r="D5" s="19" t="str">
        <f t="shared" si="0"/>
        <v>04SS</v>
      </c>
      <c r="E5" s="19" t="s">
        <v>336</v>
      </c>
      <c r="F5" s="19"/>
      <c r="G5" t="str">
        <f t="shared" si="1"/>
        <v>&lt;atc:trial atc:idx='04SSID' atc:param='default' atc:map='map1' atc:sky="04SS"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6" spans="1:7">
      <c r="A6" s="91" t="s">
        <v>385</v>
      </c>
      <c r="B6" s="19">
        <v>148</v>
      </c>
      <c r="C6" s="19" t="s">
        <v>331</v>
      </c>
      <c r="D6" s="19" t="str">
        <f t="shared" si="0"/>
        <v>05SS</v>
      </c>
      <c r="E6" s="19" t="s">
        <v>336</v>
      </c>
      <c r="F6" s="19"/>
      <c r="G6" t="str">
        <f t="shared" si="1"/>
        <v>&lt;atc:trial atc:idx='05SSID' atc:param='default' atc:map='map1' atc:sky="05SS"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7" spans="1:7">
      <c r="A7" s="91" t="s">
        <v>386</v>
      </c>
      <c r="B7" s="19">
        <v>96</v>
      </c>
      <c r="C7" s="19" t="s">
        <v>331</v>
      </c>
      <c r="D7" s="19" t="str">
        <f t="shared" si="0"/>
        <v>06SS</v>
      </c>
      <c r="E7" s="19" t="s">
        <v>336</v>
      </c>
      <c r="F7" s="19"/>
      <c r="G7" t="str">
        <f t="shared" si="1"/>
        <v>&lt;atc:trial atc:idx='06SSID' atc:param='default' atc:map='map1' atc:sky="06SS"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8" spans="1:7">
      <c r="A8" s="91" t="s">
        <v>387</v>
      </c>
      <c r="B8" s="19">
        <v>123</v>
      </c>
      <c r="C8" s="19" t="s">
        <v>331</v>
      </c>
      <c r="D8" s="19" t="str">
        <f t="shared" si="0"/>
        <v>07SS</v>
      </c>
      <c r="E8" s="19" t="s">
        <v>336</v>
      </c>
      <c r="F8" s="19"/>
      <c r="G8" t="str">
        <f t="shared" si="1"/>
        <v>&lt;atc:trial atc:idx='07SSID' atc:param='default' atc:map='map1' atc:sky="07SS"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9" spans="1:7">
      <c r="A9" s="91" t="s">
        <v>388</v>
      </c>
      <c r="B9" s="19">
        <v>91</v>
      </c>
      <c r="C9" s="19" t="s">
        <v>331</v>
      </c>
      <c r="D9" s="19" t="str">
        <f t="shared" si="0"/>
        <v>08SS</v>
      </c>
      <c r="E9" s="19" t="s">
        <v>336</v>
      </c>
      <c r="F9" s="19"/>
      <c r="G9" t="str">
        <f t="shared" si="1"/>
        <v>&lt;atc:trial atc:idx='08SSID' atc:param='default' atc:map='map1' atc:sky="08SS"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10" spans="1:7">
      <c r="A10" s="91" t="s">
        <v>389</v>
      </c>
      <c r="B10" s="19">
        <v>133</v>
      </c>
      <c r="C10" s="19" t="s">
        <v>331</v>
      </c>
      <c r="D10" s="19" t="str">
        <f t="shared" si="0"/>
        <v>09SS</v>
      </c>
      <c r="E10" s="19" t="s">
        <v>336</v>
      </c>
      <c r="F10" s="19"/>
      <c r="G10" t="str">
        <f t="shared" si="1"/>
        <v>&lt;atc:trial atc:idx='09SSID' atc:param='default' atc:map='map1' atc:sky="09SS"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11" spans="1:7">
      <c r="A11" s="91">
        <v>10</v>
      </c>
      <c r="B11" s="19">
        <v>123</v>
      </c>
      <c r="C11" s="19" t="s">
        <v>331</v>
      </c>
      <c r="D11" s="19" t="str">
        <f t="shared" si="0"/>
        <v>10SS</v>
      </c>
      <c r="E11" s="19" t="s">
        <v>336</v>
      </c>
      <c r="F11" s="19"/>
      <c r="G11" t="str">
        <f t="shared" si="1"/>
        <v>&lt;atc:trial atc:idx='10SSID' atc:param='default' atc:map='map1' atc:sky="10SS"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12" spans="1:7">
      <c r="A12" s="91">
        <v>11</v>
      </c>
      <c r="B12" s="19">
        <v>144</v>
      </c>
      <c r="C12" s="19" t="s">
        <v>331</v>
      </c>
      <c r="D12" s="19" t="str">
        <f t="shared" si="0"/>
        <v>11SS</v>
      </c>
      <c r="E12" s="19" t="s">
        <v>336</v>
      </c>
      <c r="F12" s="19"/>
      <c r="G12" t="str">
        <f t="shared" si="1"/>
        <v>&lt;atc:trial atc:idx='11SSID' atc:param='default' atc:map='map1' atc:sky="11SS"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13" spans="1:7">
      <c r="A13" s="91">
        <v>12</v>
      </c>
      <c r="B13" s="19">
        <v>120</v>
      </c>
      <c r="C13" s="19" t="s">
        <v>331</v>
      </c>
      <c r="D13" s="19" t="str">
        <f t="shared" si="0"/>
        <v>12SS</v>
      </c>
      <c r="E13" s="19" t="s">
        <v>336</v>
      </c>
      <c r="F13" s="19"/>
      <c r="G13" t="str">
        <f t="shared" si="1"/>
        <v>&lt;atc:trial atc:idx='12SSID' atc:param='default' atc:map='map1' atc:sky="12SS"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14" spans="1:7">
      <c r="A14" s="91">
        <v>13</v>
      </c>
      <c r="B14" s="19">
        <v>106</v>
      </c>
      <c r="C14" s="19" t="s">
        <v>331</v>
      </c>
      <c r="D14" s="19" t="str">
        <f t="shared" si="0"/>
        <v>13SS</v>
      </c>
      <c r="E14" s="19" t="s">
        <v>336</v>
      </c>
      <c r="F14" s="19"/>
      <c r="G14" t="str">
        <f t="shared" si="1"/>
        <v>&lt;atc:trial atc:idx='13SSID' atc:param='default' atc:map='map1' atc:sky="13SS"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15" spans="1:7">
      <c r="A15" s="91">
        <v>14</v>
      </c>
      <c r="B15" s="19">
        <v>111</v>
      </c>
      <c r="C15" s="19" t="s">
        <v>331</v>
      </c>
      <c r="D15" s="19" t="str">
        <f t="shared" si="0"/>
        <v>14SS</v>
      </c>
      <c r="E15" s="19" t="s">
        <v>336</v>
      </c>
      <c r="F15" s="19"/>
      <c r="G15" t="str">
        <f t="shared" si="1"/>
        <v>&lt;atc:trial atc:idx='14SSID' atc:param='default' atc:map='map1' atc:sky="14SS"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16" spans="1:7">
      <c r="A16" s="91">
        <v>15</v>
      </c>
      <c r="B16" s="19">
        <v>144</v>
      </c>
      <c r="C16" s="19" t="s">
        <v>331</v>
      </c>
      <c r="D16" s="19" t="str">
        <f t="shared" si="0"/>
        <v>15SS</v>
      </c>
      <c r="E16" s="19" t="s">
        <v>336</v>
      </c>
      <c r="F16" s="19"/>
      <c r="G16" t="str">
        <f t="shared" si="1"/>
        <v>&lt;atc:trial atc:idx='15SSID' atc:param='default' atc:map='map1' atc:sky="15SS"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17" spans="1:7">
      <c r="A17" s="91">
        <v>16</v>
      </c>
      <c r="B17" s="19">
        <v>138</v>
      </c>
      <c r="C17" s="19" t="s">
        <v>331</v>
      </c>
      <c r="D17" s="19" t="str">
        <f t="shared" si="0"/>
        <v>16SS</v>
      </c>
      <c r="E17" s="19" t="s">
        <v>336</v>
      </c>
      <c r="F17" s="19"/>
      <c r="G17" t="str">
        <f t="shared" si="1"/>
        <v>&lt;atc:trial atc:idx='16SSID' atc:param='default' atc:map='map1' atc:sky="16SS"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18" spans="1:7">
      <c r="A18" s="92" t="s">
        <v>381</v>
      </c>
      <c r="B18" s="34">
        <v>120</v>
      </c>
      <c r="C18" s="34" t="s">
        <v>332</v>
      </c>
      <c r="D18" s="34" t="str">
        <f t="shared" si="0"/>
        <v>01SL</v>
      </c>
      <c r="E18" s="34" t="s">
        <v>336</v>
      </c>
      <c r="F18" s="34"/>
      <c r="G18" t="str">
        <f t="shared" si="1"/>
        <v>&lt;atc:trial atc:idx='01SLID' atc:param='default' atc:map='map1' atc:sky="01SL"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19" spans="1:7">
      <c r="A19" s="92" t="s">
        <v>382</v>
      </c>
      <c r="B19" s="34">
        <v>142</v>
      </c>
      <c r="C19" s="34" t="s">
        <v>332</v>
      </c>
      <c r="D19" s="34" t="str">
        <f t="shared" si="0"/>
        <v>02SL</v>
      </c>
      <c r="E19" s="34" t="s">
        <v>336</v>
      </c>
      <c r="F19" s="34"/>
      <c r="G19" t="str">
        <f t="shared" si="1"/>
        <v>&lt;atc:trial atc:idx='02SLID' atc:param='default' atc:map='map1' atc:sky="02SL"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20" spans="1:7">
      <c r="A20" s="92" t="s">
        <v>383</v>
      </c>
      <c r="B20" s="34">
        <v>95</v>
      </c>
      <c r="C20" s="34" t="s">
        <v>332</v>
      </c>
      <c r="D20" s="34" t="str">
        <f t="shared" si="0"/>
        <v>03SL</v>
      </c>
      <c r="E20" s="34" t="s">
        <v>336</v>
      </c>
      <c r="F20" s="34"/>
      <c r="G20" t="str">
        <f t="shared" si="1"/>
        <v>&lt;atc:trial atc:idx='03SLID' atc:param='default' atc:map='map1' atc:sky="03SL"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21" spans="1:7">
      <c r="A21" s="92" t="s">
        <v>384</v>
      </c>
      <c r="B21" s="34">
        <v>96</v>
      </c>
      <c r="C21" s="34" t="s">
        <v>332</v>
      </c>
      <c r="D21" s="34" t="str">
        <f t="shared" si="0"/>
        <v>04SL</v>
      </c>
      <c r="E21" s="34" t="s">
        <v>336</v>
      </c>
      <c r="F21" s="34"/>
      <c r="G21" t="str">
        <f t="shared" si="1"/>
        <v>&lt;atc:trial atc:idx='04SLID' atc:param='default' atc:map='map1' atc:sky="04SL"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22" spans="1:7">
      <c r="A22" s="92" t="s">
        <v>385</v>
      </c>
      <c r="B22" s="34">
        <v>148</v>
      </c>
      <c r="C22" s="34" t="s">
        <v>332</v>
      </c>
      <c r="D22" s="34" t="str">
        <f t="shared" si="0"/>
        <v>05SL</v>
      </c>
      <c r="E22" s="34" t="s">
        <v>336</v>
      </c>
      <c r="F22" s="34"/>
      <c r="G22" t="str">
        <f t="shared" si="1"/>
        <v>&lt;atc:trial atc:idx='05SLID' atc:param='default' atc:map='map1' atc:sky="05SL"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23" spans="1:7">
      <c r="A23" s="92" t="s">
        <v>386</v>
      </c>
      <c r="B23" s="34">
        <v>96</v>
      </c>
      <c r="C23" s="34" t="s">
        <v>332</v>
      </c>
      <c r="D23" s="34" t="str">
        <f t="shared" si="0"/>
        <v>06SL</v>
      </c>
      <c r="E23" s="34" t="s">
        <v>336</v>
      </c>
      <c r="F23" s="34"/>
      <c r="G23" t="str">
        <f t="shared" si="1"/>
        <v>&lt;atc:trial atc:idx='06SLID' atc:param='default' atc:map='map1' atc:sky="06SL"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24" spans="1:7">
      <c r="A24" s="92" t="s">
        <v>387</v>
      </c>
      <c r="B24" s="34">
        <v>123</v>
      </c>
      <c r="C24" s="34" t="s">
        <v>332</v>
      </c>
      <c r="D24" s="34" t="str">
        <f t="shared" si="0"/>
        <v>07SL</v>
      </c>
      <c r="E24" s="34" t="s">
        <v>336</v>
      </c>
      <c r="F24" s="34"/>
      <c r="G24" t="str">
        <f t="shared" si="1"/>
        <v>&lt;atc:trial atc:idx='07SLID' atc:param='default' atc:map='map1' atc:sky="07SL"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25" spans="1:7">
      <c r="A25" s="92" t="s">
        <v>388</v>
      </c>
      <c r="B25" s="34">
        <v>91</v>
      </c>
      <c r="C25" s="34" t="s">
        <v>332</v>
      </c>
      <c r="D25" s="34" t="str">
        <f t="shared" si="0"/>
        <v>08SL</v>
      </c>
      <c r="E25" s="34" t="s">
        <v>336</v>
      </c>
      <c r="F25" s="34"/>
      <c r="G25" t="str">
        <f t="shared" si="1"/>
        <v>&lt;atc:trial atc:idx='08SLID' atc:param='default' atc:map='map1' atc:sky="08SL"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26" spans="1:7">
      <c r="A26" s="92" t="s">
        <v>389</v>
      </c>
      <c r="B26" s="34">
        <v>133</v>
      </c>
      <c r="C26" s="34" t="s">
        <v>332</v>
      </c>
      <c r="D26" s="34" t="str">
        <f t="shared" si="0"/>
        <v>09SL</v>
      </c>
      <c r="E26" s="34" t="s">
        <v>336</v>
      </c>
      <c r="F26" s="34"/>
      <c r="G26" t="str">
        <f t="shared" si="1"/>
        <v>&lt;atc:trial atc:idx='09SLID' atc:param='default' atc:map='map1' atc:sky="09SL"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27" spans="1:7">
      <c r="A27" s="92">
        <v>10</v>
      </c>
      <c r="B27" s="34">
        <v>123</v>
      </c>
      <c r="C27" s="34" t="s">
        <v>332</v>
      </c>
      <c r="D27" s="34" t="str">
        <f t="shared" si="0"/>
        <v>10SL</v>
      </c>
      <c r="E27" s="34" t="s">
        <v>336</v>
      </c>
      <c r="F27" s="34"/>
      <c r="G27" t="str">
        <f t="shared" si="1"/>
        <v>&lt;atc:trial atc:idx='10SLID' atc:param='default' atc:map='map1' atc:sky="10SL"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28" spans="1:7">
      <c r="A28" s="92">
        <v>11</v>
      </c>
      <c r="B28" s="34">
        <v>144</v>
      </c>
      <c r="C28" s="34" t="s">
        <v>332</v>
      </c>
      <c r="D28" s="34" t="str">
        <f t="shared" si="0"/>
        <v>11SL</v>
      </c>
      <c r="E28" s="34" t="s">
        <v>336</v>
      </c>
      <c r="F28" s="34"/>
      <c r="G28" t="str">
        <f t="shared" si="1"/>
        <v>&lt;atc:trial atc:idx='11SLID' atc:param='default' atc:map='map1' atc:sky="11SL"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29" spans="1:7">
      <c r="A29" s="92">
        <v>12</v>
      </c>
      <c r="B29" s="34">
        <v>120</v>
      </c>
      <c r="C29" s="34" t="s">
        <v>332</v>
      </c>
      <c r="D29" s="34" t="str">
        <f t="shared" si="0"/>
        <v>12SL</v>
      </c>
      <c r="E29" s="34" t="s">
        <v>336</v>
      </c>
      <c r="F29" s="34"/>
      <c r="G29" t="str">
        <f t="shared" si="1"/>
        <v>&lt;atc:trial atc:idx='12SLID' atc:param='default' atc:map='map1' atc:sky="12SL"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30" spans="1:7">
      <c r="A30" s="92">
        <v>13</v>
      </c>
      <c r="B30" s="34">
        <v>106</v>
      </c>
      <c r="C30" s="34" t="s">
        <v>332</v>
      </c>
      <c r="D30" s="34" t="str">
        <f t="shared" si="0"/>
        <v>13SL</v>
      </c>
      <c r="E30" s="34" t="s">
        <v>336</v>
      </c>
      <c r="F30" s="34"/>
      <c r="G30" t="str">
        <f t="shared" si="1"/>
        <v>&lt;atc:trial atc:idx='13SLID' atc:param='default' atc:map='map1' atc:sky="13SL"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31" spans="1:7">
      <c r="A31" s="92">
        <v>14</v>
      </c>
      <c r="B31" s="34">
        <v>111</v>
      </c>
      <c r="C31" s="34" t="s">
        <v>332</v>
      </c>
      <c r="D31" s="34" t="str">
        <f t="shared" si="0"/>
        <v>14SL</v>
      </c>
      <c r="E31" s="34" t="s">
        <v>336</v>
      </c>
      <c r="F31" s="34"/>
      <c r="G31" t="str">
        <f t="shared" si="1"/>
        <v>&lt;atc:trial atc:idx='14SLID' atc:param='default' atc:map='map1' atc:sky="14SL"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32" spans="1:7">
      <c r="A32" s="92">
        <v>15</v>
      </c>
      <c r="B32" s="34">
        <v>144</v>
      </c>
      <c r="C32" s="34" t="s">
        <v>332</v>
      </c>
      <c r="D32" s="34" t="str">
        <f t="shared" si="0"/>
        <v>15SL</v>
      </c>
      <c r="E32" s="34" t="s">
        <v>336</v>
      </c>
      <c r="F32" s="34"/>
      <c r="G32" t="str">
        <f t="shared" si="1"/>
        <v>&lt;atc:trial atc:idx='15SLID' atc:param='default' atc:map='map1' atc:sky="15SL"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33" spans="1:7">
      <c r="A33" s="92">
        <v>16</v>
      </c>
      <c r="B33" s="34">
        <v>138</v>
      </c>
      <c r="C33" s="34" t="s">
        <v>332</v>
      </c>
      <c r="D33" s="34" t="str">
        <f t="shared" si="0"/>
        <v>16SL</v>
      </c>
      <c r="E33" s="34" t="s">
        <v>336</v>
      </c>
      <c r="F33" s="34"/>
      <c r="G33" t="str">
        <f t="shared" si="1"/>
        <v>&lt;atc:trial atc:idx='16SLID' atc:param='default' atc:map='map1' atc:sky="16SL"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34" spans="1:7">
      <c r="A34" s="93" t="s">
        <v>381</v>
      </c>
      <c r="B34" s="16">
        <v>120</v>
      </c>
      <c r="C34" s="16" t="s">
        <v>333</v>
      </c>
      <c r="D34" s="16" t="str">
        <f t="shared" si="0"/>
        <v>01LS</v>
      </c>
      <c r="E34" s="16" t="s">
        <v>336</v>
      </c>
      <c r="F34" s="16"/>
      <c r="G34" t="str">
        <f t="shared" si="1"/>
        <v>&lt;atc:trial atc:idx='01LSID' atc:param='default' atc:map='map1' atc:sky="01LS"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35" spans="1:7">
      <c r="A35" s="93" t="s">
        <v>382</v>
      </c>
      <c r="B35" s="16">
        <v>142</v>
      </c>
      <c r="C35" s="16" t="s">
        <v>333</v>
      </c>
      <c r="D35" s="16" t="str">
        <f t="shared" si="0"/>
        <v>02LS</v>
      </c>
      <c r="E35" s="16" t="s">
        <v>336</v>
      </c>
      <c r="F35" s="16"/>
      <c r="G35" t="str">
        <f t="shared" si="1"/>
        <v>&lt;atc:trial atc:idx='02LSID' atc:param='default' atc:map='map1' atc:sky="02LS"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36" spans="1:7">
      <c r="A36" s="93" t="s">
        <v>383</v>
      </c>
      <c r="B36" s="16">
        <v>95</v>
      </c>
      <c r="C36" s="16" t="s">
        <v>333</v>
      </c>
      <c r="D36" s="16" t="str">
        <f t="shared" si="0"/>
        <v>03LS</v>
      </c>
      <c r="E36" s="16" t="s">
        <v>336</v>
      </c>
      <c r="F36" s="16"/>
      <c r="G36" t="str">
        <f t="shared" si="1"/>
        <v>&lt;atc:trial atc:idx='03LSID' atc:param='default' atc:map='map1' atc:sky="03LS"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37" spans="1:7">
      <c r="A37" s="93" t="s">
        <v>384</v>
      </c>
      <c r="B37" s="16">
        <v>96</v>
      </c>
      <c r="C37" s="16" t="s">
        <v>333</v>
      </c>
      <c r="D37" s="16" t="str">
        <f t="shared" si="0"/>
        <v>04LS</v>
      </c>
      <c r="E37" s="16" t="s">
        <v>336</v>
      </c>
      <c r="F37" s="16"/>
      <c r="G37" t="str">
        <f t="shared" si="1"/>
        <v>&lt;atc:trial atc:idx='04LSID' atc:param='default' atc:map='map1' atc:sky="04LS"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38" spans="1:7">
      <c r="A38" s="93" t="s">
        <v>385</v>
      </c>
      <c r="B38" s="16">
        <v>148</v>
      </c>
      <c r="C38" s="16" t="s">
        <v>333</v>
      </c>
      <c r="D38" s="16" t="str">
        <f t="shared" si="0"/>
        <v>05LS</v>
      </c>
      <c r="E38" s="16" t="s">
        <v>336</v>
      </c>
      <c r="F38" s="16"/>
      <c r="G38" t="str">
        <f t="shared" si="1"/>
        <v>&lt;atc:trial atc:idx='05LSID' atc:param='default' atc:map='map1' atc:sky="05LS"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39" spans="1:7">
      <c r="A39" s="93" t="s">
        <v>386</v>
      </c>
      <c r="B39" s="16">
        <v>96</v>
      </c>
      <c r="C39" s="16" t="s">
        <v>333</v>
      </c>
      <c r="D39" s="16" t="str">
        <f t="shared" si="0"/>
        <v>06LS</v>
      </c>
      <c r="E39" s="16" t="s">
        <v>336</v>
      </c>
      <c r="F39" s="16"/>
      <c r="G39" t="str">
        <f t="shared" si="1"/>
        <v>&lt;atc:trial atc:idx='06LSID' atc:param='default' atc:map='map1' atc:sky="06LS"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40" spans="1:7">
      <c r="A40" s="93" t="s">
        <v>387</v>
      </c>
      <c r="B40" s="16">
        <v>123</v>
      </c>
      <c r="C40" s="16" t="s">
        <v>333</v>
      </c>
      <c r="D40" s="16" t="str">
        <f t="shared" si="0"/>
        <v>07LS</v>
      </c>
      <c r="E40" s="16" t="s">
        <v>336</v>
      </c>
      <c r="F40" s="16"/>
      <c r="G40" t="str">
        <f t="shared" si="1"/>
        <v>&lt;atc:trial atc:idx='07LSID' atc:param='default' atc:map='map1' atc:sky="07LS"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41" spans="1:7">
      <c r="A41" s="93" t="s">
        <v>388</v>
      </c>
      <c r="B41" s="16">
        <v>91</v>
      </c>
      <c r="C41" s="16" t="s">
        <v>333</v>
      </c>
      <c r="D41" s="16" t="str">
        <f t="shared" si="0"/>
        <v>08LS</v>
      </c>
      <c r="E41" s="16" t="s">
        <v>336</v>
      </c>
      <c r="F41" s="16"/>
      <c r="G41" t="str">
        <f t="shared" si="1"/>
        <v>&lt;atc:trial atc:idx='08LSID' atc:param='default' atc:map='map1' atc:sky="08LS"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42" spans="1:7">
      <c r="A42" s="93" t="s">
        <v>389</v>
      </c>
      <c r="B42" s="16">
        <v>133</v>
      </c>
      <c r="C42" s="16" t="s">
        <v>333</v>
      </c>
      <c r="D42" s="16" t="str">
        <f t="shared" si="0"/>
        <v>09LS</v>
      </c>
      <c r="E42" s="16" t="s">
        <v>336</v>
      </c>
      <c r="F42" s="16"/>
      <c r="G42" t="str">
        <f t="shared" si="1"/>
        <v>&lt;atc:trial atc:idx='09LSID' atc:param='default' atc:map='map1' atc:sky="09LS"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43" spans="1:7">
      <c r="A43" s="93">
        <v>10</v>
      </c>
      <c r="B43" s="16">
        <v>123</v>
      </c>
      <c r="C43" s="16" t="s">
        <v>333</v>
      </c>
      <c r="D43" s="16" t="str">
        <f t="shared" si="0"/>
        <v>10LS</v>
      </c>
      <c r="E43" s="16" t="s">
        <v>336</v>
      </c>
      <c r="F43" s="16"/>
      <c r="G43" t="str">
        <f t="shared" si="1"/>
        <v>&lt;atc:trial atc:idx='10LSID' atc:param='default' atc:map='map1' atc:sky="10LS"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44" spans="1:7">
      <c r="A44" s="93">
        <v>11</v>
      </c>
      <c r="B44" s="16">
        <v>144</v>
      </c>
      <c r="C44" s="16" t="s">
        <v>333</v>
      </c>
      <c r="D44" s="16" t="str">
        <f t="shared" si="0"/>
        <v>11LS</v>
      </c>
      <c r="E44" s="16" t="s">
        <v>336</v>
      </c>
      <c r="F44" s="16"/>
      <c r="G44" t="str">
        <f t="shared" si="1"/>
        <v>&lt;atc:trial atc:idx='11LSID' atc:param='default' atc:map='map1' atc:sky="11LS"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45" spans="1:7">
      <c r="A45" s="93">
        <v>12</v>
      </c>
      <c r="B45" s="16">
        <v>120</v>
      </c>
      <c r="C45" s="16" t="s">
        <v>333</v>
      </c>
      <c r="D45" s="16" t="str">
        <f t="shared" si="0"/>
        <v>12LS</v>
      </c>
      <c r="E45" s="16" t="s">
        <v>336</v>
      </c>
      <c r="F45" s="16"/>
      <c r="G45" t="str">
        <f t="shared" si="1"/>
        <v>&lt;atc:trial atc:idx='12LSID' atc:param='default' atc:map='map1' atc:sky="12LS"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46" spans="1:7">
      <c r="A46" s="93">
        <v>13</v>
      </c>
      <c r="B46" s="16">
        <v>106</v>
      </c>
      <c r="C46" s="16" t="s">
        <v>333</v>
      </c>
      <c r="D46" s="16" t="str">
        <f t="shared" si="0"/>
        <v>13LS</v>
      </c>
      <c r="E46" s="16" t="s">
        <v>336</v>
      </c>
      <c r="F46" s="16"/>
      <c r="G46" t="str">
        <f t="shared" si="1"/>
        <v>&lt;atc:trial atc:idx='13LSID' atc:param='default' atc:map='map1' atc:sky="13LS"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47" spans="1:7">
      <c r="A47" s="93">
        <v>14</v>
      </c>
      <c r="B47" s="16">
        <v>111</v>
      </c>
      <c r="C47" s="16" t="s">
        <v>333</v>
      </c>
      <c r="D47" s="16" t="str">
        <f t="shared" si="0"/>
        <v>14LS</v>
      </c>
      <c r="E47" s="16" t="s">
        <v>336</v>
      </c>
      <c r="F47" s="16"/>
      <c r="G47" t="str">
        <f t="shared" si="1"/>
        <v>&lt;atc:trial atc:idx='14LSID' atc:param='default' atc:map='map1' atc:sky="14LS"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48" spans="1:7">
      <c r="A48" s="93">
        <v>15</v>
      </c>
      <c r="B48" s="16">
        <v>144</v>
      </c>
      <c r="C48" s="16" t="s">
        <v>333</v>
      </c>
      <c r="D48" s="16" t="str">
        <f t="shared" si="0"/>
        <v>15LS</v>
      </c>
      <c r="E48" s="16" t="s">
        <v>336</v>
      </c>
      <c r="F48" s="16"/>
      <c r="G48" t="str">
        <f t="shared" si="1"/>
        <v>&lt;atc:trial atc:idx='15LSID' atc:param='default' atc:map='map1' atc:sky="15LS"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49" spans="1:7">
      <c r="A49" s="93">
        <v>16</v>
      </c>
      <c r="B49" s="16">
        <v>138</v>
      </c>
      <c r="C49" s="16" t="s">
        <v>333</v>
      </c>
      <c r="D49" s="16" t="str">
        <f t="shared" si="0"/>
        <v>16LS</v>
      </c>
      <c r="E49" s="16" t="s">
        <v>336</v>
      </c>
      <c r="F49" s="16"/>
      <c r="G49" t="str">
        <f t="shared" si="1"/>
        <v>&lt;atc:trial atc:idx='16LSID' atc:param='default' atc:map='map1' atc:sky="16LS"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50" spans="1:7">
      <c r="A50" s="94" t="s">
        <v>381</v>
      </c>
      <c r="B50" s="1">
        <v>120</v>
      </c>
      <c r="C50" s="1" t="s">
        <v>334</v>
      </c>
      <c r="D50" s="1" t="str">
        <f t="shared" si="0"/>
        <v>01LL</v>
      </c>
      <c r="E50" s="1" t="s">
        <v>336</v>
      </c>
      <c r="F50" s="1"/>
      <c r="G50" t="str">
        <f t="shared" si="1"/>
        <v>&lt;atc:trial atc:idx='01LLID' atc:param='default' atc:map='map1' atc:sky="01LL"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51" spans="1:7">
      <c r="A51" s="94" t="s">
        <v>382</v>
      </c>
      <c r="B51" s="1">
        <v>142</v>
      </c>
      <c r="C51" s="1" t="s">
        <v>334</v>
      </c>
      <c r="D51" s="1" t="str">
        <f t="shared" si="0"/>
        <v>02LL</v>
      </c>
      <c r="E51" s="1" t="s">
        <v>336</v>
      </c>
      <c r="F51" s="1"/>
      <c r="G51" t="str">
        <f t="shared" si="1"/>
        <v>&lt;atc:trial atc:idx='02LLID' atc:param='default' atc:map='map1' atc:sky="02LL"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52" spans="1:7">
      <c r="A52" s="94" t="s">
        <v>383</v>
      </c>
      <c r="B52" s="1">
        <v>95</v>
      </c>
      <c r="C52" s="1" t="s">
        <v>334</v>
      </c>
      <c r="D52" s="1" t="str">
        <f t="shared" si="0"/>
        <v>03LL</v>
      </c>
      <c r="E52" s="1" t="s">
        <v>336</v>
      </c>
      <c r="F52" s="1"/>
      <c r="G52" t="str">
        <f t="shared" si="1"/>
        <v>&lt;atc:trial atc:idx='03LLID' atc:param='default' atc:map='map1' atc:sky="03LL"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53" spans="1:7">
      <c r="A53" s="94" t="s">
        <v>384</v>
      </c>
      <c r="B53" s="1">
        <v>96</v>
      </c>
      <c r="C53" s="1" t="s">
        <v>334</v>
      </c>
      <c r="D53" s="1" t="str">
        <f t="shared" si="0"/>
        <v>04LL</v>
      </c>
      <c r="E53" s="1" t="s">
        <v>336</v>
      </c>
      <c r="F53" s="1"/>
      <c r="G53" t="str">
        <f t="shared" si="1"/>
        <v>&lt;atc:trial atc:idx='04LLID' atc:param='default' atc:map='map1' atc:sky="04LL"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54" spans="1:7">
      <c r="A54" s="94" t="s">
        <v>385</v>
      </c>
      <c r="B54" s="1">
        <v>148</v>
      </c>
      <c r="C54" s="1" t="s">
        <v>334</v>
      </c>
      <c r="D54" s="1" t="str">
        <f t="shared" si="0"/>
        <v>05LL</v>
      </c>
      <c r="E54" s="1" t="s">
        <v>336</v>
      </c>
      <c r="F54" s="1"/>
      <c r="G54" t="str">
        <f t="shared" si="1"/>
        <v>&lt;atc:trial atc:idx='05LLID' atc:param='default' atc:map='map1' atc:sky="05LL"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55" spans="1:7">
      <c r="A55" s="94" t="s">
        <v>386</v>
      </c>
      <c r="B55" s="1">
        <v>96</v>
      </c>
      <c r="C55" s="1" t="s">
        <v>334</v>
      </c>
      <c r="D55" s="1" t="str">
        <f t="shared" si="0"/>
        <v>06LL</v>
      </c>
      <c r="E55" s="1" t="s">
        <v>336</v>
      </c>
      <c r="F55" s="1"/>
      <c r="G55" t="str">
        <f t="shared" si="1"/>
        <v>&lt;atc:trial atc:idx='06LLID' atc:param='default' atc:map='map1' atc:sky="06LL"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56" spans="1:7">
      <c r="A56" s="94" t="s">
        <v>387</v>
      </c>
      <c r="B56" s="1">
        <v>123</v>
      </c>
      <c r="C56" s="1" t="s">
        <v>334</v>
      </c>
      <c r="D56" s="1" t="str">
        <f t="shared" si="0"/>
        <v>07LL</v>
      </c>
      <c r="E56" s="1" t="s">
        <v>336</v>
      </c>
      <c r="F56" s="1"/>
      <c r="G56" t="str">
        <f t="shared" si="1"/>
        <v>&lt;atc:trial atc:idx='07LLID' atc:param='default' atc:map='map1' atc:sky="07LL"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57" spans="1:7">
      <c r="A57" s="94" t="s">
        <v>388</v>
      </c>
      <c r="B57" s="1">
        <v>91</v>
      </c>
      <c r="C57" s="1" t="s">
        <v>334</v>
      </c>
      <c r="D57" s="1" t="str">
        <f t="shared" si="0"/>
        <v>08LL</v>
      </c>
      <c r="E57" s="1" t="s">
        <v>336</v>
      </c>
      <c r="F57" s="1"/>
      <c r="G57" t="str">
        <f t="shared" si="1"/>
        <v>&lt;atc:trial atc:idx='08LLID' atc:param='default' atc:map='map1' atc:sky="08LL"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58" spans="1:7">
      <c r="A58" s="94" t="s">
        <v>389</v>
      </c>
      <c r="B58" s="1">
        <v>133</v>
      </c>
      <c r="C58" s="1" t="s">
        <v>334</v>
      </c>
      <c r="D58" s="1" t="str">
        <f t="shared" si="0"/>
        <v>09LL</v>
      </c>
      <c r="E58" s="1" t="s">
        <v>336</v>
      </c>
      <c r="F58" s="1"/>
      <c r="G58" t="str">
        <f t="shared" si="1"/>
        <v>&lt;atc:trial atc:idx='09LLID' atc:param='default' atc:map='map1' atc:sky="09LL"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59" spans="1:7">
      <c r="A59" s="94">
        <v>10</v>
      </c>
      <c r="B59" s="1">
        <v>123</v>
      </c>
      <c r="C59" s="1" t="s">
        <v>334</v>
      </c>
      <c r="D59" s="1" t="str">
        <f t="shared" si="0"/>
        <v>10LL</v>
      </c>
      <c r="E59" s="1" t="s">
        <v>336</v>
      </c>
      <c r="F59" s="1"/>
      <c r="G59" t="str">
        <f t="shared" si="1"/>
        <v>&lt;atc:trial atc:idx='10LLID' atc:param='default' atc:map='map1' atc:sky="10LL"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60" spans="1:7">
      <c r="A60" s="94">
        <v>11</v>
      </c>
      <c r="B60" s="1">
        <v>144</v>
      </c>
      <c r="C60" s="1" t="s">
        <v>334</v>
      </c>
      <c r="D60" s="1" t="str">
        <f t="shared" si="0"/>
        <v>11LL</v>
      </c>
      <c r="E60" s="1" t="s">
        <v>336</v>
      </c>
      <c r="F60" s="1"/>
      <c r="G60" t="str">
        <f t="shared" si="1"/>
        <v>&lt;atc:trial atc:idx='11LLID' atc:param='default' atc:map='map1' atc:sky="11LL"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61" spans="1:7">
      <c r="A61" s="94">
        <v>12</v>
      </c>
      <c r="B61" s="1">
        <v>120</v>
      </c>
      <c r="C61" s="1" t="s">
        <v>334</v>
      </c>
      <c r="D61" s="1" t="str">
        <f t="shared" si="0"/>
        <v>12LL</v>
      </c>
      <c r="E61" s="1" t="s">
        <v>336</v>
      </c>
      <c r="F61" s="1"/>
      <c r="G61" t="str">
        <f t="shared" si="1"/>
        <v>&lt;atc:trial atc:idx='12LLID' atc:param='default' atc:map='map1' atc:sky="12LL"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62" spans="1:7">
      <c r="A62" s="94">
        <v>13</v>
      </c>
      <c r="B62" s="1">
        <v>106</v>
      </c>
      <c r="C62" s="1" t="s">
        <v>334</v>
      </c>
      <c r="D62" s="1" t="str">
        <f t="shared" si="0"/>
        <v>13LL</v>
      </c>
      <c r="E62" s="1" t="s">
        <v>336</v>
      </c>
      <c r="F62" s="1"/>
      <c r="G62" t="str">
        <f t="shared" si="1"/>
        <v>&lt;atc:trial atc:idx='13LLID' atc:param='default' atc:map='map1' atc:sky="13LL"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63" spans="1:7">
      <c r="A63" s="94">
        <v>14</v>
      </c>
      <c r="B63" s="1">
        <v>111</v>
      </c>
      <c r="C63" s="1" t="s">
        <v>334</v>
      </c>
      <c r="D63" s="1" t="str">
        <f t="shared" si="0"/>
        <v>14LL</v>
      </c>
      <c r="E63" s="1" t="s">
        <v>336</v>
      </c>
      <c r="F63" s="1"/>
      <c r="G63" t="str">
        <f t="shared" si="1"/>
        <v>&lt;atc:trial atc:idx='14LLID' atc:param='default' atc:map='map1' atc:sky="14LL"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64" spans="1:7">
      <c r="A64" s="94">
        <v>15</v>
      </c>
      <c r="B64" s="1">
        <v>144</v>
      </c>
      <c r="C64" s="1" t="s">
        <v>334</v>
      </c>
      <c r="D64" s="1" t="str">
        <f t="shared" si="0"/>
        <v>15LL</v>
      </c>
      <c r="E64" s="1" t="s">
        <v>336</v>
      </c>
      <c r="F64" s="1"/>
      <c r="G64" t="str">
        <f t="shared" si="1"/>
        <v>&lt;atc:trial atc:idx='15LLID' atc:param='default' atc:map='map1' atc:sky="15LL"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65" spans="1:7">
      <c r="A65" s="94">
        <v>16</v>
      </c>
      <c r="B65" s="1">
        <v>138</v>
      </c>
      <c r="C65" s="1" t="s">
        <v>334</v>
      </c>
      <c r="D65" s="1" t="str">
        <f t="shared" si="0"/>
        <v>16LL</v>
      </c>
      <c r="E65" s="1" t="s">
        <v>336</v>
      </c>
      <c r="F65" s="1"/>
      <c r="G65" t="str">
        <f t="shared" si="1"/>
        <v>&lt;atc:trial atc:idx='16LLID' atc:param='default' atc:map='map1' atc:sky="16LL" atc:ui='ui001' atc:notify_missed_acceptance='false' atc:notify_missed_handoff='false' atc:disable_callout_rotation='true'&gt;&lt;atc:timeEvent&gt;300&lt;/atc:timeEvent&gt; &lt;!--No Interruption Condition--&gt;&lt;atc:info_box atc:x='0' atc:y='0' atc:font='Courier New' atc:font_size='50' atc:font_colour='blue' atc:border='true'&gt;Primary Scenario&lt;/atc:info_box&gt;&lt;/atc:trial&gt;</v>
      </c>
    </row>
    <row r="66" spans="1:7">
      <c r="A66" s="88" t="s">
        <v>381</v>
      </c>
      <c r="B66" s="20">
        <v>120</v>
      </c>
      <c r="C66" s="20" t="s">
        <v>331</v>
      </c>
      <c r="D66" s="20" t="str">
        <f t="shared" si="0"/>
        <v>01SS</v>
      </c>
      <c r="E66" s="20" t="s">
        <v>335</v>
      </c>
      <c r="F66" s="20" t="s">
        <v>337</v>
      </c>
      <c r="G66" t="str">
        <f>"&lt;atc:trial atc:idx='"&amp;D66&amp;"ID"&amp;"' atc:param='default' atc:map='map1' atc:sky="&amp;CHAR(34)&amp;D66&amp;CHAR(34)&amp;" atc:ui='ui001' atc:notify_missed_acceptance='false' atc:notify_missed_handoff='false' atc:disable_callout_rotation='true'&gt;"&amp;
"&lt;atc:timeEvent&gt;300&lt;/atc:timeEvent&gt;"&amp;
"&lt;atc:info_box atc:x='0' atc:y='0' atc:font='Courier New' atc:font_size='50' atc:font_colour='blue' atc:border='true'&gt;Primary Scenario&lt;/atc:info_box&gt;"&amp;
"&lt;atc:interruption atc:start='"&amp;B66&amp;"' atc:end='"&amp;B66+27&amp;"' atc:auto_handoff='true' atc:auto_accept='true' atc:show_blank_screen='true' atc:external_program='"&amp;F66&amp;"'&gt;"&amp;
"&lt;atc:initial_display atc:symbol='+' atc:font='Courier' atc:font_size='50' atc:font_colour='white' atc:duration_ms='5000' atc:show_timer='false' atc:x='840' atc:y='525'/&gt;"&amp;"&lt;/atc:interruption&gt;&lt;/atc:trial&gt;"</f>
        <v>&lt;atc:trial atc:idx='01SSID' atc:param='default' atc:map='map1' atc:sky="01SS"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atc:start='120' atc:end='147' atc:auto_handoff='true' atc:auto_accept='true' atc:show_blank_screen='true' atc:external_program='blunt1.vbs'&gt;&lt;atc:initial_display atc:symbol='+' atc:font='Courier' atc:font_size='50' atc:font_colour='white' atc:duration_ms='5000' atc:show_timer='false' atc:x='840' atc:y='525'/&gt;&lt;/atc:interruption&gt;&lt;/atc:trial&gt;</v>
      </c>
    </row>
    <row r="67" spans="1:7">
      <c r="A67" s="88" t="s">
        <v>382</v>
      </c>
      <c r="B67" s="20">
        <v>142</v>
      </c>
      <c r="C67" s="20" t="s">
        <v>331</v>
      </c>
      <c r="D67" s="20" t="str">
        <f t="shared" ref="D67:D129" si="2">A67&amp;C67</f>
        <v>02SS</v>
      </c>
      <c r="E67" s="20" t="s">
        <v>335</v>
      </c>
      <c r="F67" s="20" t="s">
        <v>338</v>
      </c>
      <c r="G67" t="str">
        <f t="shared" ref="G67:G129" si="3">"&lt;atc:trial atc:idx='"&amp;D67&amp;"ID"&amp;"' atc:param='default' atc:map='map1' atc:sky="&amp;CHAR(34)&amp;D67&amp;CHAR(34)&amp;" atc:ui='ui001' atc:notify_missed_acceptance='false' atc:notify_missed_handoff='false' atc:disable_callout_rotation='true'&gt;"&amp;
"&lt;atc:timeEvent&gt;300&lt;/atc:timeEvent&gt;"&amp;
"&lt;atc:info_box atc:x='0' atc:y='0' atc:font='Courier New' atc:font_size='50' atc:font_colour='blue' atc:border='true'&gt;Primary Scenario&lt;/atc:info_box&gt;"&amp;
"&lt;atc:interruption atc:start='"&amp;B67&amp;"' atc:end='"&amp;B67+27&amp;"' atc:auto_handoff='true' atc:auto_accept='true' atc:show_blank_screen='true' atc:external_program='"&amp;F67&amp;"'&gt;"&amp;
"&lt;atc:initial_display atc:symbol='+' atc:font='Courier' atc:font_size='50' atc:font_colour='white' atc:duration_ms='5000' atc:show_timer='false' atc:x='840' atc:y='525'/&gt;"&amp;"&lt;/atc:interruption&gt;&lt;/atc:trial&gt;"</f>
        <v>&lt;atc:trial atc:idx='02SSID' atc:param='default' atc:map='map1' atc:sky="02SS"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atc:start='142' atc:end='169' atc:auto_handoff='true' atc:auto_accept='true' atc:show_blank_screen='true' atc:external_program='blunt2.vbs'&gt;&lt;atc:initial_display atc:symbol='+' atc:font='Courier' atc:font_size='50' atc:font_colour='white' atc:duration_ms='5000' atc:show_timer='false' atc:x='840' atc:y='525'/&gt;&lt;/atc:interruption&gt;&lt;/atc:trial&gt;</v>
      </c>
    </row>
    <row r="68" spans="1:7">
      <c r="A68" s="88" t="s">
        <v>383</v>
      </c>
      <c r="B68" s="20">
        <v>95</v>
      </c>
      <c r="C68" s="20" t="s">
        <v>331</v>
      </c>
      <c r="D68" s="20" t="str">
        <f t="shared" si="2"/>
        <v>03SS</v>
      </c>
      <c r="E68" s="20" t="s">
        <v>335</v>
      </c>
      <c r="F68" s="20" t="s">
        <v>339</v>
      </c>
      <c r="G68" t="str">
        <f t="shared" si="3"/>
        <v>&lt;atc:trial atc:idx='03SSID' atc:param='default' atc:map='map1' atc:sky="03SS"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atc:start='95' atc:end='122' atc:auto_handoff='true' atc:auto_accept='true' atc:show_blank_screen='true' atc:external_program='blunt3.vbs'&gt;&lt;atc:initial_display atc:symbol='+' atc:font='Courier' atc:font_size='50' atc:font_colour='white' atc:duration_ms='5000' atc:show_timer='false' atc:x='840' atc:y='525'/&gt;&lt;/atc:interruption&gt;&lt;/atc:trial&gt;</v>
      </c>
    </row>
    <row r="69" spans="1:7">
      <c r="A69" s="88" t="s">
        <v>384</v>
      </c>
      <c r="B69" s="20">
        <v>96</v>
      </c>
      <c r="C69" s="20" t="s">
        <v>331</v>
      </c>
      <c r="D69" s="20" t="str">
        <f t="shared" si="2"/>
        <v>04SS</v>
      </c>
      <c r="E69" s="20" t="s">
        <v>335</v>
      </c>
      <c r="F69" s="20" t="s">
        <v>340</v>
      </c>
      <c r="G69" t="str">
        <f t="shared" si="3"/>
        <v>&lt;atc:trial atc:idx='04SSID' atc:param='default' atc:map='map1' atc:sky="04SS"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atc:start='96' atc:end='123' atc:auto_handoff='true' atc:auto_accept='true' atc:show_blank_screen='true' atc:external_program='blunt4.vbs'&gt;&lt;atc:initial_display atc:symbol='+' atc:font='Courier' atc:font_size='50' atc:font_colour='white' atc:duration_ms='5000' atc:show_timer='false' atc:x='840' atc:y='525'/&gt;&lt;/atc:interruption&gt;&lt;/atc:trial&gt;</v>
      </c>
    </row>
    <row r="70" spans="1:7">
      <c r="A70" s="88" t="s">
        <v>385</v>
      </c>
      <c r="B70" s="20">
        <v>148</v>
      </c>
      <c r="C70" s="20" t="s">
        <v>331</v>
      </c>
      <c r="D70" s="20" t="str">
        <f t="shared" si="2"/>
        <v>05SS</v>
      </c>
      <c r="E70" s="20" t="s">
        <v>335</v>
      </c>
      <c r="F70" s="20" t="s">
        <v>337</v>
      </c>
      <c r="G70" t="str">
        <f t="shared" si="3"/>
        <v>&lt;atc:trial atc:idx='05SSID' atc:param='default' atc:map='map1' atc:sky="05SS"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atc:start='148' atc:end='175' atc:auto_handoff='true' atc:auto_accept='true' atc:show_blank_screen='true' atc:external_program='blunt1.vbs'&gt;&lt;atc:initial_display atc:symbol='+' atc:font='Courier' atc:font_size='50' atc:font_colour='white' atc:duration_ms='5000' atc:show_timer='false' atc:x='840' atc:y='525'/&gt;&lt;/atc:interruption&gt;&lt;/atc:trial&gt;</v>
      </c>
    </row>
    <row r="71" spans="1:7">
      <c r="A71" s="88" t="s">
        <v>386</v>
      </c>
      <c r="B71" s="20">
        <v>96</v>
      </c>
      <c r="C71" s="20" t="s">
        <v>331</v>
      </c>
      <c r="D71" s="20" t="str">
        <f t="shared" si="2"/>
        <v>06SS</v>
      </c>
      <c r="E71" s="20" t="s">
        <v>335</v>
      </c>
      <c r="F71" s="20" t="s">
        <v>338</v>
      </c>
      <c r="G71" t="str">
        <f t="shared" si="3"/>
        <v>&lt;atc:trial atc:idx='06SSID' atc:param='default' atc:map='map1' atc:sky="06SS"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atc:start='96' atc:end='123' atc:auto_handoff='true' atc:auto_accept='true' atc:show_blank_screen='true' atc:external_program='blunt2.vbs'&gt;&lt;atc:initial_display atc:symbol='+' atc:font='Courier' atc:font_size='50' atc:font_colour='white' atc:duration_ms='5000' atc:show_timer='false' atc:x='840' atc:y='525'/&gt;&lt;/atc:interruption&gt;&lt;/atc:trial&gt;</v>
      </c>
    </row>
    <row r="72" spans="1:7">
      <c r="A72" s="88" t="s">
        <v>387</v>
      </c>
      <c r="B72" s="20">
        <v>123</v>
      </c>
      <c r="C72" s="20" t="s">
        <v>331</v>
      </c>
      <c r="D72" s="20" t="str">
        <f t="shared" si="2"/>
        <v>07SS</v>
      </c>
      <c r="E72" s="20" t="s">
        <v>335</v>
      </c>
      <c r="F72" s="20" t="s">
        <v>339</v>
      </c>
      <c r="G72" t="str">
        <f t="shared" si="3"/>
        <v>&lt;atc:trial atc:idx='07SSID' atc:param='default' atc:map='map1' atc:sky="07SS"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atc:start='123' atc:end='150' atc:auto_handoff='true' atc:auto_accept='true' atc:show_blank_screen='true' atc:external_program='blunt3.vbs'&gt;&lt;atc:initial_display atc:symbol='+' atc:font='Courier' atc:font_size='50' atc:font_colour='white' atc:duration_ms='5000' atc:show_timer='false' atc:x='840' atc:y='525'/&gt;&lt;/atc:interruption&gt;&lt;/atc:trial&gt;</v>
      </c>
    </row>
    <row r="73" spans="1:7">
      <c r="A73" s="88" t="s">
        <v>388</v>
      </c>
      <c r="B73" s="20">
        <v>91</v>
      </c>
      <c r="C73" s="20" t="s">
        <v>331</v>
      </c>
      <c r="D73" s="20" t="str">
        <f t="shared" si="2"/>
        <v>08SS</v>
      </c>
      <c r="E73" s="20" t="s">
        <v>335</v>
      </c>
      <c r="F73" s="20" t="s">
        <v>340</v>
      </c>
      <c r="G73" t="str">
        <f t="shared" si="3"/>
        <v>&lt;atc:trial atc:idx='08SSID' atc:param='default' atc:map='map1' atc:sky="08SS"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atc:start='91' atc:end='118' atc:auto_handoff='true' atc:auto_accept='true' atc:show_blank_screen='true' atc:external_program='blunt4.vbs'&gt;&lt;atc:initial_display atc:symbol='+' atc:font='Courier' atc:font_size='50' atc:font_colour='white' atc:duration_ms='5000' atc:show_timer='false' atc:x='840' atc:y='525'/&gt;&lt;/atc:interruption&gt;&lt;/atc:trial&gt;</v>
      </c>
    </row>
    <row r="74" spans="1:7">
      <c r="A74" s="88" t="s">
        <v>389</v>
      </c>
      <c r="B74" s="20">
        <v>133</v>
      </c>
      <c r="C74" s="20" t="s">
        <v>331</v>
      </c>
      <c r="D74" s="20" t="str">
        <f t="shared" si="2"/>
        <v>09SS</v>
      </c>
      <c r="E74" s="20" t="s">
        <v>335</v>
      </c>
      <c r="F74" s="20" t="s">
        <v>341</v>
      </c>
      <c r="G74" t="str">
        <f t="shared" si="3"/>
        <v>&lt;atc:trial atc:idx='09SSID' atc:param='default' atc:map='map1' atc:sky="09SS"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atc:start='133' atc:end='160' atc:auto_handoff='true' atc:auto_accept='true' atc:show_blank_screen='true' atc:external_program='blunt5.vbs'&gt;&lt;atc:initial_display atc:symbol='+' atc:font='Courier' atc:font_size='50' atc:font_colour='white' atc:duration_ms='5000' atc:show_timer='false' atc:x='840' atc:y='525'/&gt;&lt;/atc:interruption&gt;&lt;/atc:trial&gt;</v>
      </c>
    </row>
    <row r="75" spans="1:7">
      <c r="A75" s="88">
        <v>10</v>
      </c>
      <c r="B75" s="20">
        <v>123</v>
      </c>
      <c r="C75" s="20" t="s">
        <v>331</v>
      </c>
      <c r="D75" s="20" t="str">
        <f t="shared" si="2"/>
        <v>10SS</v>
      </c>
      <c r="E75" s="20" t="s">
        <v>335</v>
      </c>
      <c r="F75" s="20" t="s">
        <v>342</v>
      </c>
      <c r="G75" t="str">
        <f t="shared" si="3"/>
        <v>&lt;atc:trial atc:idx='10SSID' atc:param='default' atc:map='map1' atc:sky="10SS"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atc:start='123' atc:end='150' atc:auto_handoff='true' atc:auto_accept='true' atc:show_blank_screen='true' atc:external_program='blunt6.vbs'&gt;&lt;atc:initial_display atc:symbol='+' atc:font='Courier' atc:font_size='50' atc:font_colour='white' atc:duration_ms='5000' atc:show_timer='false' atc:x='840' atc:y='525'/&gt;&lt;/atc:interruption&gt;&lt;/atc:trial&gt;</v>
      </c>
    </row>
    <row r="76" spans="1:7">
      <c r="A76" s="88">
        <v>11</v>
      </c>
      <c r="B76" s="20">
        <v>144</v>
      </c>
      <c r="C76" s="20" t="s">
        <v>331</v>
      </c>
      <c r="D76" s="20" t="str">
        <f t="shared" si="2"/>
        <v>11SS</v>
      </c>
      <c r="E76" s="20" t="s">
        <v>335</v>
      </c>
      <c r="F76" s="20" t="s">
        <v>343</v>
      </c>
      <c r="G76" t="str">
        <f t="shared" si="3"/>
        <v>&lt;atc:trial atc:idx='11SSID' atc:param='default' atc:map='map1' atc:sky="11SS"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atc:start='144' atc:end='171' atc:auto_handoff='true' atc:auto_accept='true' atc:show_blank_screen='true' atc:external_program='blunt7.vbs'&gt;&lt;atc:initial_display atc:symbol='+' atc:font='Courier' atc:font_size='50' atc:font_colour='white' atc:duration_ms='5000' atc:show_timer='false' atc:x='840' atc:y='525'/&gt;&lt;/atc:interruption&gt;&lt;/atc:trial&gt;</v>
      </c>
    </row>
    <row r="77" spans="1:7">
      <c r="A77" s="88">
        <v>12</v>
      </c>
      <c r="B77" s="20">
        <v>120</v>
      </c>
      <c r="C77" s="20" t="s">
        <v>331</v>
      </c>
      <c r="D77" s="20" t="str">
        <f t="shared" si="2"/>
        <v>12SS</v>
      </c>
      <c r="E77" s="20" t="s">
        <v>335</v>
      </c>
      <c r="F77" s="20" t="s">
        <v>344</v>
      </c>
      <c r="G77" t="str">
        <f t="shared" si="3"/>
        <v>&lt;atc:trial atc:idx='12SSID' atc:param='default' atc:map='map1' atc:sky="12SS"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atc:start='120' atc:end='147' atc:auto_handoff='true' atc:auto_accept='true' atc:show_blank_screen='true' atc:external_program='blunt8.vbs'&gt;&lt;atc:initial_display atc:symbol='+' atc:font='Courier' atc:font_size='50' atc:font_colour='white' atc:duration_ms='5000' atc:show_timer='false' atc:x='840' atc:y='525'/&gt;&lt;/atc:interruption&gt;&lt;/atc:trial&gt;</v>
      </c>
    </row>
    <row r="78" spans="1:7">
      <c r="A78" s="88">
        <v>13</v>
      </c>
      <c r="B78" s="20">
        <v>106</v>
      </c>
      <c r="C78" s="20" t="s">
        <v>331</v>
      </c>
      <c r="D78" s="20" t="str">
        <f t="shared" si="2"/>
        <v>13SS</v>
      </c>
      <c r="E78" s="20" t="s">
        <v>335</v>
      </c>
      <c r="F78" s="20" t="s">
        <v>341</v>
      </c>
      <c r="G78" t="str">
        <f t="shared" si="3"/>
        <v>&lt;atc:trial atc:idx='13SSID' atc:param='default' atc:map='map1' atc:sky="13SS"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atc:start='106' atc:end='133' atc:auto_handoff='true' atc:auto_accept='true' atc:show_blank_screen='true' atc:external_program='blunt5.vbs'&gt;&lt;atc:initial_display atc:symbol='+' atc:font='Courier' atc:font_size='50' atc:font_colour='white' atc:duration_ms='5000' atc:show_timer='false' atc:x='840' atc:y='525'/&gt;&lt;/atc:interruption&gt;&lt;/atc:trial&gt;</v>
      </c>
    </row>
    <row r="79" spans="1:7">
      <c r="A79" s="88">
        <v>14</v>
      </c>
      <c r="B79" s="20">
        <v>111</v>
      </c>
      <c r="C79" s="20" t="s">
        <v>331</v>
      </c>
      <c r="D79" s="20" t="str">
        <f t="shared" si="2"/>
        <v>14SS</v>
      </c>
      <c r="E79" s="20" t="s">
        <v>335</v>
      </c>
      <c r="F79" s="20" t="s">
        <v>342</v>
      </c>
      <c r="G79" t="str">
        <f t="shared" si="3"/>
        <v>&lt;atc:trial atc:idx='14SSID' atc:param='default' atc:map='map1' atc:sky="14SS"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atc:start='111' atc:end='138' atc:auto_handoff='true' atc:auto_accept='true' atc:show_blank_screen='true' atc:external_program='blunt6.vbs'&gt;&lt;atc:initial_display atc:symbol='+' atc:font='Courier' atc:font_size='50' atc:font_colour='white' atc:duration_ms='5000' atc:show_timer='false' atc:x='840' atc:y='525'/&gt;&lt;/atc:interruption&gt;&lt;/atc:trial&gt;</v>
      </c>
    </row>
    <row r="80" spans="1:7">
      <c r="A80" s="88">
        <v>15</v>
      </c>
      <c r="B80" s="20">
        <v>144</v>
      </c>
      <c r="C80" s="20" t="s">
        <v>331</v>
      </c>
      <c r="D80" s="20" t="str">
        <f t="shared" si="2"/>
        <v>15SS</v>
      </c>
      <c r="E80" s="20" t="s">
        <v>335</v>
      </c>
      <c r="F80" s="20" t="s">
        <v>343</v>
      </c>
      <c r="G80" t="str">
        <f t="shared" si="3"/>
        <v>&lt;atc:trial atc:idx='15SSID' atc:param='default' atc:map='map1' atc:sky="15SS"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atc:start='144' atc:end='171' atc:auto_handoff='true' atc:auto_accept='true' atc:show_blank_screen='true' atc:external_program='blunt7.vbs'&gt;&lt;atc:initial_display atc:symbol='+' atc:font='Courier' atc:font_size='50' atc:font_colour='white' atc:duration_ms='5000' atc:show_timer='false' atc:x='840' atc:y='525'/&gt;&lt;/atc:interruption&gt;&lt;/atc:trial&gt;</v>
      </c>
    </row>
    <row r="81" spans="1:7">
      <c r="A81" s="88">
        <v>16</v>
      </c>
      <c r="B81" s="20">
        <v>138</v>
      </c>
      <c r="C81" s="20" t="s">
        <v>331</v>
      </c>
      <c r="D81" s="20" t="str">
        <f t="shared" si="2"/>
        <v>16SS</v>
      </c>
      <c r="E81" s="20" t="s">
        <v>335</v>
      </c>
      <c r="F81" s="20" t="s">
        <v>344</v>
      </c>
      <c r="G81" t="str">
        <f t="shared" si="3"/>
        <v>&lt;atc:trial atc:idx='16SSID' atc:param='default' atc:map='map1' atc:sky="16SS"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atc:start='138' atc:end='165' atc:auto_handoff='true' atc:auto_accept='true' atc:show_blank_screen='true' atc:external_program='blunt8.vbs'&gt;&lt;atc:initial_display atc:symbol='+' atc:font='Courier' atc:font_size='50' atc:font_colour='white' atc:duration_ms='5000' atc:show_timer='false' atc:x='840' atc:y='525'/&gt;&lt;/atc:interruption&gt;&lt;/atc:trial&gt;</v>
      </c>
    </row>
    <row r="82" spans="1:7">
      <c r="A82" s="89" t="s">
        <v>381</v>
      </c>
      <c r="B82" s="76">
        <v>120</v>
      </c>
      <c r="C82" s="76" t="s">
        <v>332</v>
      </c>
      <c r="D82" s="76" t="str">
        <f t="shared" si="2"/>
        <v>01SL</v>
      </c>
      <c r="E82" s="76" t="s">
        <v>335</v>
      </c>
      <c r="F82" s="76" t="s">
        <v>337</v>
      </c>
      <c r="G82" t="str">
        <f t="shared" si="3"/>
        <v>&lt;atc:trial atc:idx='01SLID' atc:param='default' atc:map='map1' atc:sky="01SL"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atc:start='120' atc:end='147' atc:auto_handoff='true' atc:auto_accept='true' atc:show_blank_screen='true' atc:external_program='blunt1.vbs'&gt;&lt;atc:initial_display atc:symbol='+' atc:font='Courier' atc:font_size='50' atc:font_colour='white' atc:duration_ms='5000' atc:show_timer='false' atc:x='840' atc:y='525'/&gt;&lt;/atc:interruption&gt;&lt;/atc:trial&gt;</v>
      </c>
    </row>
    <row r="83" spans="1:7">
      <c r="A83" s="89" t="s">
        <v>382</v>
      </c>
      <c r="B83" s="76">
        <v>142</v>
      </c>
      <c r="C83" s="76" t="s">
        <v>332</v>
      </c>
      <c r="D83" s="76" t="str">
        <f t="shared" si="2"/>
        <v>02SL</v>
      </c>
      <c r="E83" s="76" t="s">
        <v>335</v>
      </c>
      <c r="F83" s="76" t="s">
        <v>338</v>
      </c>
      <c r="G83" t="str">
        <f t="shared" si="3"/>
        <v>&lt;atc:trial atc:idx='02SLID' atc:param='default' atc:map='map1' atc:sky="02SL"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atc:start='142' atc:end='169' atc:auto_handoff='true' atc:auto_accept='true' atc:show_blank_screen='true' atc:external_program='blunt2.vbs'&gt;&lt;atc:initial_display atc:symbol='+' atc:font='Courier' atc:font_size='50' atc:font_colour='white' atc:duration_ms='5000' atc:show_timer='false' atc:x='840' atc:y='525'/&gt;&lt;/atc:interruption&gt;&lt;/atc:trial&gt;</v>
      </c>
    </row>
    <row r="84" spans="1:7">
      <c r="A84" s="89" t="s">
        <v>383</v>
      </c>
      <c r="B84" s="76">
        <v>95</v>
      </c>
      <c r="C84" s="76" t="s">
        <v>332</v>
      </c>
      <c r="D84" s="76" t="str">
        <f t="shared" si="2"/>
        <v>03SL</v>
      </c>
      <c r="E84" s="76" t="s">
        <v>335</v>
      </c>
      <c r="F84" s="76" t="s">
        <v>339</v>
      </c>
      <c r="G84" t="str">
        <f t="shared" si="3"/>
        <v>&lt;atc:trial atc:idx='03SLID' atc:param='default' atc:map='map1' atc:sky="03SL"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atc:start='95' atc:end='122' atc:auto_handoff='true' atc:auto_accept='true' atc:show_blank_screen='true' atc:external_program='blunt3.vbs'&gt;&lt;atc:initial_display atc:symbol='+' atc:font='Courier' atc:font_size='50' atc:font_colour='white' atc:duration_ms='5000' atc:show_timer='false' atc:x='840' atc:y='525'/&gt;&lt;/atc:interruption&gt;&lt;/atc:trial&gt;</v>
      </c>
    </row>
    <row r="85" spans="1:7">
      <c r="A85" s="89" t="s">
        <v>384</v>
      </c>
      <c r="B85" s="76">
        <v>96</v>
      </c>
      <c r="C85" s="76" t="s">
        <v>332</v>
      </c>
      <c r="D85" s="76" t="str">
        <f t="shared" si="2"/>
        <v>04SL</v>
      </c>
      <c r="E85" s="76" t="s">
        <v>335</v>
      </c>
      <c r="F85" s="76" t="s">
        <v>340</v>
      </c>
      <c r="G85" t="str">
        <f t="shared" si="3"/>
        <v>&lt;atc:trial atc:idx='04SLID' atc:param='default' atc:map='map1' atc:sky="04SL"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atc:start='96' atc:end='123' atc:auto_handoff='true' atc:auto_accept='true' atc:show_blank_screen='true' atc:external_program='blunt4.vbs'&gt;&lt;atc:initial_display atc:symbol='+' atc:font='Courier' atc:font_size='50' atc:font_colour='white' atc:duration_ms='5000' atc:show_timer='false' atc:x='840' atc:y='525'/&gt;&lt;/atc:interruption&gt;&lt;/atc:trial&gt;</v>
      </c>
    </row>
    <row r="86" spans="1:7">
      <c r="A86" s="89" t="s">
        <v>385</v>
      </c>
      <c r="B86" s="76">
        <v>148</v>
      </c>
      <c r="C86" s="76" t="s">
        <v>332</v>
      </c>
      <c r="D86" s="76" t="str">
        <f t="shared" si="2"/>
        <v>05SL</v>
      </c>
      <c r="E86" s="76" t="s">
        <v>335</v>
      </c>
      <c r="F86" s="76" t="s">
        <v>337</v>
      </c>
      <c r="G86" t="str">
        <f t="shared" si="3"/>
        <v>&lt;atc:trial atc:idx='05SLID' atc:param='default' atc:map='map1' atc:sky="05SL"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atc:start='148' atc:end='175' atc:auto_handoff='true' atc:auto_accept='true' atc:show_blank_screen='true' atc:external_program='blunt1.vbs'&gt;&lt;atc:initial_display atc:symbol='+' atc:font='Courier' atc:font_size='50' atc:font_colour='white' atc:duration_ms='5000' atc:show_timer='false' atc:x='840' atc:y='525'/&gt;&lt;/atc:interruption&gt;&lt;/atc:trial&gt;</v>
      </c>
    </row>
    <row r="87" spans="1:7">
      <c r="A87" s="89" t="s">
        <v>386</v>
      </c>
      <c r="B87" s="76">
        <v>96</v>
      </c>
      <c r="C87" s="76" t="s">
        <v>332</v>
      </c>
      <c r="D87" s="76" t="str">
        <f t="shared" si="2"/>
        <v>06SL</v>
      </c>
      <c r="E87" s="76" t="s">
        <v>335</v>
      </c>
      <c r="F87" s="76" t="s">
        <v>338</v>
      </c>
      <c r="G87" t="str">
        <f t="shared" si="3"/>
        <v>&lt;atc:trial atc:idx='06SLID' atc:param='default' atc:map='map1' atc:sky="06SL"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atc:start='96' atc:end='123' atc:auto_handoff='true' atc:auto_accept='true' atc:show_blank_screen='true' atc:external_program='blunt2.vbs'&gt;&lt;atc:initial_display atc:symbol='+' atc:font='Courier' atc:font_size='50' atc:font_colour='white' atc:duration_ms='5000' atc:show_timer='false' atc:x='840' atc:y='525'/&gt;&lt;/atc:interruption&gt;&lt;/atc:trial&gt;</v>
      </c>
    </row>
    <row r="88" spans="1:7">
      <c r="A88" s="89" t="s">
        <v>387</v>
      </c>
      <c r="B88" s="76">
        <v>123</v>
      </c>
      <c r="C88" s="76" t="s">
        <v>332</v>
      </c>
      <c r="D88" s="76" t="str">
        <f t="shared" si="2"/>
        <v>07SL</v>
      </c>
      <c r="E88" s="76" t="s">
        <v>335</v>
      </c>
      <c r="F88" s="76" t="s">
        <v>339</v>
      </c>
      <c r="G88" t="str">
        <f t="shared" si="3"/>
        <v>&lt;atc:trial atc:idx='07SLID' atc:param='default' atc:map='map1' atc:sky="07SL"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atc:start='123' atc:end='150' atc:auto_handoff='true' atc:auto_accept='true' atc:show_blank_screen='true' atc:external_program='blunt3.vbs'&gt;&lt;atc:initial_display atc:symbol='+' atc:font='Courier' atc:font_size='50' atc:font_colour='white' atc:duration_ms='5000' atc:show_timer='false' atc:x='840' atc:y='525'/&gt;&lt;/atc:interruption&gt;&lt;/atc:trial&gt;</v>
      </c>
    </row>
    <row r="89" spans="1:7">
      <c r="A89" s="89" t="s">
        <v>388</v>
      </c>
      <c r="B89" s="76">
        <v>91</v>
      </c>
      <c r="C89" s="76" t="s">
        <v>332</v>
      </c>
      <c r="D89" s="76" t="str">
        <f t="shared" si="2"/>
        <v>08SL</v>
      </c>
      <c r="E89" s="76" t="s">
        <v>335</v>
      </c>
      <c r="F89" s="76" t="s">
        <v>340</v>
      </c>
      <c r="G89" t="str">
        <f t="shared" si="3"/>
        <v>&lt;atc:trial atc:idx='08SLID' atc:param='default' atc:map='map1' atc:sky="08SL"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atc:start='91' atc:end='118' atc:auto_handoff='true' atc:auto_accept='true' atc:show_blank_screen='true' atc:external_program='blunt4.vbs'&gt;&lt;atc:initial_display atc:symbol='+' atc:font='Courier' atc:font_size='50' atc:font_colour='white' atc:duration_ms='5000' atc:show_timer='false' atc:x='840' atc:y='525'/&gt;&lt;/atc:interruption&gt;&lt;/atc:trial&gt;</v>
      </c>
    </row>
    <row r="90" spans="1:7">
      <c r="A90" s="89" t="s">
        <v>389</v>
      </c>
      <c r="B90" s="76">
        <v>133</v>
      </c>
      <c r="C90" s="76" t="s">
        <v>332</v>
      </c>
      <c r="D90" s="76" t="str">
        <f t="shared" si="2"/>
        <v>09SL</v>
      </c>
      <c r="E90" s="76" t="s">
        <v>335</v>
      </c>
      <c r="F90" s="76" t="s">
        <v>341</v>
      </c>
      <c r="G90" t="str">
        <f t="shared" si="3"/>
        <v>&lt;atc:trial atc:idx='09SLID' atc:param='default' atc:map='map1' atc:sky="09SL"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atc:start='133' atc:end='160' atc:auto_handoff='true' atc:auto_accept='true' atc:show_blank_screen='true' atc:external_program='blunt5.vbs'&gt;&lt;atc:initial_display atc:symbol='+' atc:font='Courier' atc:font_size='50' atc:font_colour='white' atc:duration_ms='5000' atc:show_timer='false' atc:x='840' atc:y='525'/&gt;&lt;/atc:interruption&gt;&lt;/atc:trial&gt;</v>
      </c>
    </row>
    <row r="91" spans="1:7">
      <c r="A91" s="89">
        <v>10</v>
      </c>
      <c r="B91" s="76">
        <v>123</v>
      </c>
      <c r="C91" s="76" t="s">
        <v>332</v>
      </c>
      <c r="D91" s="76" t="str">
        <f t="shared" si="2"/>
        <v>10SL</v>
      </c>
      <c r="E91" s="76" t="s">
        <v>335</v>
      </c>
      <c r="F91" s="76" t="s">
        <v>342</v>
      </c>
      <c r="G91" t="str">
        <f t="shared" si="3"/>
        <v>&lt;atc:trial atc:idx='10SLID' atc:param='default' atc:map='map1' atc:sky="10SL"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atc:start='123' atc:end='150' atc:auto_handoff='true' atc:auto_accept='true' atc:show_blank_screen='true' atc:external_program='blunt6.vbs'&gt;&lt;atc:initial_display atc:symbol='+' atc:font='Courier' atc:font_size='50' atc:font_colour='white' atc:duration_ms='5000' atc:show_timer='false' atc:x='840' atc:y='525'/&gt;&lt;/atc:interruption&gt;&lt;/atc:trial&gt;</v>
      </c>
    </row>
    <row r="92" spans="1:7">
      <c r="A92" s="89">
        <v>11</v>
      </c>
      <c r="B92" s="76">
        <v>144</v>
      </c>
      <c r="C92" s="76" t="s">
        <v>332</v>
      </c>
      <c r="D92" s="76" t="str">
        <f t="shared" si="2"/>
        <v>11SL</v>
      </c>
      <c r="E92" s="76" t="s">
        <v>335</v>
      </c>
      <c r="F92" s="76" t="s">
        <v>343</v>
      </c>
      <c r="G92" t="str">
        <f t="shared" si="3"/>
        <v>&lt;atc:trial atc:idx='11SLID' atc:param='default' atc:map='map1' atc:sky="11SL"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atc:start='144' atc:end='171' atc:auto_handoff='true' atc:auto_accept='true' atc:show_blank_screen='true' atc:external_program='blunt7.vbs'&gt;&lt;atc:initial_display atc:symbol='+' atc:font='Courier' atc:font_size='50' atc:font_colour='white' atc:duration_ms='5000' atc:show_timer='false' atc:x='840' atc:y='525'/&gt;&lt;/atc:interruption&gt;&lt;/atc:trial&gt;</v>
      </c>
    </row>
    <row r="93" spans="1:7">
      <c r="A93" s="89">
        <v>12</v>
      </c>
      <c r="B93" s="76">
        <v>120</v>
      </c>
      <c r="C93" s="76" t="s">
        <v>332</v>
      </c>
      <c r="D93" s="76" t="str">
        <f t="shared" si="2"/>
        <v>12SL</v>
      </c>
      <c r="E93" s="76" t="s">
        <v>335</v>
      </c>
      <c r="F93" s="76" t="s">
        <v>344</v>
      </c>
      <c r="G93" t="str">
        <f t="shared" si="3"/>
        <v>&lt;atc:trial atc:idx='12SLID' atc:param='default' atc:map='map1' atc:sky="12SL"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atc:start='120' atc:end='147' atc:auto_handoff='true' atc:auto_accept='true' atc:show_blank_screen='true' atc:external_program='blunt8.vbs'&gt;&lt;atc:initial_display atc:symbol='+' atc:font='Courier' atc:font_size='50' atc:font_colour='white' atc:duration_ms='5000' atc:show_timer='false' atc:x='840' atc:y='525'/&gt;&lt;/atc:interruption&gt;&lt;/atc:trial&gt;</v>
      </c>
    </row>
    <row r="94" spans="1:7">
      <c r="A94" s="89">
        <v>13</v>
      </c>
      <c r="B94" s="76">
        <v>106</v>
      </c>
      <c r="C94" s="76" t="s">
        <v>332</v>
      </c>
      <c r="D94" s="76" t="str">
        <f t="shared" si="2"/>
        <v>13SL</v>
      </c>
      <c r="E94" s="76" t="s">
        <v>335</v>
      </c>
      <c r="F94" s="76" t="s">
        <v>341</v>
      </c>
      <c r="G94" t="str">
        <f t="shared" si="3"/>
        <v>&lt;atc:trial atc:idx='13SLID' atc:param='default' atc:map='map1' atc:sky="13SL"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atc:start='106' atc:end='133' atc:auto_handoff='true' atc:auto_accept='true' atc:show_blank_screen='true' atc:external_program='blunt5.vbs'&gt;&lt;atc:initial_display atc:symbol='+' atc:font='Courier' atc:font_size='50' atc:font_colour='white' atc:duration_ms='5000' atc:show_timer='false' atc:x='840' atc:y='525'/&gt;&lt;/atc:interruption&gt;&lt;/atc:trial&gt;</v>
      </c>
    </row>
    <row r="95" spans="1:7">
      <c r="A95" s="89">
        <v>14</v>
      </c>
      <c r="B95" s="76">
        <v>111</v>
      </c>
      <c r="C95" s="76" t="s">
        <v>332</v>
      </c>
      <c r="D95" s="76" t="str">
        <f t="shared" si="2"/>
        <v>14SL</v>
      </c>
      <c r="E95" s="76" t="s">
        <v>335</v>
      </c>
      <c r="F95" s="76" t="s">
        <v>342</v>
      </c>
      <c r="G95" t="str">
        <f t="shared" si="3"/>
        <v>&lt;atc:trial atc:idx='14SLID' atc:param='default' atc:map='map1' atc:sky="14SL"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atc:start='111' atc:end='138' atc:auto_handoff='true' atc:auto_accept='true' atc:show_blank_screen='true' atc:external_program='blunt6.vbs'&gt;&lt;atc:initial_display atc:symbol='+' atc:font='Courier' atc:font_size='50' atc:font_colour='white' atc:duration_ms='5000' atc:show_timer='false' atc:x='840' atc:y='525'/&gt;&lt;/atc:interruption&gt;&lt;/atc:trial&gt;</v>
      </c>
    </row>
    <row r="96" spans="1:7">
      <c r="A96" s="89">
        <v>15</v>
      </c>
      <c r="B96" s="76">
        <v>144</v>
      </c>
      <c r="C96" s="76" t="s">
        <v>332</v>
      </c>
      <c r="D96" s="76" t="str">
        <f t="shared" si="2"/>
        <v>15SL</v>
      </c>
      <c r="E96" s="76" t="s">
        <v>335</v>
      </c>
      <c r="F96" s="76" t="s">
        <v>343</v>
      </c>
      <c r="G96" t="str">
        <f t="shared" si="3"/>
        <v>&lt;atc:trial atc:idx='15SLID' atc:param='default' atc:map='map1' atc:sky="15SL"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atc:start='144' atc:end='171' atc:auto_handoff='true' atc:auto_accept='true' atc:show_blank_screen='true' atc:external_program='blunt7.vbs'&gt;&lt;atc:initial_display atc:symbol='+' atc:font='Courier' atc:font_size='50' atc:font_colour='white' atc:duration_ms='5000' atc:show_timer='false' atc:x='840' atc:y='525'/&gt;&lt;/atc:interruption&gt;&lt;/atc:trial&gt;</v>
      </c>
    </row>
    <row r="97" spans="1:7">
      <c r="A97" s="89">
        <v>16</v>
      </c>
      <c r="B97" s="76">
        <v>138</v>
      </c>
      <c r="C97" s="76" t="s">
        <v>332</v>
      </c>
      <c r="D97" s="76" t="str">
        <f t="shared" si="2"/>
        <v>16SL</v>
      </c>
      <c r="E97" s="76" t="s">
        <v>335</v>
      </c>
      <c r="F97" s="76" t="s">
        <v>344</v>
      </c>
      <c r="G97" t="str">
        <f t="shared" si="3"/>
        <v>&lt;atc:trial atc:idx='16SLID' atc:param='default' atc:map='map1' atc:sky="16SL"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atc:start='138' atc:end='165' atc:auto_handoff='true' atc:auto_accept='true' atc:show_blank_screen='true' atc:external_program='blunt8.vbs'&gt;&lt;atc:initial_display atc:symbol='+' atc:font='Courier' atc:font_size='50' atc:font_colour='white' atc:duration_ms='5000' atc:show_timer='false' atc:x='840' atc:y='525'/&gt;&lt;/atc:interruption&gt;&lt;/atc:trial&gt;</v>
      </c>
    </row>
    <row r="98" spans="1:7">
      <c r="A98" s="95" t="s">
        <v>381</v>
      </c>
      <c r="B98" s="8">
        <v>120</v>
      </c>
      <c r="C98" s="8" t="s">
        <v>333</v>
      </c>
      <c r="D98" s="8" t="str">
        <f t="shared" si="2"/>
        <v>01LS</v>
      </c>
      <c r="E98" s="8" t="s">
        <v>335</v>
      </c>
      <c r="F98" s="8" t="s">
        <v>337</v>
      </c>
      <c r="G98" t="str">
        <f t="shared" si="3"/>
        <v>&lt;atc:trial atc:idx='01LSID' atc:param='default' atc:map='map1' atc:sky="01LS"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atc:start='120' atc:end='147' atc:auto_handoff='true' atc:auto_accept='true' atc:show_blank_screen='true' atc:external_program='blunt1.vbs'&gt;&lt;atc:initial_display atc:symbol='+' atc:font='Courier' atc:font_size='50' atc:font_colour='white' atc:duration_ms='5000' atc:show_timer='false' atc:x='840' atc:y='525'/&gt;&lt;/atc:interruption&gt;&lt;/atc:trial&gt;</v>
      </c>
    </row>
    <row r="99" spans="1:7">
      <c r="A99" s="95" t="s">
        <v>382</v>
      </c>
      <c r="B99" s="8">
        <v>142</v>
      </c>
      <c r="C99" s="8" t="s">
        <v>333</v>
      </c>
      <c r="D99" s="8" t="str">
        <f t="shared" si="2"/>
        <v>02LS</v>
      </c>
      <c r="E99" s="8" t="s">
        <v>335</v>
      </c>
      <c r="F99" s="8" t="s">
        <v>338</v>
      </c>
      <c r="G99" t="str">
        <f t="shared" si="3"/>
        <v>&lt;atc:trial atc:idx='02LSID' atc:param='default' atc:map='map1' atc:sky="02LS"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atc:start='142' atc:end='169' atc:auto_handoff='true' atc:auto_accept='true' atc:show_blank_screen='true' atc:external_program='blunt2.vbs'&gt;&lt;atc:initial_display atc:symbol='+' atc:font='Courier' atc:font_size='50' atc:font_colour='white' atc:duration_ms='5000' atc:show_timer='false' atc:x='840' atc:y='525'/&gt;&lt;/atc:interruption&gt;&lt;/atc:trial&gt;</v>
      </c>
    </row>
    <row r="100" spans="1:7">
      <c r="A100" s="95" t="s">
        <v>383</v>
      </c>
      <c r="B100" s="8">
        <v>95</v>
      </c>
      <c r="C100" s="8" t="s">
        <v>333</v>
      </c>
      <c r="D100" s="8" t="str">
        <f t="shared" si="2"/>
        <v>03LS</v>
      </c>
      <c r="E100" s="8" t="s">
        <v>335</v>
      </c>
      <c r="F100" s="8" t="s">
        <v>339</v>
      </c>
      <c r="G100" t="str">
        <f t="shared" si="3"/>
        <v>&lt;atc:trial atc:idx='03LSID' atc:param='default' atc:map='map1' atc:sky="03LS"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atc:start='95' atc:end='122' atc:auto_handoff='true' atc:auto_accept='true' atc:show_blank_screen='true' atc:external_program='blunt3.vbs'&gt;&lt;atc:initial_display atc:symbol='+' atc:font='Courier' atc:font_size='50' atc:font_colour='white' atc:duration_ms='5000' atc:show_timer='false' atc:x='840' atc:y='525'/&gt;&lt;/atc:interruption&gt;&lt;/atc:trial&gt;</v>
      </c>
    </row>
    <row r="101" spans="1:7">
      <c r="A101" s="95" t="s">
        <v>384</v>
      </c>
      <c r="B101" s="8">
        <v>96</v>
      </c>
      <c r="C101" s="8" t="s">
        <v>333</v>
      </c>
      <c r="D101" s="8" t="str">
        <f t="shared" si="2"/>
        <v>04LS</v>
      </c>
      <c r="E101" s="8" t="s">
        <v>335</v>
      </c>
      <c r="F101" s="8" t="s">
        <v>340</v>
      </c>
      <c r="G101" t="str">
        <f t="shared" si="3"/>
        <v>&lt;atc:trial atc:idx='04LSID' atc:param='default' atc:map='map1' atc:sky="04LS"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atc:start='96' atc:end='123' atc:auto_handoff='true' atc:auto_accept='true' atc:show_blank_screen='true' atc:external_program='blunt4.vbs'&gt;&lt;atc:initial_display atc:symbol='+' atc:font='Courier' atc:font_size='50' atc:font_colour='white' atc:duration_ms='5000' atc:show_timer='false' atc:x='840' atc:y='525'/&gt;&lt;/atc:interruption&gt;&lt;/atc:trial&gt;</v>
      </c>
    </row>
    <row r="102" spans="1:7">
      <c r="A102" s="95" t="s">
        <v>385</v>
      </c>
      <c r="B102" s="8">
        <v>148</v>
      </c>
      <c r="C102" s="8" t="s">
        <v>333</v>
      </c>
      <c r="D102" s="8" t="str">
        <f t="shared" si="2"/>
        <v>05LS</v>
      </c>
      <c r="E102" s="8" t="s">
        <v>335</v>
      </c>
      <c r="F102" s="8" t="s">
        <v>337</v>
      </c>
      <c r="G102" t="str">
        <f t="shared" si="3"/>
        <v>&lt;atc:trial atc:idx='05LSID' atc:param='default' atc:map='map1' atc:sky="05LS"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atc:start='148' atc:end='175' atc:auto_handoff='true' atc:auto_accept='true' atc:show_blank_screen='true' atc:external_program='blunt1.vbs'&gt;&lt;atc:initial_display atc:symbol='+' atc:font='Courier' atc:font_size='50' atc:font_colour='white' atc:duration_ms='5000' atc:show_timer='false' atc:x='840' atc:y='525'/&gt;&lt;/atc:interruption&gt;&lt;/atc:trial&gt;</v>
      </c>
    </row>
    <row r="103" spans="1:7">
      <c r="A103" s="95" t="s">
        <v>386</v>
      </c>
      <c r="B103" s="8">
        <v>96</v>
      </c>
      <c r="C103" s="8" t="s">
        <v>333</v>
      </c>
      <c r="D103" s="8" t="str">
        <f t="shared" si="2"/>
        <v>06LS</v>
      </c>
      <c r="E103" s="8" t="s">
        <v>335</v>
      </c>
      <c r="F103" s="8" t="s">
        <v>338</v>
      </c>
      <c r="G103" t="str">
        <f t="shared" si="3"/>
        <v>&lt;atc:trial atc:idx='06LSID' atc:param='default' atc:map='map1' atc:sky="06LS"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atc:start='96' atc:end='123' atc:auto_handoff='true' atc:auto_accept='true' atc:show_blank_screen='true' atc:external_program='blunt2.vbs'&gt;&lt;atc:initial_display atc:symbol='+' atc:font='Courier' atc:font_size='50' atc:font_colour='white' atc:duration_ms='5000' atc:show_timer='false' atc:x='840' atc:y='525'/&gt;&lt;/atc:interruption&gt;&lt;/atc:trial&gt;</v>
      </c>
    </row>
    <row r="104" spans="1:7">
      <c r="A104" s="95" t="s">
        <v>387</v>
      </c>
      <c r="B104" s="8">
        <v>123</v>
      </c>
      <c r="C104" s="8" t="s">
        <v>333</v>
      </c>
      <c r="D104" s="8" t="str">
        <f t="shared" si="2"/>
        <v>07LS</v>
      </c>
      <c r="E104" s="8" t="s">
        <v>335</v>
      </c>
      <c r="F104" s="8" t="s">
        <v>339</v>
      </c>
      <c r="G104" t="str">
        <f t="shared" si="3"/>
        <v>&lt;atc:trial atc:idx='07LSID' atc:param='default' atc:map='map1' atc:sky="07LS"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atc:start='123' atc:end='150' atc:auto_handoff='true' atc:auto_accept='true' atc:show_blank_screen='true' atc:external_program='blunt3.vbs'&gt;&lt;atc:initial_display atc:symbol='+' atc:font='Courier' atc:font_size='50' atc:font_colour='white' atc:duration_ms='5000' atc:show_timer='false' atc:x='840' atc:y='525'/&gt;&lt;/atc:interruption&gt;&lt;/atc:trial&gt;</v>
      </c>
    </row>
    <row r="105" spans="1:7">
      <c r="A105" s="95" t="s">
        <v>388</v>
      </c>
      <c r="B105" s="8">
        <v>91</v>
      </c>
      <c r="C105" s="8" t="s">
        <v>333</v>
      </c>
      <c r="D105" s="8" t="str">
        <f t="shared" si="2"/>
        <v>08LS</v>
      </c>
      <c r="E105" s="8" t="s">
        <v>335</v>
      </c>
      <c r="F105" s="8" t="s">
        <v>340</v>
      </c>
      <c r="G105" t="str">
        <f t="shared" si="3"/>
        <v>&lt;atc:trial atc:idx='08LSID' atc:param='default' atc:map='map1' atc:sky="08LS"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atc:start='91' atc:end='118' atc:auto_handoff='true' atc:auto_accept='true' atc:show_blank_screen='true' atc:external_program='blunt4.vbs'&gt;&lt;atc:initial_display atc:symbol='+' atc:font='Courier' atc:font_size='50' atc:font_colour='white' atc:duration_ms='5000' atc:show_timer='false' atc:x='840' atc:y='525'/&gt;&lt;/atc:interruption&gt;&lt;/atc:trial&gt;</v>
      </c>
    </row>
    <row r="106" spans="1:7">
      <c r="A106" s="95" t="s">
        <v>389</v>
      </c>
      <c r="B106" s="8">
        <v>133</v>
      </c>
      <c r="C106" s="8" t="s">
        <v>333</v>
      </c>
      <c r="D106" s="8" t="str">
        <f t="shared" si="2"/>
        <v>09LS</v>
      </c>
      <c r="E106" s="8" t="s">
        <v>335</v>
      </c>
      <c r="F106" s="8" t="s">
        <v>341</v>
      </c>
      <c r="G106" t="str">
        <f t="shared" si="3"/>
        <v>&lt;atc:trial atc:idx='09LSID' atc:param='default' atc:map='map1' atc:sky="09LS"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atc:start='133' atc:end='160' atc:auto_handoff='true' atc:auto_accept='true' atc:show_blank_screen='true' atc:external_program='blunt5.vbs'&gt;&lt;atc:initial_display atc:symbol='+' atc:font='Courier' atc:font_size='50' atc:font_colour='white' atc:duration_ms='5000' atc:show_timer='false' atc:x='840' atc:y='525'/&gt;&lt;/atc:interruption&gt;&lt;/atc:trial&gt;</v>
      </c>
    </row>
    <row r="107" spans="1:7">
      <c r="A107" s="95">
        <v>10</v>
      </c>
      <c r="B107" s="8">
        <v>123</v>
      </c>
      <c r="C107" s="8" t="s">
        <v>333</v>
      </c>
      <c r="D107" s="8" t="str">
        <f t="shared" si="2"/>
        <v>10LS</v>
      </c>
      <c r="E107" s="8" t="s">
        <v>335</v>
      </c>
      <c r="F107" s="8" t="s">
        <v>342</v>
      </c>
      <c r="G107" t="str">
        <f t="shared" si="3"/>
        <v>&lt;atc:trial atc:idx='10LSID' atc:param='default' atc:map='map1' atc:sky="10LS"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atc:start='123' atc:end='150' atc:auto_handoff='true' atc:auto_accept='true' atc:show_blank_screen='true' atc:external_program='blunt6.vbs'&gt;&lt;atc:initial_display atc:symbol='+' atc:font='Courier' atc:font_size='50' atc:font_colour='white' atc:duration_ms='5000' atc:show_timer='false' atc:x='840' atc:y='525'/&gt;&lt;/atc:interruption&gt;&lt;/atc:trial&gt;</v>
      </c>
    </row>
    <row r="108" spans="1:7">
      <c r="A108" s="95">
        <v>11</v>
      </c>
      <c r="B108" s="8">
        <v>144</v>
      </c>
      <c r="C108" s="8" t="s">
        <v>333</v>
      </c>
      <c r="D108" s="8" t="str">
        <f t="shared" si="2"/>
        <v>11LS</v>
      </c>
      <c r="E108" s="8" t="s">
        <v>335</v>
      </c>
      <c r="F108" s="8" t="s">
        <v>343</v>
      </c>
      <c r="G108" t="str">
        <f t="shared" si="3"/>
        <v>&lt;atc:trial atc:idx='11LSID' atc:param='default' atc:map='map1' atc:sky="11LS"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atc:start='144' atc:end='171' atc:auto_handoff='true' atc:auto_accept='true' atc:show_blank_screen='true' atc:external_program='blunt7.vbs'&gt;&lt;atc:initial_display atc:symbol='+' atc:font='Courier' atc:font_size='50' atc:font_colour='white' atc:duration_ms='5000' atc:show_timer='false' atc:x='840' atc:y='525'/&gt;&lt;/atc:interruption&gt;&lt;/atc:trial&gt;</v>
      </c>
    </row>
    <row r="109" spans="1:7">
      <c r="A109" s="95">
        <v>12</v>
      </c>
      <c r="B109" s="8">
        <v>120</v>
      </c>
      <c r="C109" s="8" t="s">
        <v>333</v>
      </c>
      <c r="D109" s="8" t="str">
        <f t="shared" si="2"/>
        <v>12LS</v>
      </c>
      <c r="E109" s="8" t="s">
        <v>335</v>
      </c>
      <c r="F109" s="8" t="s">
        <v>344</v>
      </c>
      <c r="G109" t="str">
        <f t="shared" si="3"/>
        <v>&lt;atc:trial atc:idx='12LSID' atc:param='default' atc:map='map1' atc:sky="12LS"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atc:start='120' atc:end='147' atc:auto_handoff='true' atc:auto_accept='true' atc:show_blank_screen='true' atc:external_program='blunt8.vbs'&gt;&lt;atc:initial_display atc:symbol='+' atc:font='Courier' atc:font_size='50' atc:font_colour='white' atc:duration_ms='5000' atc:show_timer='false' atc:x='840' atc:y='525'/&gt;&lt;/atc:interruption&gt;&lt;/atc:trial&gt;</v>
      </c>
    </row>
    <row r="110" spans="1:7">
      <c r="A110" s="95">
        <v>13</v>
      </c>
      <c r="B110" s="8">
        <v>106</v>
      </c>
      <c r="C110" s="8" t="s">
        <v>333</v>
      </c>
      <c r="D110" s="8" t="str">
        <f t="shared" si="2"/>
        <v>13LS</v>
      </c>
      <c r="E110" s="8" t="s">
        <v>335</v>
      </c>
      <c r="F110" s="8" t="s">
        <v>341</v>
      </c>
      <c r="G110" t="str">
        <f t="shared" si="3"/>
        <v>&lt;atc:trial atc:idx='13LSID' atc:param='default' atc:map='map1' atc:sky="13LS"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atc:start='106' atc:end='133' atc:auto_handoff='true' atc:auto_accept='true' atc:show_blank_screen='true' atc:external_program='blunt5.vbs'&gt;&lt;atc:initial_display atc:symbol='+' atc:font='Courier' atc:font_size='50' atc:font_colour='white' atc:duration_ms='5000' atc:show_timer='false' atc:x='840' atc:y='525'/&gt;&lt;/atc:interruption&gt;&lt;/atc:trial&gt;</v>
      </c>
    </row>
    <row r="111" spans="1:7">
      <c r="A111" s="95">
        <v>14</v>
      </c>
      <c r="B111" s="8">
        <v>111</v>
      </c>
      <c r="C111" s="8" t="s">
        <v>333</v>
      </c>
      <c r="D111" s="8" t="str">
        <f t="shared" si="2"/>
        <v>14LS</v>
      </c>
      <c r="E111" s="8" t="s">
        <v>335</v>
      </c>
      <c r="F111" s="8" t="s">
        <v>342</v>
      </c>
      <c r="G111" t="str">
        <f t="shared" si="3"/>
        <v>&lt;atc:trial atc:idx='14LSID' atc:param='default' atc:map='map1' atc:sky="14LS"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atc:start='111' atc:end='138' atc:auto_handoff='true' atc:auto_accept='true' atc:show_blank_screen='true' atc:external_program='blunt6.vbs'&gt;&lt;atc:initial_display atc:symbol='+' atc:font='Courier' atc:font_size='50' atc:font_colour='white' atc:duration_ms='5000' atc:show_timer='false' atc:x='840' atc:y='525'/&gt;&lt;/atc:interruption&gt;&lt;/atc:trial&gt;</v>
      </c>
    </row>
    <row r="112" spans="1:7">
      <c r="A112" s="95">
        <v>15</v>
      </c>
      <c r="B112" s="8">
        <v>144</v>
      </c>
      <c r="C112" s="8" t="s">
        <v>333</v>
      </c>
      <c r="D112" s="8" t="str">
        <f t="shared" si="2"/>
        <v>15LS</v>
      </c>
      <c r="E112" s="8" t="s">
        <v>335</v>
      </c>
      <c r="F112" s="8" t="s">
        <v>343</v>
      </c>
      <c r="G112" t="str">
        <f t="shared" si="3"/>
        <v>&lt;atc:trial atc:idx='15LSID' atc:param='default' atc:map='map1' atc:sky="15LS"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atc:start='144' atc:end='171' atc:auto_handoff='true' atc:auto_accept='true' atc:show_blank_screen='true' atc:external_program='blunt7.vbs'&gt;&lt;atc:initial_display atc:symbol='+' atc:font='Courier' atc:font_size='50' atc:font_colour='white' atc:duration_ms='5000' atc:show_timer='false' atc:x='840' atc:y='525'/&gt;&lt;/atc:interruption&gt;&lt;/atc:trial&gt;</v>
      </c>
    </row>
    <row r="113" spans="1:7">
      <c r="A113" s="95">
        <v>16</v>
      </c>
      <c r="B113" s="8">
        <v>138</v>
      </c>
      <c r="C113" s="8" t="s">
        <v>333</v>
      </c>
      <c r="D113" s="8" t="str">
        <f t="shared" si="2"/>
        <v>16LS</v>
      </c>
      <c r="E113" s="8" t="s">
        <v>335</v>
      </c>
      <c r="F113" s="8" t="s">
        <v>344</v>
      </c>
      <c r="G113" t="str">
        <f t="shared" si="3"/>
        <v>&lt;atc:trial atc:idx='16LSID' atc:param='default' atc:map='map1' atc:sky="16LS"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atc:start='138' atc:end='165' atc:auto_handoff='true' atc:auto_accept='true' atc:show_blank_screen='true' atc:external_program='blunt8.vbs'&gt;&lt;atc:initial_display atc:symbol='+' atc:font='Courier' atc:font_size='50' atc:font_colour='white' atc:duration_ms='5000' atc:show_timer='false' atc:x='840' atc:y='525'/&gt;&lt;/atc:interruption&gt;&lt;/atc:trial&gt;</v>
      </c>
    </row>
    <row r="114" spans="1:7">
      <c r="A114" s="90" t="s">
        <v>381</v>
      </c>
      <c r="B114" s="75">
        <v>120</v>
      </c>
      <c r="C114" s="75" t="s">
        <v>334</v>
      </c>
      <c r="D114" s="75" t="str">
        <f t="shared" si="2"/>
        <v>01LL</v>
      </c>
      <c r="E114" s="75" t="s">
        <v>335</v>
      </c>
      <c r="F114" s="75" t="s">
        <v>337</v>
      </c>
      <c r="G114" t="str">
        <f t="shared" si="3"/>
        <v>&lt;atc:trial atc:idx='01LLID' atc:param='default' atc:map='map1' atc:sky="01LL"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atc:start='120' atc:end='147' atc:auto_handoff='true' atc:auto_accept='true' atc:show_blank_screen='true' atc:external_program='blunt1.vbs'&gt;&lt;atc:initial_display atc:symbol='+' atc:font='Courier' atc:font_size='50' atc:font_colour='white' atc:duration_ms='5000' atc:show_timer='false' atc:x='840' atc:y='525'/&gt;&lt;/atc:interruption&gt;&lt;/atc:trial&gt;</v>
      </c>
    </row>
    <row r="115" spans="1:7">
      <c r="A115" s="90" t="s">
        <v>382</v>
      </c>
      <c r="B115" s="75">
        <v>142</v>
      </c>
      <c r="C115" s="75" t="s">
        <v>334</v>
      </c>
      <c r="D115" s="75" t="str">
        <f t="shared" si="2"/>
        <v>02LL</v>
      </c>
      <c r="E115" s="75" t="s">
        <v>335</v>
      </c>
      <c r="F115" s="75" t="s">
        <v>338</v>
      </c>
      <c r="G115" t="str">
        <f t="shared" si="3"/>
        <v>&lt;atc:trial atc:idx='02LLID' atc:param='default' atc:map='map1' atc:sky="02LL"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atc:start='142' atc:end='169' atc:auto_handoff='true' atc:auto_accept='true' atc:show_blank_screen='true' atc:external_program='blunt2.vbs'&gt;&lt;atc:initial_display atc:symbol='+' atc:font='Courier' atc:font_size='50' atc:font_colour='white' atc:duration_ms='5000' atc:show_timer='false' atc:x='840' atc:y='525'/&gt;&lt;/atc:interruption&gt;&lt;/atc:trial&gt;</v>
      </c>
    </row>
    <row r="116" spans="1:7">
      <c r="A116" s="90" t="s">
        <v>383</v>
      </c>
      <c r="B116" s="75">
        <v>95</v>
      </c>
      <c r="C116" s="75" t="s">
        <v>334</v>
      </c>
      <c r="D116" s="75" t="str">
        <f t="shared" si="2"/>
        <v>03LL</v>
      </c>
      <c r="E116" s="75" t="s">
        <v>335</v>
      </c>
      <c r="F116" s="75" t="s">
        <v>339</v>
      </c>
      <c r="G116" t="str">
        <f t="shared" si="3"/>
        <v>&lt;atc:trial atc:idx='03LLID' atc:param='default' atc:map='map1' atc:sky="03LL"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atc:start='95' atc:end='122' atc:auto_handoff='true' atc:auto_accept='true' atc:show_blank_screen='true' atc:external_program='blunt3.vbs'&gt;&lt;atc:initial_display atc:symbol='+' atc:font='Courier' atc:font_size='50' atc:font_colour='white' atc:duration_ms='5000' atc:show_timer='false' atc:x='840' atc:y='525'/&gt;&lt;/atc:interruption&gt;&lt;/atc:trial&gt;</v>
      </c>
    </row>
    <row r="117" spans="1:7">
      <c r="A117" s="90" t="s">
        <v>384</v>
      </c>
      <c r="B117" s="75">
        <v>96</v>
      </c>
      <c r="C117" s="75" t="s">
        <v>334</v>
      </c>
      <c r="D117" s="75" t="str">
        <f t="shared" si="2"/>
        <v>04LL</v>
      </c>
      <c r="E117" s="75" t="s">
        <v>335</v>
      </c>
      <c r="F117" s="75" t="s">
        <v>340</v>
      </c>
      <c r="G117" t="str">
        <f t="shared" si="3"/>
        <v>&lt;atc:trial atc:idx='04LLID' atc:param='default' atc:map='map1' atc:sky="04LL"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atc:start='96' atc:end='123' atc:auto_handoff='true' atc:auto_accept='true' atc:show_blank_screen='true' atc:external_program='blunt4.vbs'&gt;&lt;atc:initial_display atc:symbol='+' atc:font='Courier' atc:font_size='50' atc:font_colour='white' atc:duration_ms='5000' atc:show_timer='false' atc:x='840' atc:y='525'/&gt;&lt;/atc:interruption&gt;&lt;/atc:trial&gt;</v>
      </c>
    </row>
    <row r="118" spans="1:7">
      <c r="A118" s="90" t="s">
        <v>385</v>
      </c>
      <c r="B118" s="75">
        <v>148</v>
      </c>
      <c r="C118" s="75" t="s">
        <v>334</v>
      </c>
      <c r="D118" s="75" t="str">
        <f t="shared" si="2"/>
        <v>05LL</v>
      </c>
      <c r="E118" s="75" t="s">
        <v>335</v>
      </c>
      <c r="F118" s="75" t="s">
        <v>337</v>
      </c>
      <c r="G118" t="str">
        <f t="shared" si="3"/>
        <v>&lt;atc:trial atc:idx='05LLID' atc:param='default' atc:map='map1' atc:sky="05LL"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atc:start='148' atc:end='175' atc:auto_handoff='true' atc:auto_accept='true' atc:show_blank_screen='true' atc:external_program='blunt1.vbs'&gt;&lt;atc:initial_display atc:symbol='+' atc:font='Courier' atc:font_size='50' atc:font_colour='white' atc:duration_ms='5000' atc:show_timer='false' atc:x='840' atc:y='525'/&gt;&lt;/atc:interruption&gt;&lt;/atc:trial&gt;</v>
      </c>
    </row>
    <row r="119" spans="1:7">
      <c r="A119" s="90" t="s">
        <v>386</v>
      </c>
      <c r="B119" s="75">
        <v>96</v>
      </c>
      <c r="C119" s="75" t="s">
        <v>334</v>
      </c>
      <c r="D119" s="75" t="str">
        <f t="shared" si="2"/>
        <v>06LL</v>
      </c>
      <c r="E119" s="75" t="s">
        <v>335</v>
      </c>
      <c r="F119" s="75" t="s">
        <v>338</v>
      </c>
      <c r="G119" t="str">
        <f t="shared" si="3"/>
        <v>&lt;atc:trial atc:idx='06LLID' atc:param='default' atc:map='map1' atc:sky="06LL"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atc:start='96' atc:end='123' atc:auto_handoff='true' atc:auto_accept='true' atc:show_blank_screen='true' atc:external_program='blunt2.vbs'&gt;&lt;atc:initial_display atc:symbol='+' atc:font='Courier' atc:font_size='50' atc:font_colour='white' atc:duration_ms='5000' atc:show_timer='false' atc:x='840' atc:y='525'/&gt;&lt;/atc:interruption&gt;&lt;/atc:trial&gt;</v>
      </c>
    </row>
    <row r="120" spans="1:7">
      <c r="A120" s="90" t="s">
        <v>387</v>
      </c>
      <c r="B120" s="75">
        <v>123</v>
      </c>
      <c r="C120" s="75" t="s">
        <v>334</v>
      </c>
      <c r="D120" s="75" t="str">
        <f t="shared" si="2"/>
        <v>07LL</v>
      </c>
      <c r="E120" s="75" t="s">
        <v>335</v>
      </c>
      <c r="F120" s="75" t="s">
        <v>339</v>
      </c>
      <c r="G120" t="str">
        <f t="shared" si="3"/>
        <v>&lt;atc:trial atc:idx='07LLID' atc:param='default' atc:map='map1' atc:sky="07LL"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atc:start='123' atc:end='150' atc:auto_handoff='true' atc:auto_accept='true' atc:show_blank_screen='true' atc:external_program='blunt3.vbs'&gt;&lt;atc:initial_display atc:symbol='+' atc:font='Courier' atc:font_size='50' atc:font_colour='white' atc:duration_ms='5000' atc:show_timer='false' atc:x='840' atc:y='525'/&gt;&lt;/atc:interruption&gt;&lt;/atc:trial&gt;</v>
      </c>
    </row>
    <row r="121" spans="1:7">
      <c r="A121" s="90" t="s">
        <v>388</v>
      </c>
      <c r="B121" s="75">
        <v>91</v>
      </c>
      <c r="C121" s="75" t="s">
        <v>334</v>
      </c>
      <c r="D121" s="75" t="str">
        <f t="shared" si="2"/>
        <v>08LL</v>
      </c>
      <c r="E121" s="75" t="s">
        <v>335</v>
      </c>
      <c r="F121" s="75" t="s">
        <v>340</v>
      </c>
      <c r="G121" t="str">
        <f t="shared" si="3"/>
        <v>&lt;atc:trial atc:idx='08LLID' atc:param='default' atc:map='map1' atc:sky="08LL"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atc:start='91' atc:end='118' atc:auto_handoff='true' atc:auto_accept='true' atc:show_blank_screen='true' atc:external_program='blunt4.vbs'&gt;&lt;atc:initial_display atc:symbol='+' atc:font='Courier' atc:font_size='50' atc:font_colour='white' atc:duration_ms='5000' atc:show_timer='false' atc:x='840' atc:y='525'/&gt;&lt;/atc:interruption&gt;&lt;/atc:trial&gt;</v>
      </c>
    </row>
    <row r="122" spans="1:7">
      <c r="A122" s="90" t="s">
        <v>389</v>
      </c>
      <c r="B122" s="75">
        <v>133</v>
      </c>
      <c r="C122" s="75" t="s">
        <v>334</v>
      </c>
      <c r="D122" s="75" t="str">
        <f t="shared" si="2"/>
        <v>09LL</v>
      </c>
      <c r="E122" s="75" t="s">
        <v>335</v>
      </c>
      <c r="F122" s="75" t="s">
        <v>341</v>
      </c>
      <c r="G122" t="str">
        <f t="shared" si="3"/>
        <v>&lt;atc:trial atc:idx='09LLID' atc:param='default' atc:map='map1' atc:sky="09LL"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atc:start='133' atc:end='160' atc:auto_handoff='true' atc:auto_accept='true' atc:show_blank_screen='true' atc:external_program='blunt5.vbs'&gt;&lt;atc:initial_display atc:symbol='+' atc:font='Courier' atc:font_size='50' atc:font_colour='white' atc:duration_ms='5000' atc:show_timer='false' atc:x='840' atc:y='525'/&gt;&lt;/atc:interruption&gt;&lt;/atc:trial&gt;</v>
      </c>
    </row>
    <row r="123" spans="1:7">
      <c r="A123" s="90">
        <v>10</v>
      </c>
      <c r="B123" s="75">
        <v>123</v>
      </c>
      <c r="C123" s="75" t="s">
        <v>334</v>
      </c>
      <c r="D123" s="75" t="str">
        <f t="shared" si="2"/>
        <v>10LL</v>
      </c>
      <c r="E123" s="75" t="s">
        <v>335</v>
      </c>
      <c r="F123" s="75" t="s">
        <v>342</v>
      </c>
      <c r="G123" t="str">
        <f t="shared" si="3"/>
        <v>&lt;atc:trial atc:idx='10LLID' atc:param='default' atc:map='map1' atc:sky="10LL"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atc:start='123' atc:end='150' atc:auto_handoff='true' atc:auto_accept='true' atc:show_blank_screen='true' atc:external_program='blunt6.vbs'&gt;&lt;atc:initial_display atc:symbol='+' atc:font='Courier' atc:font_size='50' atc:font_colour='white' atc:duration_ms='5000' atc:show_timer='false' atc:x='840' atc:y='525'/&gt;&lt;/atc:interruption&gt;&lt;/atc:trial&gt;</v>
      </c>
    </row>
    <row r="124" spans="1:7">
      <c r="A124" s="90">
        <v>11</v>
      </c>
      <c r="B124" s="75">
        <v>144</v>
      </c>
      <c r="C124" s="75" t="s">
        <v>334</v>
      </c>
      <c r="D124" s="75" t="str">
        <f t="shared" si="2"/>
        <v>11LL</v>
      </c>
      <c r="E124" s="75" t="s">
        <v>335</v>
      </c>
      <c r="F124" s="75" t="s">
        <v>343</v>
      </c>
      <c r="G124" t="str">
        <f t="shared" si="3"/>
        <v>&lt;atc:trial atc:idx='11LLID' atc:param='default' atc:map='map1' atc:sky="11LL"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atc:start='144' atc:end='171' atc:auto_handoff='true' atc:auto_accept='true' atc:show_blank_screen='true' atc:external_program='blunt7.vbs'&gt;&lt;atc:initial_display atc:symbol='+' atc:font='Courier' atc:font_size='50' atc:font_colour='white' atc:duration_ms='5000' atc:show_timer='false' atc:x='840' atc:y='525'/&gt;&lt;/atc:interruption&gt;&lt;/atc:trial&gt;</v>
      </c>
    </row>
    <row r="125" spans="1:7">
      <c r="A125" s="90">
        <v>12</v>
      </c>
      <c r="B125" s="75">
        <v>120</v>
      </c>
      <c r="C125" s="75" t="s">
        <v>334</v>
      </c>
      <c r="D125" s="75" t="str">
        <f t="shared" si="2"/>
        <v>12LL</v>
      </c>
      <c r="E125" s="75" t="s">
        <v>335</v>
      </c>
      <c r="F125" s="75" t="s">
        <v>344</v>
      </c>
      <c r="G125" t="str">
        <f t="shared" si="3"/>
        <v>&lt;atc:trial atc:idx='12LLID' atc:param='default' atc:map='map1' atc:sky="12LL"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atc:start='120' atc:end='147' atc:auto_handoff='true' atc:auto_accept='true' atc:show_blank_screen='true' atc:external_program='blunt8.vbs'&gt;&lt;atc:initial_display atc:symbol='+' atc:font='Courier' atc:font_size='50' atc:font_colour='white' atc:duration_ms='5000' atc:show_timer='false' atc:x='840' atc:y='525'/&gt;&lt;/atc:interruption&gt;&lt;/atc:trial&gt;</v>
      </c>
    </row>
    <row r="126" spans="1:7">
      <c r="A126" s="90">
        <v>13</v>
      </c>
      <c r="B126" s="75">
        <v>106</v>
      </c>
      <c r="C126" s="75" t="s">
        <v>334</v>
      </c>
      <c r="D126" s="75" t="str">
        <f t="shared" si="2"/>
        <v>13LL</v>
      </c>
      <c r="E126" s="75" t="s">
        <v>335</v>
      </c>
      <c r="F126" s="75" t="s">
        <v>341</v>
      </c>
      <c r="G126" t="str">
        <f t="shared" si="3"/>
        <v>&lt;atc:trial atc:idx='13LLID' atc:param='default' atc:map='map1' atc:sky="13LL"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atc:start='106' atc:end='133' atc:auto_handoff='true' atc:auto_accept='true' atc:show_blank_screen='true' atc:external_program='blunt5.vbs'&gt;&lt;atc:initial_display atc:symbol='+' atc:font='Courier' atc:font_size='50' atc:font_colour='white' atc:duration_ms='5000' atc:show_timer='false' atc:x='840' atc:y='525'/&gt;&lt;/atc:interruption&gt;&lt;/atc:trial&gt;</v>
      </c>
    </row>
    <row r="127" spans="1:7">
      <c r="A127" s="90">
        <v>14</v>
      </c>
      <c r="B127" s="75">
        <v>111</v>
      </c>
      <c r="C127" s="75" t="s">
        <v>334</v>
      </c>
      <c r="D127" s="75" t="str">
        <f t="shared" si="2"/>
        <v>14LL</v>
      </c>
      <c r="E127" s="75" t="s">
        <v>335</v>
      </c>
      <c r="F127" s="75" t="s">
        <v>342</v>
      </c>
      <c r="G127" t="str">
        <f t="shared" si="3"/>
        <v>&lt;atc:trial atc:idx='14LLID' atc:param='default' atc:map='map1' atc:sky="14LL"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atc:start='111' atc:end='138' atc:auto_handoff='true' atc:auto_accept='true' atc:show_blank_screen='true' atc:external_program='blunt6.vbs'&gt;&lt;atc:initial_display atc:symbol='+' atc:font='Courier' atc:font_size='50' atc:font_colour='white' atc:duration_ms='5000' atc:show_timer='false' atc:x='840' atc:y='525'/&gt;&lt;/atc:interruption&gt;&lt;/atc:trial&gt;</v>
      </c>
    </row>
    <row r="128" spans="1:7">
      <c r="A128" s="90">
        <v>15</v>
      </c>
      <c r="B128" s="75">
        <v>144</v>
      </c>
      <c r="C128" s="75" t="s">
        <v>334</v>
      </c>
      <c r="D128" s="75" t="str">
        <f t="shared" si="2"/>
        <v>15LL</v>
      </c>
      <c r="E128" s="75" t="s">
        <v>335</v>
      </c>
      <c r="F128" s="75" t="s">
        <v>343</v>
      </c>
      <c r="G128" t="str">
        <f t="shared" si="3"/>
        <v>&lt;atc:trial atc:idx='15LLID' atc:param='default' atc:map='map1' atc:sky="15LL"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atc:start='144' atc:end='171' atc:auto_handoff='true' atc:auto_accept='true' atc:show_blank_screen='true' atc:external_program='blunt7.vbs'&gt;&lt;atc:initial_display atc:symbol='+' atc:font='Courier' atc:font_size='50' atc:font_colour='white' atc:duration_ms='5000' atc:show_timer='false' atc:x='840' atc:y='525'/&gt;&lt;/atc:interruption&gt;&lt;/atc:trial&gt;</v>
      </c>
    </row>
    <row r="129" spans="1:7">
      <c r="A129" s="90">
        <v>16</v>
      </c>
      <c r="B129" s="75">
        <v>138</v>
      </c>
      <c r="C129" s="75" t="s">
        <v>334</v>
      </c>
      <c r="D129" s="75" t="str">
        <f t="shared" si="2"/>
        <v>16LL</v>
      </c>
      <c r="E129" s="75" t="s">
        <v>335</v>
      </c>
      <c r="F129" s="75" t="s">
        <v>344</v>
      </c>
      <c r="G129" t="str">
        <f t="shared" si="3"/>
        <v>&lt;atc:trial atc:idx='16LLID' atc:param='default' atc:map='map1' atc:sky="16LL" atc:ui='ui001' atc:notify_missed_acceptance='false' atc:notify_missed_handoff='false' atc:disable_callout_rotation='true'&gt;&lt;atc:timeEvent&gt;300&lt;/atc:timeEvent&gt;&lt;atc:info_box atc:x='0' atc:y='0' atc:font='Courier New' atc:font_size='50' atc:font_colour='blue' atc:border='true'&gt;Primary Scenario&lt;/atc:info_box&gt;&lt;atc:interruption atc:start='138' atc:end='165' atc:auto_handoff='true' atc:auto_accept='true' atc:show_blank_screen='true' atc:external_program='blunt8.vbs'&gt;&lt;atc:initial_display atc:symbol='+' atc:font='Courier' atc:font_size='50' atc:font_colour='white' atc:duration_ms='5000' atc:show_timer='false' atc:x='840' atc:y='525'/&gt;&lt;/atc:interruption&gt;&lt;/atc:trial&gt;</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1" workbookViewId="0">
      <selection activeCell="H16" sqref="A15:H16"/>
    </sheetView>
  </sheetViews>
  <sheetFormatPr defaultRowHeight="15"/>
  <sheetData>
    <row r="1" spans="1:7">
      <c r="A1" s="9" t="s">
        <v>50</v>
      </c>
      <c r="B1" s="9" t="s">
        <v>141</v>
      </c>
      <c r="C1" s="9" t="s">
        <v>34</v>
      </c>
      <c r="D1" s="9" t="s">
        <v>69</v>
      </c>
      <c r="E1" s="9" t="s">
        <v>330</v>
      </c>
      <c r="F1" s="9" t="s">
        <v>380</v>
      </c>
    </row>
    <row r="2" spans="1:7">
      <c r="A2" s="19">
        <v>1</v>
      </c>
      <c r="B2" s="19">
        <v>120</v>
      </c>
      <c r="C2" s="19" t="s">
        <v>147</v>
      </c>
      <c r="D2" s="19" t="s">
        <v>348</v>
      </c>
      <c r="E2" s="19" t="s">
        <v>336</v>
      </c>
      <c r="F2" s="19"/>
      <c r="G2" t="str">
        <f>"&lt;atc:trial atc:idx='"&amp;"test"&amp;A2&amp;"' atc:param='default' atc:map='map1' atc:sky="&amp;CHAR(34)&amp;D2&amp;CHAR(34)&amp;" atc:ui='ui001' atc:notify_missed_acceptance='false' atc:notify_missed_handoff='false' atc:disable_callout_rotation='true'&gt;"&amp;"&lt;atc:timeEvent&gt;300&lt;/atc:timeEvent&gt;"&amp;" &lt;!--No Interruption Condition--&gt;"&amp;"&lt;atc:info_box atc:x='0' atc:y='0' atc:font='Courier New' atc:font_size='50' atc:font_colour='blue' atc:border='true'&gt;"&amp;"Scenario"&amp;" "&amp;A2&amp;C2&amp;"&lt;/atc:info_box&gt;&lt;/atc:trial&gt;"&amp;"&lt;atc:instruction atc:idxref="&amp;CHAR(34)&amp;"Rest"&amp;CHAR(34)&amp;"/&gt;"</f>
        <v>&lt;atc:trial atc:idx='test1' atc:param='default' atc:map='map1' atc:sky="scriptSSSL1" atc:ui='ui001' atc:notify_missed_acceptance='false' atc:notify_missed_handoff='false' atc:disable_callout_rotation='true'&gt;&lt;atc:timeEvent&gt;300&lt;/atc:timeEvent&gt; &lt;!--No Interruption Condition--&gt;&lt;atc:info_box atc:x='0' atc:y='0' atc:font='Courier New' atc:font_size='50' atc:font_colour='blue' atc:border='true'&gt;Scenario 1Short&lt;/atc:info_box&gt;&lt;/atc:trial&gt;&lt;atc:instruction atc:idxref="Rest"/&gt;</v>
      </c>
    </row>
    <row r="3" spans="1:7">
      <c r="A3" s="19">
        <v>2</v>
      </c>
      <c r="B3" s="19">
        <v>142</v>
      </c>
      <c r="C3" s="19" t="s">
        <v>147</v>
      </c>
      <c r="D3" s="19" t="s">
        <v>349</v>
      </c>
      <c r="E3" s="19" t="s">
        <v>336</v>
      </c>
      <c r="F3" s="19"/>
      <c r="G3" t="str">
        <f t="shared" ref="G3:G17" si="0">"&lt;atc:trial atc:idx='"&amp;"test"&amp;A3&amp;"' atc:param='default' atc:map='map1' atc:sky="&amp;CHAR(34)&amp;D3&amp;CHAR(34)&amp;" atc:ui='ui001' atc:notify_missed_acceptance='false' atc:notify_missed_handoff='false' atc:disable_callout_rotation='true'&gt;"&amp;"&lt;atc:timeEvent&gt;300&lt;/atc:timeEvent&gt;"&amp;" &lt;!--No Interruption Condition--&gt;"&amp;"&lt;atc:info_box atc:x='0' atc:y='0' atc:font='Courier New' atc:font_size='50' atc:font_colour='blue' atc:border='true'&gt;"&amp;"Scenario"&amp;" "&amp;A3&amp;C3&amp;"&lt;/atc:info_box&gt;&lt;/atc:trial&gt;"&amp;"&lt;atc:instruction atc:idxref="&amp;CHAR(34)&amp;"Rest"&amp;CHAR(34)&amp;"/&gt;"</f>
        <v>&lt;atc:trial atc:idx='test2' atc:param='default' atc:map='map1' atc:sky="scriptSSSL2" atc:ui='ui001' atc:notify_missed_acceptance='false' atc:notify_missed_handoff='false' atc:disable_callout_rotation='true'&gt;&lt;atc:timeEvent&gt;300&lt;/atc:timeEvent&gt; &lt;!--No Interruption Condition--&gt;&lt;atc:info_box atc:x='0' atc:y='0' atc:font='Courier New' atc:font_size='50' atc:font_colour='blue' atc:border='true'&gt;Scenario 2Short&lt;/atc:info_box&gt;&lt;/atc:trial&gt;&lt;atc:instruction atc:idxref="Rest"/&gt;</v>
      </c>
    </row>
    <row r="4" spans="1:7">
      <c r="A4" s="19">
        <v>3</v>
      </c>
      <c r="B4" s="19">
        <v>95</v>
      </c>
      <c r="C4" s="19" t="s">
        <v>147</v>
      </c>
      <c r="D4" s="19" t="s">
        <v>350</v>
      </c>
      <c r="E4" s="19" t="s">
        <v>336</v>
      </c>
      <c r="F4" s="19"/>
      <c r="G4" t="str">
        <f t="shared" si="0"/>
        <v>&lt;atc:trial atc:idx='test3' atc:param='default' atc:map='map1' atc:sky="scriptSSSL3" atc:ui='ui001' atc:notify_missed_acceptance='false' atc:notify_missed_handoff='false' atc:disable_callout_rotation='true'&gt;&lt;atc:timeEvent&gt;300&lt;/atc:timeEvent&gt; &lt;!--No Interruption Condition--&gt;&lt;atc:info_box atc:x='0' atc:y='0' atc:font='Courier New' atc:font_size='50' atc:font_colour='blue' atc:border='true'&gt;Scenario 3Short&lt;/atc:info_box&gt;&lt;/atc:trial&gt;&lt;atc:instruction atc:idxref="Rest"/&gt;</v>
      </c>
    </row>
    <row r="5" spans="1:7">
      <c r="A5" s="19">
        <v>4</v>
      </c>
      <c r="B5" s="19">
        <v>96</v>
      </c>
      <c r="C5" s="19" t="s">
        <v>147</v>
      </c>
      <c r="D5" s="19" t="s">
        <v>351</v>
      </c>
      <c r="E5" s="19" t="s">
        <v>336</v>
      </c>
      <c r="F5" s="19"/>
      <c r="G5" t="str">
        <f t="shared" si="0"/>
        <v>&lt;atc:trial atc:idx='test4' atc:param='default' atc:map='map1' atc:sky="scriptSSSL4" atc:ui='ui001' atc:notify_missed_acceptance='false' atc:notify_missed_handoff='false' atc:disable_callout_rotation='true'&gt;&lt;atc:timeEvent&gt;300&lt;/atc:timeEvent&gt; &lt;!--No Interruption Condition--&gt;&lt;atc:info_box atc:x='0' atc:y='0' atc:font='Courier New' atc:font_size='50' atc:font_colour='blue' atc:border='true'&gt;Scenario 4Short&lt;/atc:info_box&gt;&lt;/atc:trial&gt;&lt;atc:instruction atc:idxref="Rest"/&gt;</v>
      </c>
    </row>
    <row r="6" spans="1:7">
      <c r="A6" s="19">
        <v>5</v>
      </c>
      <c r="B6" s="19">
        <v>148</v>
      </c>
      <c r="C6" s="19" t="s">
        <v>147</v>
      </c>
      <c r="D6" s="19" t="s">
        <v>352</v>
      </c>
      <c r="E6" s="19" t="s">
        <v>336</v>
      </c>
      <c r="F6" s="19"/>
      <c r="G6" t="str">
        <f t="shared" si="0"/>
        <v>&lt;atc:trial atc:idx='test5' atc:param='default' atc:map='map1' atc:sky="scriptSSSL5" atc:ui='ui001' atc:notify_missed_acceptance='false' atc:notify_missed_handoff='false' atc:disable_callout_rotation='true'&gt;&lt;atc:timeEvent&gt;300&lt;/atc:timeEvent&gt; &lt;!--No Interruption Condition--&gt;&lt;atc:info_box atc:x='0' atc:y='0' atc:font='Courier New' atc:font_size='50' atc:font_colour='blue' atc:border='true'&gt;Scenario 5Short&lt;/atc:info_box&gt;&lt;/atc:trial&gt;&lt;atc:instruction atc:idxref="Rest"/&gt;</v>
      </c>
    </row>
    <row r="7" spans="1:7">
      <c r="A7" s="19">
        <v>6</v>
      </c>
      <c r="B7" s="19">
        <v>96</v>
      </c>
      <c r="C7" s="19" t="s">
        <v>147</v>
      </c>
      <c r="D7" s="19" t="s">
        <v>353</v>
      </c>
      <c r="E7" s="19" t="s">
        <v>336</v>
      </c>
      <c r="F7" s="19"/>
      <c r="G7" t="str">
        <f t="shared" si="0"/>
        <v>&lt;atc:trial atc:idx='test6' atc:param='default' atc:map='map1' atc:sky="scriptSSSL6" atc:ui='ui001' atc:notify_missed_acceptance='false' atc:notify_missed_handoff='false' atc:disable_callout_rotation='true'&gt;&lt;atc:timeEvent&gt;300&lt;/atc:timeEvent&gt; &lt;!--No Interruption Condition--&gt;&lt;atc:info_box atc:x='0' atc:y='0' atc:font='Courier New' atc:font_size='50' atc:font_colour='blue' atc:border='true'&gt;Scenario 6Short&lt;/atc:info_box&gt;&lt;/atc:trial&gt;&lt;atc:instruction atc:idxref="Rest"/&gt;</v>
      </c>
    </row>
    <row r="8" spans="1:7">
      <c r="A8" s="19">
        <v>7</v>
      </c>
      <c r="B8" s="19">
        <v>123</v>
      </c>
      <c r="C8" s="19" t="s">
        <v>147</v>
      </c>
      <c r="D8" s="19" t="s">
        <v>354</v>
      </c>
      <c r="E8" s="19" t="s">
        <v>336</v>
      </c>
      <c r="F8" s="19"/>
      <c r="G8" t="str">
        <f t="shared" si="0"/>
        <v>&lt;atc:trial atc:idx='test7' atc:param='default' atc:map='map1' atc:sky="scriptSSSL7" atc:ui='ui001' atc:notify_missed_acceptance='false' atc:notify_missed_handoff='false' atc:disable_callout_rotation='true'&gt;&lt;atc:timeEvent&gt;300&lt;/atc:timeEvent&gt; &lt;!--No Interruption Condition--&gt;&lt;atc:info_box atc:x='0' atc:y='0' atc:font='Courier New' atc:font_size='50' atc:font_colour='blue' atc:border='true'&gt;Scenario 7Short&lt;/atc:info_box&gt;&lt;/atc:trial&gt;&lt;atc:instruction atc:idxref="Rest"/&gt;</v>
      </c>
    </row>
    <row r="9" spans="1:7">
      <c r="A9" s="19">
        <v>8</v>
      </c>
      <c r="B9" s="19">
        <v>91</v>
      </c>
      <c r="C9" s="19" t="s">
        <v>147</v>
      </c>
      <c r="D9" s="19" t="s">
        <v>355</v>
      </c>
      <c r="E9" s="19" t="s">
        <v>336</v>
      </c>
      <c r="F9" s="19"/>
      <c r="G9" t="str">
        <f t="shared" si="0"/>
        <v>&lt;atc:trial atc:idx='test8' atc:param='default' atc:map='map1' atc:sky="scriptSSSL8" atc:ui='ui001' atc:notify_missed_acceptance='false' atc:notify_missed_handoff='false' atc:disable_callout_rotation='true'&gt;&lt;atc:timeEvent&gt;300&lt;/atc:timeEvent&gt; &lt;!--No Interruption Condition--&gt;&lt;atc:info_box atc:x='0' atc:y='0' atc:font='Courier New' atc:font_size='50' atc:font_colour='blue' atc:border='true'&gt;Scenario 8Short&lt;/atc:info_box&gt;&lt;/atc:trial&gt;&lt;atc:instruction atc:idxref="Rest"/&gt;</v>
      </c>
    </row>
    <row r="10" spans="1:7">
      <c r="A10" s="19">
        <v>9</v>
      </c>
      <c r="B10" s="19">
        <v>133</v>
      </c>
      <c r="C10" s="19" t="s">
        <v>147</v>
      </c>
      <c r="D10" s="19" t="s">
        <v>356</v>
      </c>
      <c r="E10" s="19" t="s">
        <v>336</v>
      </c>
      <c r="F10" s="19"/>
      <c r="G10" t="str">
        <f t="shared" si="0"/>
        <v>&lt;atc:trial atc:idx='test9' atc:param='default' atc:map='map1' atc:sky="scriptSSSL9" atc:ui='ui001' atc:notify_missed_acceptance='false' atc:notify_missed_handoff='false' atc:disable_callout_rotation='true'&gt;&lt;atc:timeEvent&gt;300&lt;/atc:timeEvent&gt; &lt;!--No Interruption Condition--&gt;&lt;atc:info_box atc:x='0' atc:y='0' atc:font='Courier New' atc:font_size='50' atc:font_colour='blue' atc:border='true'&gt;Scenario 9Short&lt;/atc:info_box&gt;&lt;/atc:trial&gt;&lt;atc:instruction atc:idxref="Rest"/&gt;</v>
      </c>
    </row>
    <row r="11" spans="1:7">
      <c r="A11" s="19">
        <v>10</v>
      </c>
      <c r="B11" s="19">
        <v>123</v>
      </c>
      <c r="C11" s="19" t="s">
        <v>147</v>
      </c>
      <c r="D11" s="19" t="s">
        <v>357</v>
      </c>
      <c r="E11" s="19" t="s">
        <v>336</v>
      </c>
      <c r="F11" s="19"/>
      <c r="G11" t="str">
        <f t="shared" si="0"/>
        <v>&lt;atc:trial atc:idx='test10' atc:param='default' atc:map='map1' atc:sky="scriptSSSL10" atc:ui='ui001' atc:notify_missed_acceptance='false' atc:notify_missed_handoff='false' atc:disable_callout_rotation='true'&gt;&lt;atc:timeEvent&gt;300&lt;/atc:timeEvent&gt; &lt;!--No Interruption Condition--&gt;&lt;atc:info_box atc:x='0' atc:y='0' atc:font='Courier New' atc:font_size='50' atc:font_colour='blue' atc:border='true'&gt;Scenario 10Short&lt;/atc:info_box&gt;&lt;/atc:trial&gt;&lt;atc:instruction atc:idxref="Rest"/&gt;</v>
      </c>
    </row>
    <row r="12" spans="1:7">
      <c r="A12" s="19">
        <v>11</v>
      </c>
      <c r="B12" s="19">
        <v>144</v>
      </c>
      <c r="C12" s="19" t="s">
        <v>147</v>
      </c>
      <c r="D12" s="19" t="s">
        <v>358</v>
      </c>
      <c r="E12" s="19" t="s">
        <v>336</v>
      </c>
      <c r="F12" s="19"/>
      <c r="G12" t="str">
        <f t="shared" si="0"/>
        <v>&lt;atc:trial atc:idx='test11' atc:param='default' atc:map='map1' atc:sky="scriptSSSL11" atc:ui='ui001' atc:notify_missed_acceptance='false' atc:notify_missed_handoff='false' atc:disable_callout_rotation='true'&gt;&lt;atc:timeEvent&gt;300&lt;/atc:timeEvent&gt; &lt;!--No Interruption Condition--&gt;&lt;atc:info_box atc:x='0' atc:y='0' atc:font='Courier New' atc:font_size='50' atc:font_colour='blue' atc:border='true'&gt;Scenario 11Short&lt;/atc:info_box&gt;&lt;/atc:trial&gt;&lt;atc:instruction atc:idxref="Rest"/&gt;</v>
      </c>
    </row>
    <row r="13" spans="1:7">
      <c r="A13" s="19">
        <v>12</v>
      </c>
      <c r="B13" s="19">
        <v>120</v>
      </c>
      <c r="C13" s="19" t="s">
        <v>147</v>
      </c>
      <c r="D13" s="19" t="s">
        <v>359</v>
      </c>
      <c r="E13" s="19" t="s">
        <v>336</v>
      </c>
      <c r="F13" s="19"/>
      <c r="G13" t="str">
        <f t="shared" si="0"/>
        <v>&lt;atc:trial atc:idx='test12' atc:param='default' atc:map='map1' atc:sky="scriptSSSL12" atc:ui='ui001' atc:notify_missed_acceptance='false' atc:notify_missed_handoff='false' atc:disable_callout_rotation='true'&gt;&lt;atc:timeEvent&gt;300&lt;/atc:timeEvent&gt; &lt;!--No Interruption Condition--&gt;&lt;atc:info_box atc:x='0' atc:y='0' atc:font='Courier New' atc:font_size='50' atc:font_colour='blue' atc:border='true'&gt;Scenario 12Short&lt;/atc:info_box&gt;&lt;/atc:trial&gt;&lt;atc:instruction atc:idxref="Rest"/&gt;</v>
      </c>
    </row>
    <row r="14" spans="1:7">
      <c r="A14" s="19">
        <v>13</v>
      </c>
      <c r="B14" s="19">
        <v>106</v>
      </c>
      <c r="C14" s="19" t="s">
        <v>147</v>
      </c>
      <c r="D14" s="19" t="s">
        <v>360</v>
      </c>
      <c r="E14" s="19" t="s">
        <v>336</v>
      </c>
      <c r="F14" s="19"/>
      <c r="G14" t="str">
        <f t="shared" si="0"/>
        <v>&lt;atc:trial atc:idx='test13' atc:param='default' atc:map='map1' atc:sky="scriptSSSL13" atc:ui='ui001' atc:notify_missed_acceptance='false' atc:notify_missed_handoff='false' atc:disable_callout_rotation='true'&gt;&lt;atc:timeEvent&gt;300&lt;/atc:timeEvent&gt; &lt;!--No Interruption Condition--&gt;&lt;atc:info_box atc:x='0' atc:y='0' atc:font='Courier New' atc:font_size='50' atc:font_colour='blue' atc:border='true'&gt;Scenario 13Short&lt;/atc:info_box&gt;&lt;/atc:trial&gt;&lt;atc:instruction atc:idxref="Rest"/&gt;</v>
      </c>
    </row>
    <row r="15" spans="1:7">
      <c r="A15" s="19">
        <v>14</v>
      </c>
      <c r="B15" s="19">
        <v>111</v>
      </c>
      <c r="C15" s="19" t="s">
        <v>147</v>
      </c>
      <c r="D15" s="19" t="s">
        <v>361</v>
      </c>
      <c r="E15" s="19" t="s">
        <v>336</v>
      </c>
      <c r="F15" s="19"/>
      <c r="G15" t="str">
        <f t="shared" si="0"/>
        <v>&lt;atc:trial atc:idx='test14' atc:param='default' atc:map='map1' atc:sky="scriptSSSL14" atc:ui='ui001' atc:notify_missed_acceptance='false' atc:notify_missed_handoff='false' atc:disable_callout_rotation='true'&gt;&lt;atc:timeEvent&gt;300&lt;/atc:timeEvent&gt; &lt;!--No Interruption Condition--&gt;&lt;atc:info_box atc:x='0' atc:y='0' atc:font='Courier New' atc:font_size='50' atc:font_colour='blue' atc:border='true'&gt;Scenario 14Short&lt;/atc:info_box&gt;&lt;/atc:trial&gt;&lt;atc:instruction atc:idxref="Rest"/&gt;</v>
      </c>
    </row>
    <row r="16" spans="1:7">
      <c r="A16" s="19">
        <v>15</v>
      </c>
      <c r="B16" s="19">
        <v>144</v>
      </c>
      <c r="C16" s="19" t="s">
        <v>147</v>
      </c>
      <c r="D16" s="19" t="s">
        <v>362</v>
      </c>
      <c r="E16" s="19" t="s">
        <v>336</v>
      </c>
      <c r="F16" s="19"/>
      <c r="G16" t="str">
        <f t="shared" si="0"/>
        <v>&lt;atc:trial atc:idx='test15' atc:param='default' atc:map='map1' atc:sky="scriptSSSL15" atc:ui='ui001' atc:notify_missed_acceptance='false' atc:notify_missed_handoff='false' atc:disable_callout_rotation='true'&gt;&lt;atc:timeEvent&gt;300&lt;/atc:timeEvent&gt; &lt;!--No Interruption Condition--&gt;&lt;atc:info_box atc:x='0' atc:y='0' atc:font='Courier New' atc:font_size='50' atc:font_colour='blue' atc:border='true'&gt;Scenario 15Short&lt;/atc:info_box&gt;&lt;/atc:trial&gt;&lt;atc:instruction atc:idxref="Rest"/&gt;</v>
      </c>
    </row>
    <row r="17" spans="1:7">
      <c r="A17" s="19">
        <v>16</v>
      </c>
      <c r="B17" s="19">
        <v>138</v>
      </c>
      <c r="C17" s="19" t="s">
        <v>147</v>
      </c>
      <c r="D17" s="19" t="s">
        <v>363</v>
      </c>
      <c r="E17" s="19" t="s">
        <v>336</v>
      </c>
      <c r="F17" s="19"/>
      <c r="G17" t="str">
        <f t="shared" si="0"/>
        <v>&lt;atc:trial atc:idx='test16' atc:param='default' atc:map='map1' atc:sky="scriptSSSL16" atc:ui='ui001' atc:notify_missed_acceptance='false' atc:notify_missed_handoff='false' atc:disable_callout_rotation='true'&gt;&lt;atc:timeEvent&gt;300&lt;/atc:timeEvent&gt; &lt;!--No Interruption Condition--&gt;&lt;atc:info_box atc:x='0' atc:y='0' atc:font='Courier New' atc:font_size='50' atc:font_colour='blue' atc:border='true'&gt;Scenario 16Short&lt;/atc:info_box&gt;&lt;/atc:trial&gt;&lt;atc:instruction atc:idxref="Rest"/&gt;</v>
      </c>
    </row>
    <row r="18" spans="1:7">
      <c r="A18" s="34">
        <v>1</v>
      </c>
      <c r="B18" s="34">
        <v>120</v>
      </c>
      <c r="C18" s="34" t="s">
        <v>148</v>
      </c>
      <c r="D18" s="34" t="s">
        <v>364</v>
      </c>
      <c r="E18" s="34" t="s">
        <v>336</v>
      </c>
      <c r="F18" s="34"/>
      <c r="G18" t="str">
        <f>"&lt;atc:trial atc:idx='"&amp;"test"&amp;A18&amp;"' atc:param='default' atc:map='map1' atc:sky="&amp;CHAR(34)&amp;D18&amp;CHAR(34)&amp;" atc:ui='ui001' atc:notify_missed_acceptance='false' atc:notify_missed_handoff='false' atc:disable_callout_rotation='true'&gt;"&amp;"&lt;atc:timeEvent&gt;300&lt;/atc:timeEvent&gt;"&amp;" &lt;!--No Interruption Condition--&gt;"&amp;"&lt;atc:info_box atc:x='0' atc:y='0' atc:font='Courier New' atc:font_size='50' atc:font_colour='blue' atc:border='true'&gt;"&amp;"Scenario"&amp;" "&amp;A18&amp;C18&amp;"&lt;/atc:info_box&gt;&lt;/atc:trial&gt;"&amp;"&lt;atc:instruction atc:idxref="&amp;CHAR(34)&amp;"Rest"&amp;CHAR(34)&amp;"/&gt;"</f>
        <v>&lt;atc:trial atc:idx='test1' atc:param='default' atc:map='map1' atc:sky="scriptSLLL1" atc:ui='ui001' atc:notify_missed_acceptance='false' atc:notify_missed_handoff='false' atc:disable_callout_rotation='true'&gt;&lt;atc:timeEvent&gt;300&lt;/atc:timeEvent&gt; &lt;!--No Interruption Condition--&gt;&lt;atc:info_box atc:x='0' atc:y='0' atc:font='Courier New' atc:font_size='50' atc:font_colour='blue' atc:border='true'&gt;Scenario 1Long&lt;/atc:info_box&gt;&lt;/atc:trial&gt;&lt;atc:instruction atc:idxref="Rest"/&gt;</v>
      </c>
    </row>
    <row r="19" spans="1:7">
      <c r="A19" s="34">
        <v>2</v>
      </c>
      <c r="B19" s="34">
        <v>142</v>
      </c>
      <c r="C19" s="34" t="s">
        <v>148</v>
      </c>
      <c r="D19" s="34" t="s">
        <v>365</v>
      </c>
      <c r="E19" s="34" t="s">
        <v>336</v>
      </c>
      <c r="F19" s="34"/>
      <c r="G19" t="str">
        <f t="shared" ref="G19:G33" si="1">"&lt;atc:trial atc:idx='"&amp;"test"&amp;A19&amp;"' atc:param='default' atc:map='map1' atc:sky="&amp;CHAR(34)&amp;D19&amp;CHAR(34)&amp;" atc:ui='ui001' atc:notify_missed_acceptance='false' atc:notify_missed_handoff='false' atc:disable_callout_rotation='true'&gt;"&amp;"&lt;atc:timeEvent&gt;300&lt;/atc:timeEvent&gt;"&amp;" &lt;!--No Interruption Condition--&gt;"&amp;"&lt;atc:info_box atc:x='0' atc:y='0' atc:font='Courier New' atc:font_size='50' atc:font_colour='blue' atc:border='true'&gt;"&amp;"Scenario"&amp;" "&amp;A19&amp;C19&amp;"&lt;/atc:info_box&gt;&lt;/atc:trial&gt;"&amp;"&lt;atc:instruction atc:idxref="&amp;CHAR(34)&amp;"Rest"&amp;CHAR(34)&amp;"/&gt;"</f>
        <v>&lt;atc:trial atc:idx='test2' atc:param='default' atc:map='map1' atc:sky="scriptSLLL2" atc:ui='ui001' atc:notify_missed_acceptance='false' atc:notify_missed_handoff='false' atc:disable_callout_rotation='true'&gt;&lt;atc:timeEvent&gt;300&lt;/atc:timeEvent&gt; &lt;!--No Interruption Condition--&gt;&lt;atc:info_box atc:x='0' atc:y='0' atc:font='Courier New' atc:font_size='50' atc:font_colour='blue' atc:border='true'&gt;Scenario 2Long&lt;/atc:info_box&gt;&lt;/atc:trial&gt;&lt;atc:instruction atc:idxref="Rest"/&gt;</v>
      </c>
    </row>
    <row r="20" spans="1:7">
      <c r="A20" s="34">
        <v>3</v>
      </c>
      <c r="B20" s="34">
        <v>95</v>
      </c>
      <c r="C20" s="34" t="s">
        <v>148</v>
      </c>
      <c r="D20" s="34" t="s">
        <v>366</v>
      </c>
      <c r="E20" s="34" t="s">
        <v>336</v>
      </c>
      <c r="F20" s="34"/>
      <c r="G20" t="str">
        <f t="shared" si="1"/>
        <v>&lt;atc:trial atc:idx='test3' atc:param='default' atc:map='map1' atc:sky="scriptSLLL3" atc:ui='ui001' atc:notify_missed_acceptance='false' atc:notify_missed_handoff='false' atc:disable_callout_rotation='true'&gt;&lt;atc:timeEvent&gt;300&lt;/atc:timeEvent&gt; &lt;!--No Interruption Condition--&gt;&lt;atc:info_box atc:x='0' atc:y='0' atc:font='Courier New' atc:font_size='50' atc:font_colour='blue' atc:border='true'&gt;Scenario 3Long&lt;/atc:info_box&gt;&lt;/atc:trial&gt;&lt;atc:instruction atc:idxref="Rest"/&gt;</v>
      </c>
    </row>
    <row r="21" spans="1:7">
      <c r="A21" s="34">
        <v>4</v>
      </c>
      <c r="B21" s="34">
        <v>96</v>
      </c>
      <c r="C21" s="34" t="s">
        <v>148</v>
      </c>
      <c r="D21" s="34" t="s">
        <v>367</v>
      </c>
      <c r="E21" s="34" t="s">
        <v>336</v>
      </c>
      <c r="F21" s="34"/>
      <c r="G21" t="str">
        <f t="shared" si="1"/>
        <v>&lt;atc:trial atc:idx='test4' atc:param='default' atc:map='map1' atc:sky="scriptSLLL4" atc:ui='ui001' atc:notify_missed_acceptance='false' atc:notify_missed_handoff='false' atc:disable_callout_rotation='true'&gt;&lt;atc:timeEvent&gt;300&lt;/atc:timeEvent&gt; &lt;!--No Interruption Condition--&gt;&lt;atc:info_box atc:x='0' atc:y='0' atc:font='Courier New' atc:font_size='50' atc:font_colour='blue' atc:border='true'&gt;Scenario 4Long&lt;/atc:info_box&gt;&lt;/atc:trial&gt;&lt;atc:instruction atc:idxref="Rest"/&gt;</v>
      </c>
    </row>
    <row r="22" spans="1:7">
      <c r="A22" s="34">
        <v>5</v>
      </c>
      <c r="B22" s="34">
        <v>148</v>
      </c>
      <c r="C22" s="34" t="s">
        <v>148</v>
      </c>
      <c r="D22" s="34" t="s">
        <v>368</v>
      </c>
      <c r="E22" s="34" t="s">
        <v>336</v>
      </c>
      <c r="F22" s="34"/>
      <c r="G22" t="str">
        <f t="shared" si="1"/>
        <v>&lt;atc:trial atc:idx='test5' atc:param='default' atc:map='map1' atc:sky="scriptSLLL5" atc:ui='ui001' atc:notify_missed_acceptance='false' atc:notify_missed_handoff='false' atc:disable_callout_rotation='true'&gt;&lt;atc:timeEvent&gt;300&lt;/atc:timeEvent&gt; &lt;!--No Interruption Condition--&gt;&lt;atc:info_box atc:x='0' atc:y='0' atc:font='Courier New' atc:font_size='50' atc:font_colour='blue' atc:border='true'&gt;Scenario 5Long&lt;/atc:info_box&gt;&lt;/atc:trial&gt;&lt;atc:instruction atc:idxref="Rest"/&gt;</v>
      </c>
    </row>
    <row r="23" spans="1:7">
      <c r="A23" s="34">
        <v>6</v>
      </c>
      <c r="B23" s="34">
        <v>96</v>
      </c>
      <c r="C23" s="34" t="s">
        <v>148</v>
      </c>
      <c r="D23" s="34" t="s">
        <v>369</v>
      </c>
      <c r="E23" s="34" t="s">
        <v>336</v>
      </c>
      <c r="F23" s="34"/>
      <c r="G23" t="str">
        <f t="shared" si="1"/>
        <v>&lt;atc:trial atc:idx='test6' atc:param='default' atc:map='map1' atc:sky="scriptSLLL6" atc:ui='ui001' atc:notify_missed_acceptance='false' atc:notify_missed_handoff='false' atc:disable_callout_rotation='true'&gt;&lt;atc:timeEvent&gt;300&lt;/atc:timeEvent&gt; &lt;!--No Interruption Condition--&gt;&lt;atc:info_box atc:x='0' atc:y='0' atc:font='Courier New' atc:font_size='50' atc:font_colour='blue' atc:border='true'&gt;Scenario 6Long&lt;/atc:info_box&gt;&lt;/atc:trial&gt;&lt;atc:instruction atc:idxref="Rest"/&gt;</v>
      </c>
    </row>
    <row r="24" spans="1:7">
      <c r="A24" s="34">
        <v>7</v>
      </c>
      <c r="B24" s="34">
        <v>123</v>
      </c>
      <c r="C24" s="34" t="s">
        <v>148</v>
      </c>
      <c r="D24" s="34" t="s">
        <v>370</v>
      </c>
      <c r="E24" s="34" t="s">
        <v>336</v>
      </c>
      <c r="F24" s="34"/>
      <c r="G24" t="str">
        <f t="shared" si="1"/>
        <v>&lt;atc:trial atc:idx='test7' atc:param='default' atc:map='map1' atc:sky="scriptSLLL7" atc:ui='ui001' atc:notify_missed_acceptance='false' atc:notify_missed_handoff='false' atc:disable_callout_rotation='true'&gt;&lt;atc:timeEvent&gt;300&lt;/atc:timeEvent&gt; &lt;!--No Interruption Condition--&gt;&lt;atc:info_box atc:x='0' atc:y='0' atc:font='Courier New' atc:font_size='50' atc:font_colour='blue' atc:border='true'&gt;Scenario 7Long&lt;/atc:info_box&gt;&lt;/atc:trial&gt;&lt;atc:instruction atc:idxref="Rest"/&gt;</v>
      </c>
    </row>
    <row r="25" spans="1:7">
      <c r="A25" s="34">
        <v>8</v>
      </c>
      <c r="B25" s="34">
        <v>91</v>
      </c>
      <c r="C25" s="34" t="s">
        <v>148</v>
      </c>
      <c r="D25" s="34" t="s">
        <v>371</v>
      </c>
      <c r="E25" s="34" t="s">
        <v>336</v>
      </c>
      <c r="F25" s="34"/>
      <c r="G25" t="str">
        <f t="shared" si="1"/>
        <v>&lt;atc:trial atc:idx='test8' atc:param='default' atc:map='map1' atc:sky="scriptSLLL8" atc:ui='ui001' atc:notify_missed_acceptance='false' atc:notify_missed_handoff='false' atc:disable_callout_rotation='true'&gt;&lt;atc:timeEvent&gt;300&lt;/atc:timeEvent&gt; &lt;!--No Interruption Condition--&gt;&lt;atc:info_box atc:x='0' atc:y='0' atc:font='Courier New' atc:font_size='50' atc:font_colour='blue' atc:border='true'&gt;Scenario 8Long&lt;/atc:info_box&gt;&lt;/atc:trial&gt;&lt;atc:instruction atc:idxref="Rest"/&gt;</v>
      </c>
    </row>
    <row r="26" spans="1:7">
      <c r="A26" s="34">
        <v>9</v>
      </c>
      <c r="B26" s="34">
        <v>133</v>
      </c>
      <c r="C26" s="34" t="s">
        <v>148</v>
      </c>
      <c r="D26" s="34" t="s">
        <v>372</v>
      </c>
      <c r="E26" s="34" t="s">
        <v>336</v>
      </c>
      <c r="F26" s="34"/>
      <c r="G26" t="str">
        <f t="shared" si="1"/>
        <v>&lt;atc:trial atc:idx='test9' atc:param='default' atc:map='map1' atc:sky="scriptSLLL9" atc:ui='ui001' atc:notify_missed_acceptance='false' atc:notify_missed_handoff='false' atc:disable_callout_rotation='true'&gt;&lt;atc:timeEvent&gt;300&lt;/atc:timeEvent&gt; &lt;!--No Interruption Condition--&gt;&lt;atc:info_box atc:x='0' atc:y='0' atc:font='Courier New' atc:font_size='50' atc:font_colour='blue' atc:border='true'&gt;Scenario 9Long&lt;/atc:info_box&gt;&lt;/atc:trial&gt;&lt;atc:instruction atc:idxref="Rest"/&gt;</v>
      </c>
    </row>
    <row r="27" spans="1:7">
      <c r="A27" s="34">
        <v>10</v>
      </c>
      <c r="B27" s="34">
        <v>123</v>
      </c>
      <c r="C27" s="34" t="s">
        <v>148</v>
      </c>
      <c r="D27" s="34" t="s">
        <v>373</v>
      </c>
      <c r="E27" s="34" t="s">
        <v>336</v>
      </c>
      <c r="F27" s="34"/>
      <c r="G27" t="str">
        <f t="shared" si="1"/>
        <v>&lt;atc:trial atc:idx='test10' atc:param='default' atc:map='map1' atc:sky="scriptSLLL10" atc:ui='ui001' atc:notify_missed_acceptance='false' atc:notify_missed_handoff='false' atc:disable_callout_rotation='true'&gt;&lt;atc:timeEvent&gt;300&lt;/atc:timeEvent&gt; &lt;!--No Interruption Condition--&gt;&lt;atc:info_box atc:x='0' atc:y='0' atc:font='Courier New' atc:font_size='50' atc:font_colour='blue' atc:border='true'&gt;Scenario 10Long&lt;/atc:info_box&gt;&lt;/atc:trial&gt;&lt;atc:instruction atc:idxref="Rest"/&gt;</v>
      </c>
    </row>
    <row r="28" spans="1:7">
      <c r="A28" s="34">
        <v>11</v>
      </c>
      <c r="B28" s="34">
        <v>144</v>
      </c>
      <c r="C28" s="34" t="s">
        <v>148</v>
      </c>
      <c r="D28" s="34" t="s">
        <v>374</v>
      </c>
      <c r="E28" s="34" t="s">
        <v>336</v>
      </c>
      <c r="F28" s="34"/>
      <c r="G28" t="str">
        <f t="shared" si="1"/>
        <v>&lt;atc:trial atc:idx='test11' atc:param='default' atc:map='map1' atc:sky="scriptSLLL11" atc:ui='ui001' atc:notify_missed_acceptance='false' atc:notify_missed_handoff='false' atc:disable_callout_rotation='true'&gt;&lt;atc:timeEvent&gt;300&lt;/atc:timeEvent&gt; &lt;!--No Interruption Condition--&gt;&lt;atc:info_box atc:x='0' atc:y='0' atc:font='Courier New' atc:font_size='50' atc:font_colour='blue' atc:border='true'&gt;Scenario 11Long&lt;/atc:info_box&gt;&lt;/atc:trial&gt;&lt;atc:instruction atc:idxref="Rest"/&gt;</v>
      </c>
    </row>
    <row r="29" spans="1:7">
      <c r="A29" s="34">
        <v>12</v>
      </c>
      <c r="B29" s="34">
        <v>120</v>
      </c>
      <c r="C29" s="34" t="s">
        <v>148</v>
      </c>
      <c r="D29" s="34" t="s">
        <v>375</v>
      </c>
      <c r="E29" s="34" t="s">
        <v>336</v>
      </c>
      <c r="F29" s="34"/>
      <c r="G29" t="str">
        <f t="shared" si="1"/>
        <v>&lt;atc:trial atc:idx='test12' atc:param='default' atc:map='map1' atc:sky="scriptSLLL12" atc:ui='ui001' atc:notify_missed_acceptance='false' atc:notify_missed_handoff='false' atc:disable_callout_rotation='true'&gt;&lt;atc:timeEvent&gt;300&lt;/atc:timeEvent&gt; &lt;!--No Interruption Condition--&gt;&lt;atc:info_box atc:x='0' atc:y='0' atc:font='Courier New' atc:font_size='50' atc:font_colour='blue' atc:border='true'&gt;Scenario 12Long&lt;/atc:info_box&gt;&lt;/atc:trial&gt;&lt;atc:instruction atc:idxref="Rest"/&gt;</v>
      </c>
    </row>
    <row r="30" spans="1:7">
      <c r="A30" s="34">
        <v>13</v>
      </c>
      <c r="B30" s="34">
        <v>106</v>
      </c>
      <c r="C30" s="34" t="s">
        <v>148</v>
      </c>
      <c r="D30" s="34" t="s">
        <v>376</v>
      </c>
      <c r="E30" s="34" t="s">
        <v>336</v>
      </c>
      <c r="F30" s="34"/>
      <c r="G30" t="str">
        <f t="shared" si="1"/>
        <v>&lt;atc:trial atc:idx='test13' atc:param='default' atc:map='map1' atc:sky="scriptSLLL13" atc:ui='ui001' atc:notify_missed_acceptance='false' atc:notify_missed_handoff='false' atc:disable_callout_rotation='true'&gt;&lt;atc:timeEvent&gt;300&lt;/atc:timeEvent&gt; &lt;!--No Interruption Condition--&gt;&lt;atc:info_box atc:x='0' atc:y='0' atc:font='Courier New' atc:font_size='50' atc:font_colour='blue' atc:border='true'&gt;Scenario 13Long&lt;/atc:info_box&gt;&lt;/atc:trial&gt;&lt;atc:instruction atc:idxref="Rest"/&gt;</v>
      </c>
    </row>
    <row r="31" spans="1:7">
      <c r="A31" s="34">
        <v>14</v>
      </c>
      <c r="B31" s="34">
        <v>111</v>
      </c>
      <c r="C31" s="34" t="s">
        <v>148</v>
      </c>
      <c r="D31" s="34" t="s">
        <v>377</v>
      </c>
      <c r="E31" s="34" t="s">
        <v>336</v>
      </c>
      <c r="F31" s="34"/>
      <c r="G31" t="str">
        <f t="shared" si="1"/>
        <v>&lt;atc:trial atc:idx='test14' atc:param='default' atc:map='map1' atc:sky="scriptSLLL14" atc:ui='ui001' atc:notify_missed_acceptance='false' atc:notify_missed_handoff='false' atc:disable_callout_rotation='true'&gt;&lt;atc:timeEvent&gt;300&lt;/atc:timeEvent&gt; &lt;!--No Interruption Condition--&gt;&lt;atc:info_box atc:x='0' atc:y='0' atc:font='Courier New' atc:font_size='50' atc:font_colour='blue' atc:border='true'&gt;Scenario 14Long&lt;/atc:info_box&gt;&lt;/atc:trial&gt;&lt;atc:instruction atc:idxref="Rest"/&gt;</v>
      </c>
    </row>
    <row r="32" spans="1:7">
      <c r="A32" s="34">
        <v>15</v>
      </c>
      <c r="B32" s="34">
        <v>144</v>
      </c>
      <c r="C32" s="34" t="s">
        <v>148</v>
      </c>
      <c r="D32" s="34" t="s">
        <v>378</v>
      </c>
      <c r="E32" s="34" t="s">
        <v>336</v>
      </c>
      <c r="F32" s="34"/>
      <c r="G32" t="str">
        <f t="shared" si="1"/>
        <v>&lt;atc:trial atc:idx='test15' atc:param='default' atc:map='map1' atc:sky="scriptSLLL15" atc:ui='ui001' atc:notify_missed_acceptance='false' atc:notify_missed_handoff='false' atc:disable_callout_rotation='true'&gt;&lt;atc:timeEvent&gt;300&lt;/atc:timeEvent&gt; &lt;!--No Interruption Condition--&gt;&lt;atc:info_box atc:x='0' atc:y='0' atc:font='Courier New' atc:font_size='50' atc:font_colour='blue' atc:border='true'&gt;Scenario 15Long&lt;/atc:info_box&gt;&lt;/atc:trial&gt;&lt;atc:instruction atc:idxref="Rest"/&gt;</v>
      </c>
    </row>
    <row r="33" spans="1:7">
      <c r="A33" s="34">
        <v>16</v>
      </c>
      <c r="B33" s="34">
        <v>138</v>
      </c>
      <c r="C33" s="34" t="s">
        <v>148</v>
      </c>
      <c r="D33" s="34" t="s">
        <v>379</v>
      </c>
      <c r="E33" s="34" t="s">
        <v>336</v>
      </c>
      <c r="F33" s="34"/>
      <c r="G33" t="str">
        <f t="shared" si="1"/>
        <v>&lt;atc:trial atc:idx='test16' atc:param='default' atc:map='map1' atc:sky="scriptSLLL16" atc:ui='ui001' atc:notify_missed_acceptance='false' atc:notify_missed_handoff='false' atc:disable_callout_rotation='true'&gt;&lt;atc:timeEvent&gt;300&lt;/atc:timeEvent&gt; &lt;!--No Interruption Condition--&gt;&lt;atc:info_box atc:x='0' atc:y='0' atc:font='Courier New' atc:font_size='50' atc:font_colour='blue' atc:border='true'&gt;Scenario 16Long&lt;/atc:info_box&gt;&lt;/atc:trial&gt;&lt;atc:instruction atc:idxref="Rest"/&gt;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topLeftCell="G1" workbookViewId="0">
      <selection activeCell="U4" sqref="U4:V4"/>
    </sheetView>
  </sheetViews>
  <sheetFormatPr defaultRowHeight="15"/>
  <cols>
    <col min="8" max="8" width="17.7109375" customWidth="1"/>
    <col min="14" max="14" width="15.42578125" customWidth="1"/>
    <col min="16" max="16" width="14.5703125" customWidth="1"/>
    <col min="17" max="20" width="17.5703125" customWidth="1"/>
    <col min="21" max="21" width="24.42578125" customWidth="1"/>
    <col min="22" max="23" width="13.7109375" bestFit="1" customWidth="1"/>
    <col min="24" max="24" width="19.85546875" customWidth="1"/>
  </cols>
  <sheetData>
    <row r="1" spans="1:24">
      <c r="C1" s="100" t="s">
        <v>73</v>
      </c>
      <c r="D1" s="100"/>
      <c r="E1" s="100"/>
      <c r="F1" s="100"/>
      <c r="G1" s="101" t="s">
        <v>75</v>
      </c>
      <c r="H1" s="101"/>
      <c r="I1" s="102" t="s">
        <v>74</v>
      </c>
      <c r="J1" s="102"/>
      <c r="K1" s="102"/>
      <c r="L1" s="102"/>
      <c r="M1" s="97" t="s">
        <v>77</v>
      </c>
      <c r="N1" s="97"/>
      <c r="O1" s="98" t="s">
        <v>71</v>
      </c>
      <c r="P1" s="98"/>
      <c r="Q1" s="12" t="s">
        <v>78</v>
      </c>
      <c r="R1" s="12" t="s">
        <v>81</v>
      </c>
      <c r="S1" s="99" t="s">
        <v>85</v>
      </c>
      <c r="T1" s="99"/>
      <c r="U1" s="96" t="s">
        <v>86</v>
      </c>
      <c r="V1" s="96"/>
      <c r="W1" s="96"/>
      <c r="X1" s="21" t="s">
        <v>83</v>
      </c>
    </row>
    <row r="2" spans="1:24">
      <c r="A2" t="s">
        <v>87</v>
      </c>
      <c r="B2" t="s">
        <v>0</v>
      </c>
      <c r="C2" s="19" t="s">
        <v>38</v>
      </c>
      <c r="D2" s="19" t="s">
        <v>39</v>
      </c>
      <c r="E2" s="19" t="s">
        <v>40</v>
      </c>
      <c r="F2" s="19" t="s">
        <v>41</v>
      </c>
      <c r="G2" s="16" t="s">
        <v>42</v>
      </c>
      <c r="H2" s="16" t="s">
        <v>76</v>
      </c>
      <c r="I2" s="18" t="s">
        <v>38</v>
      </c>
      <c r="J2" s="18" t="s">
        <v>80</v>
      </c>
      <c r="K2" s="18" t="s">
        <v>40</v>
      </c>
      <c r="L2" s="18" t="s">
        <v>41</v>
      </c>
      <c r="M2" s="2" t="s">
        <v>42</v>
      </c>
      <c r="N2" s="2" t="s">
        <v>76</v>
      </c>
      <c r="O2" s="5" t="s">
        <v>38</v>
      </c>
      <c r="P2" s="5" t="s">
        <v>79</v>
      </c>
      <c r="Q2" s="20"/>
      <c r="R2" s="20" t="s">
        <v>82</v>
      </c>
      <c r="S2" s="20" t="s">
        <v>44</v>
      </c>
      <c r="T2" s="20" t="s">
        <v>45</v>
      </c>
      <c r="U2" s="17" t="s">
        <v>44</v>
      </c>
      <c r="V2" s="17" t="s">
        <v>45</v>
      </c>
      <c r="W2" s="17"/>
      <c r="X2" s="22" t="s">
        <v>84</v>
      </c>
    </row>
    <row r="3" spans="1:24">
      <c r="A3" t="s">
        <v>88</v>
      </c>
      <c r="B3" t="s">
        <v>1</v>
      </c>
      <c r="C3">
        <v>10.7531</v>
      </c>
      <c r="D3">
        <v>42.894599999999997</v>
      </c>
      <c r="E3">
        <v>13.2881</v>
      </c>
      <c r="F3">
        <v>10.8354</v>
      </c>
      <c r="G3">
        <f t="shared" ref="G3:G8" si="0">(F3-D3)/(E3-C3)</f>
        <v>-12.64662721893491</v>
      </c>
      <c r="H3">
        <f t="shared" ref="H3:H8" si="1">D3-G3*C3</f>
        <v>178.88504714792899</v>
      </c>
      <c r="I3">
        <v>70</v>
      </c>
      <c r="J3">
        <v>35.890099999999997</v>
      </c>
      <c r="K3">
        <v>0</v>
      </c>
      <c r="L3">
        <v>34.572499999999998</v>
      </c>
      <c r="M3">
        <f t="shared" ref="M3:M8" si="2">(L3-J3)/(K3-I3)</f>
        <v>1.8822857142857124E-2</v>
      </c>
      <c r="N3">
        <f t="shared" ref="N3:N8" si="3">J3-M3*I3</f>
        <v>34.572499999999998</v>
      </c>
      <c r="O3">
        <f>(H3-N3)/(M3-G3)</f>
        <v>11.394190200986499</v>
      </c>
      <c r="P3">
        <f>G3*O3+H3</f>
        <v>34.786971214411693</v>
      </c>
      <c r="Q3" s="13">
        <f t="shared" ref="Q3:Q8" si="4">SQRT((P3-L3)^2+(O3-K3)^2)</f>
        <v>11.39620850274634</v>
      </c>
      <c r="R3" s="13">
        <v>1</v>
      </c>
      <c r="S3" s="13">
        <f t="shared" ref="S3:S8" si="5">O3+(R3/Q3)*(K3-O3)</f>
        <v>10.394367303902731</v>
      </c>
      <c r="T3" s="13">
        <f t="shared" ref="T3:T8" si="6">P3+(R3/Q3)*(L3-P3)</f>
        <v>34.768151690851731</v>
      </c>
      <c r="U3" s="25">
        <f>ROUND(S3,0)</f>
        <v>10</v>
      </c>
      <c r="V3" s="8">
        <f>M3*U3+N3</f>
        <v>34.760728571428572</v>
      </c>
      <c r="W3" s="26">
        <f t="shared" ref="W3:W8" si="7">SQRT((V3-P3)^2+(U3-O3)^2)</f>
        <v>1.3944371598740162</v>
      </c>
      <c r="X3" s="27">
        <f t="shared" ref="X3:X8" si="8">ROUNDUP(W3/(450/60/60),0)</f>
        <v>12</v>
      </c>
    </row>
    <row r="4" spans="1:24">
      <c r="A4" t="s">
        <v>88</v>
      </c>
      <c r="B4" t="s">
        <v>2</v>
      </c>
      <c r="C4">
        <v>59.363900000000001</v>
      </c>
      <c r="D4">
        <v>33.500500000000002</v>
      </c>
      <c r="E4">
        <v>58.618299999999998</v>
      </c>
      <c r="F4">
        <v>10.8354</v>
      </c>
      <c r="G4">
        <f t="shared" si="0"/>
        <v>30.398471030042792</v>
      </c>
      <c r="H4">
        <f t="shared" si="1"/>
        <v>-1771.0712943803571</v>
      </c>
      <c r="I4">
        <v>0</v>
      </c>
      <c r="J4">
        <v>17.569500000000001</v>
      </c>
      <c r="K4">
        <v>70</v>
      </c>
      <c r="L4">
        <v>18.8871</v>
      </c>
      <c r="M4">
        <f t="shared" si="2"/>
        <v>1.8822857142857124E-2</v>
      </c>
      <c r="N4">
        <f t="shared" si="3"/>
        <v>17.569500000000001</v>
      </c>
      <c r="O4">
        <f>(H4-N4)/(M4-G4)</f>
        <v>58.876284024115471</v>
      </c>
      <c r="P4">
        <f>G4*O4+H4</f>
        <v>18.677719883288319</v>
      </c>
      <c r="Q4" s="13">
        <f t="shared" si="4"/>
        <v>11.12568636738529</v>
      </c>
      <c r="R4" s="13">
        <v>1</v>
      </c>
      <c r="S4" s="13">
        <f t="shared" si="5"/>
        <v>59.876106921199238</v>
      </c>
      <c r="T4" s="13">
        <f t="shared" si="6"/>
        <v>18.696539406848274</v>
      </c>
      <c r="U4" s="25">
        <f>ROUND(S4,0)</f>
        <v>60</v>
      </c>
      <c r="V4" s="8">
        <f>M4*U4+N4</f>
        <v>18.698871428571429</v>
      </c>
      <c r="W4" s="26">
        <f t="shared" si="7"/>
        <v>1.1239150245129672</v>
      </c>
      <c r="X4" s="27">
        <f t="shared" si="8"/>
        <v>9</v>
      </c>
    </row>
    <row r="5" spans="1:24">
      <c r="A5" t="s">
        <v>88</v>
      </c>
      <c r="B5" t="s">
        <v>3</v>
      </c>
      <c r="C5">
        <v>51.162700000000001</v>
      </c>
      <c r="D5">
        <v>43.789299999999997</v>
      </c>
      <c r="E5">
        <v>59.363900000000001</v>
      </c>
      <c r="F5">
        <v>33.500500000000002</v>
      </c>
      <c r="G5">
        <f t="shared" si="0"/>
        <v>-1.2545481149100126</v>
      </c>
      <c r="H5">
        <f t="shared" si="1"/>
        <v>107.9753688387065</v>
      </c>
      <c r="I5">
        <v>50.508699999999997</v>
      </c>
      <c r="J5">
        <v>35.523200000000003</v>
      </c>
      <c r="K5">
        <v>67.275700000000001</v>
      </c>
      <c r="L5">
        <v>52.5</v>
      </c>
      <c r="M5" s="6">
        <f t="shared" si="2"/>
        <v>1.0125126737042998</v>
      </c>
      <c r="N5">
        <f t="shared" si="3"/>
        <v>-15.617498882328363</v>
      </c>
      <c r="O5">
        <f>(H5-N5)/(M5-G5)</f>
        <v>54.516785937874253</v>
      </c>
      <c r="P5">
        <f>G5*O5+H5</f>
        <v>39.581437809393677</v>
      </c>
      <c r="Q5" s="13">
        <f t="shared" si="4"/>
        <v>18.157068516621106</v>
      </c>
      <c r="R5" s="13">
        <v>1</v>
      </c>
      <c r="S5" s="13">
        <f t="shared" si="5"/>
        <v>55.219482744379455</v>
      </c>
      <c r="T5" s="13">
        <f t="shared" si="6"/>
        <v>40.292927231751726</v>
      </c>
      <c r="U5" s="28">
        <v>55.58</v>
      </c>
      <c r="V5" s="29">
        <f>M5*U5+N5</f>
        <v>40.65795552215662</v>
      </c>
      <c r="W5" s="30">
        <f t="shared" si="7"/>
        <v>1.5130480916990989</v>
      </c>
      <c r="X5" s="31">
        <f t="shared" si="8"/>
        <v>13</v>
      </c>
    </row>
    <row r="6" spans="1:24">
      <c r="A6" t="s">
        <v>88</v>
      </c>
      <c r="B6" t="s">
        <v>4</v>
      </c>
      <c r="C6">
        <v>48.776899999999998</v>
      </c>
      <c r="D6">
        <v>8.0022000000000002</v>
      </c>
      <c r="E6">
        <v>13.2881</v>
      </c>
      <c r="F6">
        <v>10.8354</v>
      </c>
      <c r="G6">
        <f t="shared" si="0"/>
        <v>-7.9833637654696685E-2</v>
      </c>
      <c r="H6">
        <f t="shared" si="1"/>
        <v>11.896237360519375</v>
      </c>
      <c r="I6">
        <v>14.3025</v>
      </c>
      <c r="J6">
        <v>34.841700000000003</v>
      </c>
      <c r="K6">
        <v>14.3025</v>
      </c>
      <c r="L6">
        <v>0</v>
      </c>
      <c r="M6" t="e">
        <f t="shared" si="2"/>
        <v>#DIV/0!</v>
      </c>
      <c r="N6" t="e">
        <f t="shared" si="3"/>
        <v>#DIV/0!</v>
      </c>
      <c r="O6">
        <v>14.3025</v>
      </c>
      <c r="P6">
        <f>G6*O6+H6</f>
        <v>10.754416757963076</v>
      </c>
      <c r="Q6" s="13">
        <f t="shared" si="4"/>
        <v>10.754416757963076</v>
      </c>
      <c r="R6" s="13">
        <v>1</v>
      </c>
      <c r="S6" s="13">
        <f t="shared" si="5"/>
        <v>14.3025</v>
      </c>
      <c r="T6" s="13">
        <f t="shared" si="6"/>
        <v>9.7544167579630763</v>
      </c>
      <c r="U6" s="28">
        <v>14.3025</v>
      </c>
      <c r="V6" s="28">
        <v>9</v>
      </c>
      <c r="W6" s="30">
        <f t="shared" si="7"/>
        <v>1.7544167579630763</v>
      </c>
      <c r="X6" s="31">
        <f t="shared" si="8"/>
        <v>15</v>
      </c>
    </row>
    <row r="7" spans="1:24">
      <c r="A7" t="s">
        <v>88</v>
      </c>
      <c r="B7" t="s">
        <v>5</v>
      </c>
      <c r="C7">
        <v>10.7531</v>
      </c>
      <c r="D7">
        <v>42.894599999999997</v>
      </c>
      <c r="E7">
        <v>51.162700000000001</v>
      </c>
      <c r="F7">
        <v>43.789299999999997</v>
      </c>
      <c r="G7">
        <f t="shared" si="0"/>
        <v>2.2140778428888192E-2</v>
      </c>
      <c r="H7">
        <f t="shared" si="1"/>
        <v>42.656517995476321</v>
      </c>
      <c r="I7">
        <v>24.968599999999999</v>
      </c>
      <c r="J7">
        <v>35.042499999999997</v>
      </c>
      <c r="K7">
        <v>16.901399999999999</v>
      </c>
      <c r="L7">
        <v>52.5</v>
      </c>
      <c r="M7" s="6">
        <f t="shared" si="2"/>
        <v>-2.1640098175327256</v>
      </c>
      <c r="N7">
        <f t="shared" si="3"/>
        <v>89.074795530047609</v>
      </c>
      <c r="O7" s="23">
        <v>21.3</v>
      </c>
      <c r="P7">
        <f>M7*O7+N7</f>
        <v>42.98138641660055</v>
      </c>
      <c r="Q7" s="13">
        <f t="shared" si="4"/>
        <v>10.485784973480838</v>
      </c>
      <c r="R7" s="13">
        <v>1</v>
      </c>
      <c r="S7" s="13">
        <f t="shared" si="5"/>
        <v>20.880517814248115</v>
      </c>
      <c r="T7" s="13">
        <f t="shared" si="6"/>
        <v>43.889149984847712</v>
      </c>
      <c r="U7" s="25">
        <f>ROUNDDOWN(S7,2)</f>
        <v>20.88</v>
      </c>
      <c r="V7" s="8">
        <f>M7*U7+N7</f>
        <v>43.890270539964298</v>
      </c>
      <c r="W7" s="26">
        <f t="shared" si="7"/>
        <v>1.0012344129636628</v>
      </c>
      <c r="X7" s="27">
        <f t="shared" si="8"/>
        <v>9</v>
      </c>
    </row>
    <row r="8" spans="1:24">
      <c r="A8" t="s">
        <v>88</v>
      </c>
      <c r="B8" t="s">
        <v>6</v>
      </c>
      <c r="C8">
        <v>48.776899999999998</v>
      </c>
      <c r="D8">
        <v>8.0022000000000002</v>
      </c>
      <c r="E8">
        <v>13.2881</v>
      </c>
      <c r="F8">
        <v>10.8354</v>
      </c>
      <c r="G8">
        <f t="shared" si="0"/>
        <v>-7.9833637654696685E-2</v>
      </c>
      <c r="H8">
        <f t="shared" si="1"/>
        <v>11.896237360519375</v>
      </c>
      <c r="I8">
        <v>23.700700000000001</v>
      </c>
      <c r="J8">
        <v>18.015599999999999</v>
      </c>
      <c r="K8">
        <v>23.711500000000001</v>
      </c>
      <c r="L8">
        <v>0</v>
      </c>
      <c r="M8" s="6">
        <f t="shared" si="2"/>
        <v>-1668.1111111111575</v>
      </c>
      <c r="N8">
        <f t="shared" si="3"/>
        <v>39553.41661111221</v>
      </c>
      <c r="O8">
        <f>(H8-N8)/(M8-G8)</f>
        <v>23.705502952944371</v>
      </c>
      <c r="P8">
        <f>G8*O8+H8</f>
        <v>10.003740827351672</v>
      </c>
      <c r="Q8" s="13">
        <f t="shared" si="4"/>
        <v>10.003742624907746</v>
      </c>
      <c r="R8" s="13">
        <v>1</v>
      </c>
      <c r="S8" s="13">
        <f t="shared" si="5"/>
        <v>23.706102433286929</v>
      </c>
      <c r="T8" s="13">
        <f t="shared" si="6"/>
        <v>9.0037410070400288</v>
      </c>
      <c r="U8" s="8">
        <f>(V8-N8)/M8</f>
        <v>23.706104675947511</v>
      </c>
      <c r="V8" s="8">
        <v>9</v>
      </c>
      <c r="W8" s="26">
        <f t="shared" si="7"/>
        <v>1.0037410077122442</v>
      </c>
      <c r="X8" s="27">
        <f t="shared" si="8"/>
        <v>9</v>
      </c>
    </row>
    <row r="9" spans="1:24">
      <c r="U9" s="13"/>
    </row>
    <row r="10" spans="1:24">
      <c r="S10" s="13"/>
    </row>
    <row r="19" spans="9:9" ht="16.5">
      <c r="I19" s="24"/>
    </row>
  </sheetData>
  <mergeCells count="7">
    <mergeCell ref="U1:W1"/>
    <mergeCell ref="M1:N1"/>
    <mergeCell ref="O1:P1"/>
    <mergeCell ref="S1:T1"/>
    <mergeCell ref="C1:F1"/>
    <mergeCell ref="G1:H1"/>
    <mergeCell ref="I1:L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
  <sheetViews>
    <sheetView topLeftCell="F1" workbookViewId="0">
      <selection activeCell="W4" sqref="W4"/>
    </sheetView>
  </sheetViews>
  <sheetFormatPr defaultRowHeight="15"/>
  <cols>
    <col min="20" max="21" width="18.140625" customWidth="1"/>
  </cols>
  <sheetData>
    <row r="1" spans="1:23">
      <c r="A1" s="102" t="s">
        <v>30</v>
      </c>
      <c r="B1" s="102"/>
      <c r="C1" s="102"/>
      <c r="D1" s="102"/>
      <c r="E1" s="102"/>
      <c r="F1" s="102"/>
      <c r="G1" s="102"/>
      <c r="H1" s="102"/>
      <c r="I1" s="102"/>
      <c r="J1" s="102"/>
      <c r="K1" s="102"/>
      <c r="L1" s="102"/>
      <c r="M1" s="102"/>
      <c r="N1" s="98" t="s">
        <v>31</v>
      </c>
      <c r="O1" s="98"/>
      <c r="P1" s="98"/>
      <c r="Q1" s="98"/>
      <c r="R1" s="99" t="s">
        <v>68</v>
      </c>
      <c r="S1" s="99"/>
      <c r="T1" s="9"/>
      <c r="U1" s="9"/>
      <c r="V1" s="1" t="s">
        <v>32</v>
      </c>
      <c r="W1" s="11" t="s">
        <v>70</v>
      </c>
    </row>
    <row r="2" spans="1:23">
      <c r="A2" s="2" t="s">
        <v>33</v>
      </c>
      <c r="B2" s="2" t="s">
        <v>34</v>
      </c>
      <c r="C2" s="2" t="s">
        <v>50</v>
      </c>
      <c r="D2" s="2" t="s">
        <v>35</v>
      </c>
      <c r="E2" s="2" t="s">
        <v>129</v>
      </c>
      <c r="F2" s="2" t="s">
        <v>36</v>
      </c>
      <c r="G2" s="2" t="s">
        <v>37</v>
      </c>
      <c r="H2" s="2" t="s">
        <v>38</v>
      </c>
      <c r="I2" s="2" t="s">
        <v>39</v>
      </c>
      <c r="J2" s="2" t="s">
        <v>40</v>
      </c>
      <c r="K2" s="2" t="s">
        <v>41</v>
      </c>
      <c r="L2" s="2" t="s">
        <v>42</v>
      </c>
      <c r="M2" s="2" t="s">
        <v>43</v>
      </c>
      <c r="N2" s="3" t="s">
        <v>44</v>
      </c>
      <c r="O2" s="3" t="s">
        <v>45</v>
      </c>
      <c r="P2" s="4" t="s">
        <v>44</v>
      </c>
      <c r="Q2" s="4" t="s">
        <v>45</v>
      </c>
      <c r="R2" s="8" t="s">
        <v>44</v>
      </c>
      <c r="S2" s="8" t="s">
        <v>45</v>
      </c>
      <c r="T2" s="2" t="s">
        <v>48</v>
      </c>
      <c r="U2" s="2" t="s">
        <v>49</v>
      </c>
      <c r="V2" s="103" t="s">
        <v>72</v>
      </c>
      <c r="W2" s="103"/>
    </row>
    <row r="3" spans="1:23">
      <c r="A3" t="str">
        <f ca="1">CHAR(RANDBETWEEN(65,90))&amp;(RANDBETWEEN(0,9)&amp;(RANDBETWEEN(0,9)))</f>
        <v>D55</v>
      </c>
      <c r="B3" t="s">
        <v>234</v>
      </c>
      <c r="C3">
        <v>5</v>
      </c>
      <c r="D3">
        <v>0</v>
      </c>
      <c r="E3" t="s">
        <v>131</v>
      </c>
      <c r="F3">
        <f ca="1">ROUND(RANDBETWEEN(450,470),-1)</f>
        <v>460</v>
      </c>
      <c r="G3">
        <v>34500</v>
      </c>
      <c r="H3">
        <v>70</v>
      </c>
      <c r="I3">
        <v>35.890099999999997</v>
      </c>
      <c r="J3">
        <v>0</v>
      </c>
      <c r="K3">
        <v>34.572499999999998</v>
      </c>
      <c r="L3">
        <f>(K3-I3)/(J3-H3)</f>
        <v>1.8822857142857124E-2</v>
      </c>
      <c r="M3">
        <f>I3-L3*H3</f>
        <v>34.572499999999998</v>
      </c>
      <c r="N3" s="5">
        <v>32.9</v>
      </c>
      <c r="O3">
        <f>L3*N3+M3</f>
        <v>35.191772</v>
      </c>
      <c r="P3">
        <v>0</v>
      </c>
      <c r="Q3" s="5">
        <v>34.822620008000001</v>
      </c>
      <c r="R3" s="8">
        <v>10</v>
      </c>
      <c r="S3" s="8">
        <v>34.760728571428572</v>
      </c>
      <c r="T3">
        <f>SQRT((R3-N3)^2+(S3-O3)^2)</f>
        <v>22.904056375177621</v>
      </c>
      <c r="U3">
        <f ca="1">ROUNDUP(T3/(F3/60/60),0)</f>
        <v>180</v>
      </c>
      <c r="V3" s="6" t="str">
        <f ca="1">"&lt;atc:aircraft atc:idx="&amp;CHAR(34)&amp;A3&amp;CHAR(34)&amp;" "&amp;"atc:type="&amp;CHAR(34)&amp;B3&amp;CHAR(34)&amp;"&gt;"&amp;
"&lt;atc:start&gt;"&amp;D3&amp;"&lt;/atc:start&gt;"&amp;
"&lt;atc:altitude&gt;"&amp;G3&amp;"&lt;/atc:altitude&gt;"&amp;
"&lt;atc:velocity&gt;"&amp;F3&amp;"&lt;/atc:velocity&gt;"&amp;
"&lt;atc:flightpath&gt;"&amp;
"&lt;atc:point atc:x="&amp;"'"&amp;N3&amp;"'"&amp;" "&amp;"atc:y="&amp;"'"&amp;O3&amp;"'"&amp;"/&gt;"&amp;
"&lt;atc:point atc:x="&amp;"'"&amp;J3&amp;"'"&amp;" "&amp;"atc:y="&amp;"'"&amp;K3&amp;"'"&amp;"/&gt;"&amp;
"&lt;/atc:flightpath&gt;"&amp;
"&lt;atc:handoffKey&gt;"&amp;E3&amp;"&lt;/atc:handoffKey&gt;"&amp;
"&lt;/atc:aircraft&gt;"</f>
        <v>&lt;atc:aircraft atc:idx="D55" atc:type="TYPE"&gt;&lt;atc:start&gt;0&lt;/atc:start&gt;&lt;atc:altitude&gt;34500&lt;/atc:altitude&gt;&lt;atc:velocity&gt;460&lt;/atc:velocity&gt;&lt;atc:flightpath&gt;&lt;atc:point atc:x='32.9' atc:y='35.191772'/&gt;&lt;atc:point atc:x='0' atc:y='34.5725'/&gt;&lt;/atc:flightpath&gt;&lt;atc:handoffKey&gt;key_left&lt;/atc:handoffKey&gt;&lt;/atc:aircraft&gt;</v>
      </c>
      <c r="W3" t="str">
        <f>"&lt;atc:point atc:x="&amp;"'"&amp;N3&amp;"'"&amp;" "&amp;"atc:y="&amp;"'"&amp;O3&amp;"'"&amp;"/&gt;"&amp;
"&lt;atc:point atc:x="&amp;"'"&amp;J3&amp;"'"&amp;" "&amp;"atc:y="&amp;"'"&amp;K3&amp;"'"&amp;"/&gt;"</f>
        <v>&lt;atc:point atc:x='32.9' atc:y='35.191772'/&gt;&lt;atc:point atc:x='0' atc:y='34.5725'/&gt;</v>
      </c>
    </row>
    <row r="4" spans="1:23">
      <c r="A4" t="s">
        <v>347</v>
      </c>
      <c r="B4" t="s">
        <v>47</v>
      </c>
      <c r="C4">
        <v>9</v>
      </c>
      <c r="D4">
        <v>0</v>
      </c>
      <c r="E4" t="s">
        <v>131</v>
      </c>
      <c r="F4">
        <v>470</v>
      </c>
      <c r="G4">
        <v>36000</v>
      </c>
      <c r="H4">
        <v>70</v>
      </c>
      <c r="I4">
        <v>35.890099999999997</v>
      </c>
      <c r="J4">
        <v>0</v>
      </c>
      <c r="K4">
        <v>34.572499999999998</v>
      </c>
      <c r="L4">
        <f t="shared" ref="L4:L5" si="0">(K4-I4)/(J4-H4)</f>
        <v>1.8822857142857124E-2</v>
      </c>
      <c r="M4">
        <f t="shared" ref="M4:M5" si="1">I4-L4*H4</f>
        <v>34.572499999999998</v>
      </c>
      <c r="N4" s="5">
        <v>35.799999999999997</v>
      </c>
      <c r="O4">
        <f t="shared" ref="O4:O5" si="2">L4*N4+M4</f>
        <v>35.24635828571428</v>
      </c>
      <c r="P4">
        <f t="shared" ref="P4:P5" si="3">(Q4-M4)/L4</f>
        <v>13.288100000000185</v>
      </c>
      <c r="Q4" s="5">
        <v>34.822620008000001</v>
      </c>
      <c r="R4" s="8">
        <v>10</v>
      </c>
      <c r="S4" s="8">
        <v>34.760728571428572</v>
      </c>
      <c r="T4">
        <f t="shared" ref="T4:T5" si="4">SQRT((R4-N4)^2+(S4-O4)^2)</f>
        <v>25.804570064610594</v>
      </c>
      <c r="U4">
        <f t="shared" ref="U4:U5" si="5">ROUNDUP(T4/(F4/60/60),0)</f>
        <v>198</v>
      </c>
      <c r="V4" s="6" t="str">
        <f>"&lt;atc:aircraft atc:idx="&amp;CHAR(34)&amp;A4&amp;CHAR(34)&amp;" "&amp;"atc:type="&amp;CHAR(34)&amp;B4&amp;CHAR(34)&amp;"&gt;"&amp;
"&lt;atc:start&gt;"&amp;D4&amp;"&lt;/atc:start&gt;"&amp;
"&lt;atc:altitude&gt;"&amp;G4&amp;"&lt;/atc:altitude&gt;"&amp;
"&lt;atc:velocity&gt;"&amp;F4&amp;"&lt;/atc:velocity&gt;"&amp;
"&lt;atc:flightpath&gt;"&amp;
"&lt;atc:point atc:x="&amp;"'"&amp;N4&amp;"'"&amp;" "&amp;"atc:y="&amp;"'"&amp;O4&amp;"'"&amp;"/&gt;"&amp;
"&lt;atc:point atc:x="&amp;"'"&amp;J4&amp;"'"&amp;" "&amp;"atc:y="&amp;"'"&amp;K4&amp;"'"&amp;"/&gt;"&amp;
"&lt;/atc:flightpath&gt;"&amp;
"&lt;atc:handoffKey&gt;"&amp;E4&amp;"&lt;/atc:handoffKey&gt;"&amp;
"&lt;/atc:aircraft&gt;"</f>
        <v>&lt;atc:aircraft atc:idx="BA18" atc:type="B737"&gt;&lt;atc:start&gt;0&lt;/atc:start&gt;&lt;atc:altitude&gt;36000&lt;/atc:altitude&gt;&lt;atc:velocity&gt;470&lt;/atc:velocity&gt;&lt;atc:flightpath&gt;&lt;atc:point atc:x='35.8' atc:y='35.2463582857143'/&gt;&lt;atc:point atc:x='0' atc:y='34.5725'/&gt;&lt;/atc:flightpath&gt;&lt;atc:handoffKey&gt;key_left&lt;/atc:handoffKey&gt;&lt;/atc:aircraft&gt;</v>
      </c>
      <c r="W4" t="str">
        <f t="shared" ref="W4:W5" si="6">"&lt;atc:point atc:x="&amp;"'"&amp;N4&amp;"'"&amp;" "&amp;"atc:y="&amp;"'"&amp;O4&amp;"'"&amp;"/&gt;"&amp;
"&lt;atc:point atc:x="&amp;"'"&amp;J4&amp;"'"&amp;" "&amp;"atc:y="&amp;"'"&amp;K4&amp;"'"&amp;"/&gt;"</f>
        <v>&lt;atc:point atc:x='35.8' atc:y='35.2463582857143'/&gt;&lt;atc:point atc:x='0' atc:y='34.5725'/&gt;</v>
      </c>
    </row>
    <row r="5" spans="1:23">
      <c r="A5" t="str">
        <f t="shared" ref="A5" ca="1" si="7">CHAR(RANDBETWEEN(65,90))&amp;(RANDBETWEEN(0,9)&amp;(RANDBETWEEN(0,9)))</f>
        <v>T41</v>
      </c>
      <c r="B5" t="s">
        <v>127</v>
      </c>
      <c r="C5">
        <v>13</v>
      </c>
      <c r="D5">
        <v>0</v>
      </c>
      <c r="E5" t="s">
        <v>131</v>
      </c>
      <c r="F5">
        <v>490</v>
      </c>
      <c r="G5">
        <v>36200</v>
      </c>
      <c r="H5">
        <v>70</v>
      </c>
      <c r="I5">
        <v>35.890099999999997</v>
      </c>
      <c r="J5">
        <v>0</v>
      </c>
      <c r="K5">
        <v>34.572499999999998</v>
      </c>
      <c r="L5">
        <f t="shared" si="0"/>
        <v>1.8822857142857124E-2</v>
      </c>
      <c r="M5">
        <f t="shared" si="1"/>
        <v>34.572499999999998</v>
      </c>
      <c r="N5" s="5">
        <v>28.8</v>
      </c>
      <c r="O5">
        <f t="shared" si="2"/>
        <v>35.11459828571428</v>
      </c>
      <c r="P5">
        <f t="shared" si="3"/>
        <v>13.288100000000185</v>
      </c>
      <c r="Q5" s="5">
        <v>34.822620008000001</v>
      </c>
      <c r="R5" s="8">
        <v>10</v>
      </c>
      <c r="S5" s="8">
        <v>34.760728571428572</v>
      </c>
      <c r="T5">
        <f t="shared" si="4"/>
        <v>18.80333012459997</v>
      </c>
      <c r="U5">
        <f t="shared" si="5"/>
        <v>139</v>
      </c>
      <c r="V5" s="6" t="str">
        <f t="shared" ref="V5" ca="1" si="8">"&lt;atc:aircraft atc:idx="&amp;CHAR(34)&amp;A5&amp;CHAR(34)&amp;" "&amp;"atc:type="&amp;CHAR(34)&amp;B5&amp;CHAR(34)&amp;"&gt;"&amp;
"&lt;atc:start&gt;"&amp;D5&amp;"&lt;/atc:start&gt;"&amp;
"&lt;atc:altitude&gt;"&amp;G5&amp;"&lt;/atc:altitude&gt;"&amp;
"&lt;atc:velocity&gt;"&amp;F5&amp;"&lt;/atc:velocity&gt;"&amp;
"&lt;atc:flightpath&gt;"&amp;
"&lt;atc:point atc:x="&amp;"'"&amp;N5&amp;"'"&amp;" "&amp;"atc:y="&amp;"'"&amp;O5&amp;"'"&amp;"/&gt;"&amp;
"&lt;atc:point atc:x="&amp;"'"&amp;J5&amp;"'"&amp;" "&amp;"atc:y="&amp;"'"&amp;K5&amp;"'"&amp;"/&gt;"&amp;
"&lt;/atc:flightpath&gt;"&amp;
"&lt;atc:handoffKey&gt;"&amp;E5&amp;"&lt;/atc:handoffKey&gt;"&amp;
"&lt;/atc:aircraft&gt;"</f>
        <v>&lt;atc:aircraft atc:idx="T41" atc:type="B747"&gt;&lt;atc:start&gt;0&lt;/atc:start&gt;&lt;atc:altitude&gt;36200&lt;/atc:altitude&gt;&lt;atc:velocity&gt;490&lt;/atc:velocity&gt;&lt;atc:flightpath&gt;&lt;atc:point atc:x='28.8' atc:y='35.1145982857143'/&gt;&lt;atc:point atc:x='0' atc:y='34.5725'/&gt;&lt;/atc:flightpath&gt;&lt;atc:handoffKey&gt;key_left&lt;/atc:handoffKey&gt;&lt;/atc:aircraft&gt;</v>
      </c>
      <c r="W5" t="str">
        <f t="shared" si="6"/>
        <v>&lt;atc:point atc:x='28.8' atc:y='35.1145982857143'/&gt;&lt;atc:point atc:x='0' atc:y='34.5725'/&gt;</v>
      </c>
    </row>
    <row r="7" spans="1:23">
      <c r="A7" s="102" t="s">
        <v>30</v>
      </c>
      <c r="B7" s="102"/>
      <c r="C7" s="102"/>
      <c r="D7" s="102"/>
      <c r="E7" s="102"/>
      <c r="F7" s="102"/>
      <c r="G7" s="102"/>
      <c r="H7" s="102"/>
      <c r="I7" s="102"/>
      <c r="J7" s="102"/>
      <c r="K7" s="102"/>
      <c r="L7" s="102"/>
      <c r="M7" s="102"/>
      <c r="N7" s="98" t="s">
        <v>31</v>
      </c>
      <c r="O7" s="98"/>
      <c r="P7" s="98"/>
      <c r="Q7" s="98"/>
      <c r="R7" s="99" t="s">
        <v>68</v>
      </c>
      <c r="S7" s="99"/>
      <c r="T7" s="9"/>
      <c r="U7" s="9"/>
      <c r="V7" s="1" t="s">
        <v>32</v>
      </c>
      <c r="W7" s="11" t="s">
        <v>70</v>
      </c>
    </row>
    <row r="8" spans="1:23">
      <c r="A8" s="2" t="s">
        <v>33</v>
      </c>
      <c r="B8" s="2" t="s">
        <v>34</v>
      </c>
      <c r="C8" s="2" t="s">
        <v>50</v>
      </c>
      <c r="D8" s="2" t="s">
        <v>35</v>
      </c>
      <c r="E8" s="2" t="s">
        <v>129</v>
      </c>
      <c r="F8" s="2" t="s">
        <v>36</v>
      </c>
      <c r="G8" s="2" t="s">
        <v>37</v>
      </c>
      <c r="H8" s="2" t="s">
        <v>38</v>
      </c>
      <c r="I8" s="2" t="s">
        <v>39</v>
      </c>
      <c r="J8" s="2" t="s">
        <v>40</v>
      </c>
      <c r="K8" s="2" t="s">
        <v>41</v>
      </c>
      <c r="L8" s="2" t="s">
        <v>42</v>
      </c>
      <c r="M8" s="2" t="s">
        <v>43</v>
      </c>
      <c r="N8" s="3" t="s">
        <v>44</v>
      </c>
      <c r="O8" s="3" t="s">
        <v>45</v>
      </c>
      <c r="P8" s="4" t="s">
        <v>44</v>
      </c>
      <c r="Q8" s="4" t="s">
        <v>45</v>
      </c>
      <c r="R8" s="8" t="s">
        <v>44</v>
      </c>
      <c r="S8" s="8" t="s">
        <v>45</v>
      </c>
      <c r="T8" s="2" t="s">
        <v>48</v>
      </c>
      <c r="U8" s="2" t="s">
        <v>49</v>
      </c>
      <c r="V8" s="103" t="s">
        <v>72</v>
      </c>
      <c r="W8" s="103"/>
    </row>
    <row r="9" spans="1:23">
      <c r="A9" t="str">
        <f ca="1">CHAR(RANDBETWEEN(65,90))&amp;CHAR(RANDBETWEEN(65,90))&amp;CHAR(RANDBETWEEN(65,90))&amp;(RANDBETWEEN(0,9)&amp;(RANDBETWEEN(0,9)))</f>
        <v>DNV49</v>
      </c>
      <c r="B9" t="s">
        <v>46</v>
      </c>
      <c r="C9">
        <v>5</v>
      </c>
      <c r="D9">
        <v>0</v>
      </c>
      <c r="E9" t="s">
        <v>131</v>
      </c>
      <c r="F9">
        <v>460</v>
      </c>
      <c r="G9">
        <v>39000</v>
      </c>
      <c r="H9">
        <v>70</v>
      </c>
      <c r="I9">
        <v>35.890099999999997</v>
      </c>
      <c r="J9">
        <v>0</v>
      </c>
      <c r="K9">
        <v>34.572499999999998</v>
      </c>
      <c r="L9">
        <f>(K9-I9)/(J9-H9)</f>
        <v>1.8822857142857124E-2</v>
      </c>
      <c r="M9">
        <f>I9-L9*H9</f>
        <v>34.572499999999998</v>
      </c>
      <c r="N9" s="5">
        <v>37.4</v>
      </c>
      <c r="O9">
        <f>L9*N9+M9</f>
        <v>35.276474857142851</v>
      </c>
      <c r="P9">
        <f>(Q9-M9)/L9</f>
        <v>13.288100000000185</v>
      </c>
      <c r="Q9" s="5">
        <v>34.822620008000001</v>
      </c>
      <c r="R9" s="8">
        <v>10</v>
      </c>
      <c r="S9" s="8">
        <v>34.760728571428572</v>
      </c>
      <c r="T9">
        <f>SQRT((R9-N9)^2+(S9-O9)^2)</f>
        <v>27.404853479470166</v>
      </c>
      <c r="U9">
        <f>ROUNDUP(T9/(F9/60/60),0)</f>
        <v>215</v>
      </c>
      <c r="V9" s="6" t="str">
        <f ca="1">"&lt;atc:aircraft atc:idx="&amp;CHAR(34)&amp;A9&amp;CHAR(34)&amp;" "&amp;"atc:type="&amp;CHAR(34)&amp;B9&amp;CHAR(34)&amp;"&gt;"&amp;
"&lt;atc:start&gt;"&amp;D9&amp;"&lt;/atc:start&gt;"&amp;
"&lt;atc:altitude&gt;"&amp;G9&amp;"&lt;/atc:altitude&gt;"&amp;
"&lt;atc:velocity&gt;"&amp;F9&amp;"&lt;/atc:velocity&gt;"&amp;
"&lt;atc:flightpath&gt;"&amp;
"&lt;atc:point atc:x="&amp;"'"&amp;N9&amp;"'"&amp;" "&amp;"atc:y="&amp;"'"&amp;O9&amp;"'"&amp;"/&gt;"&amp;
"&lt;atc:point atc:x="&amp;"'"&amp;J9&amp;"'"&amp;" "&amp;"atc:y="&amp;"'"&amp;K9&amp;"'"&amp;"/&gt;"&amp;
"&lt;/atc:flightpath&gt;"&amp;
"&lt;atc:handoffKey&gt;"&amp;E9&amp;"&lt;/atc:handoffKey&gt;"&amp;
"&lt;/atc:aircraft&gt;"</f>
        <v>&lt;atc:aircraft atc:idx="DNV49" atc:type="A320"&gt;&lt;atc:start&gt;0&lt;/atc:start&gt;&lt;atc:altitude&gt;39000&lt;/atc:altitude&gt;&lt;atc:velocity&gt;460&lt;/atc:velocity&gt;&lt;atc:flightpath&gt;&lt;atc:point atc:x='37.4' atc:y='35.2764748571429'/&gt;&lt;atc:point atc:x='0' atc:y='34.5725'/&gt;&lt;/atc:flightpath&gt;&lt;atc:handoffKey&gt;key_left&lt;/atc:handoffKey&gt;&lt;/atc:aircraft&gt;</v>
      </c>
      <c r="W9" t="str">
        <f>"&lt;atc:point atc:x="&amp;"'"&amp;N9&amp;"'"&amp;" "&amp;"atc:y="&amp;"'"&amp;O9&amp;"'"&amp;"/&gt;"&amp;
"&lt;atc:point atc:x="&amp;"'"&amp;J9&amp;"'"&amp;" "&amp;"atc:y="&amp;"'"&amp;K9&amp;"'"&amp;"/&gt;"</f>
        <v>&lt;atc:point atc:x='37.4' atc:y='35.2764748571429'/&gt;&lt;atc:point atc:x='0' atc:y='34.5725'/&gt;</v>
      </c>
    </row>
    <row r="10" spans="1:23">
      <c r="A10" t="str">
        <f t="shared" ref="A10:A11" ca="1" si="9">CHAR(RANDBETWEEN(65,90))&amp;CHAR(RANDBETWEEN(65,90))&amp;CHAR(RANDBETWEEN(65,90))&amp;(RANDBETWEEN(0,9)&amp;(RANDBETWEEN(0,9)))</f>
        <v>EKL01</v>
      </c>
      <c r="B10" t="s">
        <v>127</v>
      </c>
      <c r="C10">
        <v>9</v>
      </c>
      <c r="D10">
        <v>0</v>
      </c>
      <c r="E10" t="s">
        <v>131</v>
      </c>
      <c r="F10">
        <v>450</v>
      </c>
      <c r="G10">
        <v>39000</v>
      </c>
      <c r="H10">
        <v>70</v>
      </c>
      <c r="I10">
        <v>35.890099999999997</v>
      </c>
      <c r="J10">
        <v>0</v>
      </c>
      <c r="K10">
        <v>34.572499999999998</v>
      </c>
      <c r="L10">
        <f t="shared" ref="L10:L11" si="10">(K10-I10)/(J10-H10)</f>
        <v>1.8822857142857124E-2</v>
      </c>
      <c r="M10">
        <f t="shared" ref="M10:M11" si="11">I10-L10*H10</f>
        <v>34.572499999999998</v>
      </c>
      <c r="N10" s="5">
        <v>34.9</v>
      </c>
      <c r="O10">
        <f t="shared" ref="O10:O11" si="12">L10*N10+M10</f>
        <v>35.229417714285709</v>
      </c>
      <c r="P10">
        <f t="shared" ref="P10:P11" si="13">(Q10-M10)/L10</f>
        <v>13.288100000000185</v>
      </c>
      <c r="Q10" s="5">
        <v>34.822620008000001</v>
      </c>
      <c r="R10" s="8">
        <v>10</v>
      </c>
      <c r="S10" s="8">
        <v>34.760728571428572</v>
      </c>
      <c r="T10">
        <f t="shared" ref="T10:T11" si="14">SQRT((R10-N10)^2+(S10-O10)^2)</f>
        <v>24.904410643752083</v>
      </c>
      <c r="U10">
        <f t="shared" ref="U10:U11" si="15">ROUNDUP(T10/(F10/60/60),0)</f>
        <v>200</v>
      </c>
      <c r="V10" s="6" t="str">
        <f ca="1">"&lt;atc:aircraft atc:idx="&amp;CHAR(34)&amp;A10&amp;CHAR(34)&amp;" "&amp;"atc:type="&amp;CHAR(34)&amp;B10&amp;CHAR(34)&amp;"&gt;"&amp;
"&lt;atc:start&gt;"&amp;D10&amp;"&lt;/atc:start&gt;"&amp;
"&lt;atc:altitude&gt;"&amp;G10&amp;"&lt;/atc:altitude&gt;"&amp;
"&lt;atc:velocity&gt;"&amp;F10&amp;"&lt;/atc:velocity&gt;"&amp;
"&lt;atc:flightpath&gt;"&amp;
"&lt;atc:point atc:x="&amp;"'"&amp;N10&amp;"'"&amp;" "&amp;"atc:y="&amp;"'"&amp;O10&amp;"'"&amp;"/&gt;"&amp;
"&lt;atc:point atc:x="&amp;"'"&amp;J10&amp;"'"&amp;" "&amp;"atc:y="&amp;"'"&amp;K10&amp;"'"&amp;"/&gt;"&amp;
"&lt;/atc:flightpath&gt;"&amp;
"&lt;atc:handoffKey&gt;"&amp;E10&amp;"&lt;/atc:handoffKey&gt;"&amp;
"&lt;/atc:aircraft&gt;"</f>
        <v>&lt;atc:aircraft atc:idx="EKL01" atc:type="B747"&gt;&lt;atc:start&gt;0&lt;/atc:start&gt;&lt;atc:altitude&gt;39000&lt;/atc:altitude&gt;&lt;atc:velocity&gt;450&lt;/atc:velocity&gt;&lt;atc:flightpath&gt;&lt;atc:point atc:x='34.9' atc:y='35.2294177142857'/&gt;&lt;atc:point atc:x='0' atc:y='34.5725'/&gt;&lt;/atc:flightpath&gt;&lt;atc:handoffKey&gt;key_left&lt;/atc:handoffKey&gt;&lt;/atc:aircraft&gt;</v>
      </c>
      <c r="W10" t="str">
        <f t="shared" ref="W10:W11" si="16">"&lt;atc:point atc:x="&amp;"'"&amp;N10&amp;"'"&amp;" "&amp;"atc:y="&amp;"'"&amp;O10&amp;"'"&amp;"/&gt;"&amp;
"&lt;atc:point atc:x="&amp;"'"&amp;J10&amp;"'"&amp;" "&amp;"atc:y="&amp;"'"&amp;K10&amp;"'"&amp;"/&gt;"</f>
        <v>&lt;atc:point atc:x='34.9' atc:y='35.2294177142857'/&gt;&lt;atc:point atc:x='0' atc:y='34.5725'/&gt;</v>
      </c>
    </row>
    <row r="11" spans="1:23">
      <c r="A11" t="str">
        <f t="shared" ca="1" si="9"/>
        <v>EPZ09</v>
      </c>
      <c r="B11" t="s">
        <v>47</v>
      </c>
      <c r="C11">
        <v>13</v>
      </c>
      <c r="D11">
        <v>0</v>
      </c>
      <c r="E11" t="s">
        <v>131</v>
      </c>
      <c r="F11">
        <v>460</v>
      </c>
      <c r="G11">
        <v>38000</v>
      </c>
      <c r="H11">
        <v>70</v>
      </c>
      <c r="I11">
        <v>35.890099999999997</v>
      </c>
      <c r="J11">
        <v>0</v>
      </c>
      <c r="K11">
        <v>34.572499999999998</v>
      </c>
      <c r="L11">
        <f t="shared" si="10"/>
        <v>1.8822857142857124E-2</v>
      </c>
      <c r="M11">
        <f t="shared" si="11"/>
        <v>34.572499999999998</v>
      </c>
      <c r="N11" s="5">
        <v>32</v>
      </c>
      <c r="O11">
        <f t="shared" si="12"/>
        <v>35.174831428571423</v>
      </c>
      <c r="P11">
        <f t="shared" si="13"/>
        <v>13.288100000000185</v>
      </c>
      <c r="Q11" s="5">
        <v>34.822620008000001</v>
      </c>
      <c r="R11" s="8">
        <v>10</v>
      </c>
      <c r="S11" s="8">
        <v>34.760728571428572</v>
      </c>
      <c r="T11">
        <f t="shared" si="14"/>
        <v>22.00389695431911</v>
      </c>
      <c r="U11">
        <f t="shared" si="15"/>
        <v>173</v>
      </c>
      <c r="V11" s="6" t="str">
        <f t="shared" ref="V11" ca="1" si="17">"&lt;atc:aircraft atc:idx="&amp;CHAR(34)&amp;A11&amp;CHAR(34)&amp;" "&amp;"atc:type="&amp;CHAR(34)&amp;B11&amp;CHAR(34)&amp;"&gt;"&amp;
"&lt;atc:start&gt;"&amp;D11&amp;"&lt;/atc:start&gt;"&amp;
"&lt;atc:altitude&gt;"&amp;G11&amp;"&lt;/atc:altitude&gt;"&amp;
"&lt;atc:velocity&gt;"&amp;F11&amp;"&lt;/atc:velocity&gt;"&amp;
"&lt;atc:flightpath&gt;"&amp;
"&lt;atc:point atc:x="&amp;"'"&amp;N11&amp;"'"&amp;" "&amp;"atc:y="&amp;"'"&amp;O11&amp;"'"&amp;"/&gt;"&amp;
"&lt;atc:point atc:x="&amp;"'"&amp;J11&amp;"'"&amp;" "&amp;"atc:y="&amp;"'"&amp;K11&amp;"'"&amp;"/&gt;"&amp;
"&lt;/atc:flightpath&gt;"&amp;
"&lt;atc:handoffKey&gt;"&amp;E11&amp;"&lt;/atc:handoffKey&gt;"&amp;
"&lt;/atc:aircraft&gt;"</f>
        <v>&lt;atc:aircraft atc:idx="EPZ09" atc:type="B737"&gt;&lt;atc:start&gt;0&lt;/atc:start&gt;&lt;atc:altitude&gt;38000&lt;/atc:altitude&gt;&lt;atc:velocity&gt;460&lt;/atc:velocity&gt;&lt;atc:flightpath&gt;&lt;atc:point atc:x='32' atc:y='35.1748314285714'/&gt;&lt;atc:point atc:x='0' atc:y='34.5725'/&gt;&lt;/atc:flightpath&gt;&lt;atc:handoffKey&gt;key_left&lt;/atc:handoffKey&gt;&lt;/atc:aircraft&gt;</v>
      </c>
      <c r="W11" t="str">
        <f t="shared" si="16"/>
        <v>&lt;atc:point atc:x='32' atc:y='35.1748314285714'/&gt;&lt;atc:point atc:x='0' atc:y='34.5725'/&gt;</v>
      </c>
    </row>
    <row r="15" spans="1:23">
      <c r="H15">
        <v>23.705502952944371</v>
      </c>
      <c r="I15">
        <v>10.003740827351672</v>
      </c>
      <c r="J15">
        <v>23.711500000000001</v>
      </c>
      <c r="K15">
        <v>0</v>
      </c>
    </row>
  </sheetData>
  <mergeCells count="8">
    <mergeCell ref="V8:W8"/>
    <mergeCell ref="A1:M1"/>
    <mergeCell ref="N1:Q1"/>
    <mergeCell ref="R1:S1"/>
    <mergeCell ref="V2:W2"/>
    <mergeCell ref="A7:M7"/>
    <mergeCell ref="N7:Q7"/>
    <mergeCell ref="R7:S7"/>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17"/>
  <sheetViews>
    <sheetView workbookViewId="0">
      <selection activeCell="O6" sqref="O6"/>
    </sheetView>
  </sheetViews>
  <sheetFormatPr defaultRowHeight="15"/>
  <sheetData>
    <row r="2" spans="1:23">
      <c r="A2" s="102" t="s">
        <v>89</v>
      </c>
      <c r="B2" s="102"/>
      <c r="C2" s="102"/>
      <c r="D2" s="102"/>
      <c r="E2" s="102"/>
      <c r="F2" s="102"/>
      <c r="G2" s="102"/>
      <c r="H2" s="102"/>
      <c r="I2" s="102"/>
      <c r="J2" s="102"/>
      <c r="K2" s="102"/>
      <c r="L2" s="102"/>
      <c r="M2" s="102"/>
      <c r="N2" s="98" t="s">
        <v>31</v>
      </c>
      <c r="O2" s="98"/>
      <c r="P2" s="98"/>
      <c r="Q2" s="98"/>
      <c r="R2" s="99" t="s">
        <v>68</v>
      </c>
      <c r="S2" s="99"/>
      <c r="T2" s="9"/>
      <c r="U2" s="9"/>
      <c r="V2" s="1" t="s">
        <v>32</v>
      </c>
      <c r="W2" s="2" t="s">
        <v>70</v>
      </c>
    </row>
    <row r="3" spans="1:23">
      <c r="A3" s="2" t="s">
        <v>33</v>
      </c>
      <c r="B3" s="2" t="s">
        <v>34</v>
      </c>
      <c r="C3" s="2" t="s">
        <v>50</v>
      </c>
      <c r="D3" s="2" t="s">
        <v>35</v>
      </c>
      <c r="E3" s="2" t="s">
        <v>129</v>
      </c>
      <c r="F3" s="2" t="s">
        <v>36</v>
      </c>
      <c r="G3" s="2" t="s">
        <v>37</v>
      </c>
      <c r="H3" s="2" t="s">
        <v>38</v>
      </c>
      <c r="I3" s="2" t="s">
        <v>39</v>
      </c>
      <c r="J3" s="2" t="s">
        <v>40</v>
      </c>
      <c r="K3" s="2" t="s">
        <v>41</v>
      </c>
      <c r="L3" s="2" t="s">
        <v>42</v>
      </c>
      <c r="M3" s="2" t="s">
        <v>43</v>
      </c>
      <c r="N3" s="3" t="s">
        <v>44</v>
      </c>
      <c r="O3" s="3" t="s">
        <v>45</v>
      </c>
      <c r="P3" s="4" t="s">
        <v>44</v>
      </c>
      <c r="Q3" s="4" t="s">
        <v>45</v>
      </c>
      <c r="R3" s="8" t="s">
        <v>44</v>
      </c>
      <c r="S3" s="8" t="s">
        <v>45</v>
      </c>
      <c r="T3" s="2" t="s">
        <v>48</v>
      </c>
      <c r="U3" s="2" t="s">
        <v>49</v>
      </c>
    </row>
    <row r="4" spans="1:23">
      <c r="A4" t="str">
        <f ca="1">CHAR(RANDBETWEEN(65,90))&amp;CHAR(RANDBETWEEN(65,90))&amp;CHAR(RANDBETWEEN(65,90))&amp;(RANDBETWEEN(0,9)&amp;(RANDBETWEEN(0,9)))</f>
        <v>IHG66</v>
      </c>
      <c r="B4" t="s">
        <v>46</v>
      </c>
      <c r="C4">
        <v>4</v>
      </c>
      <c r="D4">
        <v>0</v>
      </c>
      <c r="E4" t="s">
        <v>130</v>
      </c>
      <c r="F4">
        <v>45</v>
      </c>
      <c r="G4">
        <v>40000</v>
      </c>
      <c r="H4">
        <v>0</v>
      </c>
      <c r="I4">
        <v>17.569500000000001</v>
      </c>
      <c r="J4">
        <v>70</v>
      </c>
      <c r="K4">
        <v>18.8871</v>
      </c>
      <c r="L4">
        <f>(K4-I4)/(J4-H4)</f>
        <v>1.8822857142857124E-2</v>
      </c>
      <c r="M4">
        <f>I4-L4*H4</f>
        <v>17.569500000000001</v>
      </c>
      <c r="N4">
        <v>4.4000000000000004</v>
      </c>
      <c r="O4">
        <v>17.569500000000001</v>
      </c>
      <c r="P4">
        <v>0</v>
      </c>
      <c r="Q4">
        <v>18.8871</v>
      </c>
      <c r="R4" s="8">
        <v>60</v>
      </c>
      <c r="S4" s="8">
        <v>18.698871428571429</v>
      </c>
      <c r="T4">
        <f>SQRT((R4-N4)^2+(S4-O4)^2)</f>
        <v>55.611468959412264</v>
      </c>
      <c r="U4">
        <f>ROUNDUP(T4/(F4/60/60),0)</f>
        <v>4449</v>
      </c>
      <c r="V4" s="6" t="str">
        <f ca="1">"&lt;atc:aircraft atc:idx="&amp;CHAR(34)&amp;A4&amp;CHAR(34)&amp;" "&amp;"atc:type="&amp;CHAR(34)&amp;B4&amp;CHAR(34)&amp;"&gt;"&amp;
"&lt;atc:start&gt;"&amp;D4&amp;"&lt;/atc:start&gt;"&amp;
"&lt;atc:altitude&gt;"&amp;G4&amp;"&lt;/atc:altitude&gt;"&amp;
"&lt;atc:velocity&gt;"&amp;F4&amp;"&lt;/atc:velocity&gt;"&amp;
"&lt;atc:flightpath&gt;"&amp;
"&lt;atc:point atc:x="&amp;"'"&amp;N4&amp;"'"&amp;" "&amp;"atc:y="&amp;"'"&amp;O4&amp;"'"&amp;"/&gt;"&amp;
"&lt;atc:point atc:x="&amp;"'"&amp;J4&amp;"'"&amp;" "&amp;"atc:y="&amp;"'"&amp;K4&amp;"'"&amp;"/&gt;"&amp;
"&lt;/atc:flightpath&gt;"&amp;
"&lt;atc:handoffKey&gt;"&amp;E4&amp;"&lt;/atc:handoffKey&gt;"&amp;
"&lt;/atc:aircraft&gt;"</f>
        <v>&lt;atc:aircraft atc:idx="IHG66" atc:type="A320"&gt;&lt;atc:start&gt;0&lt;/atc:start&gt;&lt;atc:altitude&gt;40000&lt;/atc:altitude&gt;&lt;atc:velocity&gt;45&lt;/atc:velocity&gt;&lt;atc:flightpath&gt;&lt;atc:point atc:x='4.4' atc:y='17.5695'/&gt;&lt;atc:point atc:x='70' atc:y='18.8871'/&gt;&lt;/atc:flightpath&gt;&lt;atc:handoffKey&gt;key_right&lt;/atc:handoffKey&gt;&lt;/atc:aircraft&gt;</v>
      </c>
      <c r="W4" t="str">
        <f>"&lt;atc:point atc:x="&amp;"'"&amp;N4&amp;"'"&amp;" "&amp;"atc:y="&amp;"'"&amp;O4&amp;"'"&amp;"/&gt;"&amp;
"&lt;atc:point atc:x="&amp;"'"&amp;J4&amp;"'"&amp;" "&amp;"atc:y="&amp;"'"&amp;K4&amp;"'"&amp;"/&gt;"</f>
        <v>&lt;atc:point atc:x='4.4' atc:y='17.5695'/&gt;&lt;atc:point atc:x='70' atc:y='18.8871'/&gt;</v>
      </c>
    </row>
    <row r="5" spans="1:23">
      <c r="A5" t="s">
        <v>347</v>
      </c>
      <c r="B5" t="s">
        <v>47</v>
      </c>
      <c r="C5">
        <v>5</v>
      </c>
      <c r="D5">
        <v>0</v>
      </c>
      <c r="E5" t="s">
        <v>130</v>
      </c>
      <c r="F5">
        <v>450</v>
      </c>
      <c r="G5">
        <v>40000</v>
      </c>
      <c r="H5">
        <v>0</v>
      </c>
      <c r="I5">
        <v>17.569500000000001</v>
      </c>
      <c r="J5">
        <v>70</v>
      </c>
      <c r="K5">
        <v>18.8871</v>
      </c>
      <c r="L5">
        <f t="shared" ref="L5:L6" si="0">(K5-I5)/(J5-H5)</f>
        <v>1.8822857142857124E-2</v>
      </c>
      <c r="M5">
        <f t="shared" ref="M5:M6" si="1">I5-L5*H5</f>
        <v>17.569500000000001</v>
      </c>
      <c r="N5" s="5">
        <v>32</v>
      </c>
      <c r="O5">
        <f t="shared" ref="O5:O6" si="2">L5*N5+M5</f>
        <v>18.17183142857143</v>
      </c>
      <c r="P5">
        <f t="shared" ref="P5:P6" si="3">(Q5-M5)/L5</f>
        <v>916.60473630844047</v>
      </c>
      <c r="Q5" s="5">
        <v>34.822620008000001</v>
      </c>
      <c r="R5" s="8">
        <v>60</v>
      </c>
      <c r="S5" s="8">
        <v>18.698871428571429</v>
      </c>
      <c r="T5">
        <f t="shared" ref="T5:T6" si="4">SQRT((R5-N5)^2+(S5-O5)^2)</f>
        <v>28.004959760042507</v>
      </c>
      <c r="U5">
        <f t="shared" ref="U5:U6" si="5">ROUNDUP(T5/(F5/60/60),0)</f>
        <v>225</v>
      </c>
      <c r="V5" s="6" t="str">
        <f t="shared" ref="V5" si="6">"&lt;atc:aircraft atc:idx="&amp;CHAR(34)&amp;A5&amp;CHAR(34)&amp;" "&amp;"atc:type="&amp;CHAR(34)&amp;B5&amp;CHAR(34)&amp;"&gt;"&amp;
"&lt;atc:start&gt;"&amp;D5&amp;"&lt;/atc:start&gt;"&amp;
"&lt;atc:altitude&gt;"&amp;G5&amp;"&lt;/atc:altitude&gt;"&amp;
"&lt;atc:velocity&gt;"&amp;F5&amp;"&lt;/atc:velocity&gt;"&amp;
"&lt;atc:flightpath&gt;"&amp;
"&lt;atc:point atc:x="&amp;"'"&amp;N5&amp;"'"&amp;" "&amp;"atc:y="&amp;"'"&amp;O5&amp;"'"&amp;"/&gt;"&amp;
"&lt;atc:point atc:x="&amp;"'"&amp;J5&amp;"'"&amp;" "&amp;"atc:y="&amp;"'"&amp;K5&amp;"'"&amp;"/&gt;"&amp;
"&lt;/atc:flightpath&gt;"&amp;
"&lt;atc:handoffKey&gt;"&amp;E5&amp;"&lt;/atc:handoffKey&gt;"&amp;
"&lt;/atc:aircraft&gt;"</f>
        <v>&lt;atc:aircraft atc:idx="BA18" atc:type="B737"&gt;&lt;atc:start&gt;0&lt;/atc:start&gt;&lt;atc:altitude&gt;40000&lt;/atc:altitude&gt;&lt;atc:velocity&gt;450&lt;/atc:velocity&gt;&lt;atc:flightpath&gt;&lt;atc:point atc:x='32' atc:y='18.1718314285714'/&gt;&lt;atc:point atc:x='70' atc:y='18.8871'/&gt;&lt;/atc:flightpath&gt;&lt;atc:handoffKey&gt;key_right&lt;/atc:handoffKey&gt;&lt;/atc:aircraft&gt;</v>
      </c>
      <c r="W5" t="str">
        <f t="shared" ref="W5:W6" si="7">"&lt;atc:point atc:x="&amp;"'"&amp;N5&amp;"'"&amp;" "&amp;"atc:y="&amp;"'"&amp;O5&amp;"'"&amp;"/&gt;"&amp;
"&lt;atc:point atc:x="&amp;"'"&amp;J5&amp;"'"&amp;" "&amp;"atc:y="&amp;"'"&amp;K5&amp;"'"&amp;"/&gt;"</f>
        <v>&lt;atc:point atc:x='32' atc:y='18.1718314285714'/&gt;&lt;atc:point atc:x='70' atc:y='18.8871'/&gt;</v>
      </c>
    </row>
    <row r="6" spans="1:23">
      <c r="A6" t="str">
        <f t="shared" ref="A6" ca="1" si="8">CHAR(RANDBETWEEN(65,90))&amp;CHAR(RANDBETWEEN(65,90))&amp;CHAR(RANDBETWEEN(65,90))&amp;(RANDBETWEEN(0,9)&amp;(RANDBETWEEN(0,9)))</f>
        <v>QUP93</v>
      </c>
      <c r="B6" t="s">
        <v>47</v>
      </c>
      <c r="C6">
        <v>14</v>
      </c>
      <c r="D6">
        <v>0</v>
      </c>
      <c r="E6" t="s">
        <v>130</v>
      </c>
      <c r="F6">
        <v>460</v>
      </c>
      <c r="G6">
        <v>38000</v>
      </c>
      <c r="H6">
        <v>0</v>
      </c>
      <c r="I6">
        <v>17.569500000000001</v>
      </c>
      <c r="J6">
        <v>70</v>
      </c>
      <c r="K6">
        <v>18.8871</v>
      </c>
      <c r="L6">
        <f t="shared" si="0"/>
        <v>1.8822857142857124E-2</v>
      </c>
      <c r="M6">
        <f t="shared" si="1"/>
        <v>17.569500000000001</v>
      </c>
      <c r="N6" s="5">
        <v>5</v>
      </c>
      <c r="O6">
        <f t="shared" si="2"/>
        <v>17.663614285714289</v>
      </c>
      <c r="P6">
        <f t="shared" si="3"/>
        <v>916.60473630844047</v>
      </c>
      <c r="Q6" s="5">
        <v>34.822620008000001</v>
      </c>
      <c r="R6" s="8">
        <v>60</v>
      </c>
      <c r="S6" s="8">
        <v>18.698871428571429</v>
      </c>
      <c r="T6">
        <f t="shared" si="4"/>
        <v>55.009742385797779</v>
      </c>
      <c r="U6">
        <f t="shared" si="5"/>
        <v>431</v>
      </c>
      <c r="V6" s="6" t="str">
        <f ca="1">"&lt;atc:aircraft atc:idx="&amp;CHAR(34)&amp;A6&amp;CHAR(34)&amp;" "&amp;"atc:type="&amp;CHAR(34)&amp;B6&amp;CHAR(34)&amp;"&gt;"&amp;
"&lt;atc:start&gt;"&amp;D6&amp;"&lt;/atc:start&gt;"&amp;
"&lt;atc:altitude&gt;"&amp;G6&amp;"&lt;/atc:altitude&gt;"&amp;
"&lt;atc:velocity&gt;"&amp;F6&amp;"&lt;/atc:velocity&gt;"&amp;
"&lt;atc:flightpath&gt;"&amp;
"&lt;atc:point atc:x="&amp;"'"&amp;H6&amp;"'"&amp;" "&amp;"atc:y="&amp;"'"&amp;I6&amp;"'"&amp;"/&gt;"&amp;
"&lt;atc:point atc:x="&amp;"'"&amp;J6&amp;"'"&amp;" "&amp;"atc:y="&amp;"'"&amp;K6&amp;"'"&amp;"/&gt;"&amp;
"&lt;/atc:flightpath&gt;"&amp;
"&lt;atc:handoffKey&gt;"&amp;E6&amp;"&lt;/atc:handoffKey&gt;"&amp;
"&lt;/atc:aircraft&gt;"</f>
        <v>&lt;atc:aircraft atc:idx="QUP93" atc:type="B737"&gt;&lt;atc:start&gt;0&lt;/atc:start&gt;&lt;atc:altitude&gt;38000&lt;/atc:altitude&gt;&lt;atc:velocity&gt;460&lt;/atc:velocity&gt;&lt;atc:flightpath&gt;&lt;atc:point atc:x='0' atc:y='17.5695'/&gt;&lt;atc:point atc:x='70' atc:y='18.8871'/&gt;&lt;/atc:flightpath&gt;&lt;atc:handoffKey&gt;key_right&lt;/atc:handoffKey&gt;&lt;/atc:aircraft&gt;</v>
      </c>
      <c r="W6" t="str">
        <f t="shared" si="7"/>
        <v>&lt;atc:point atc:x='5' atc:y='17.6636142857143'/&gt;&lt;atc:point atc:x='70' atc:y='18.8871'/&gt;</v>
      </c>
    </row>
    <row r="8" spans="1:23">
      <c r="A8" s="102" t="s">
        <v>89</v>
      </c>
      <c r="B8" s="102"/>
      <c r="C8" s="102"/>
      <c r="D8" s="102"/>
      <c r="E8" s="102"/>
      <c r="F8" s="102"/>
      <c r="G8" s="102"/>
      <c r="H8" s="102"/>
      <c r="I8" s="102"/>
      <c r="J8" s="102"/>
      <c r="K8" s="102"/>
      <c r="L8" s="102"/>
      <c r="M8" s="102"/>
      <c r="N8" s="98" t="s">
        <v>31</v>
      </c>
      <c r="O8" s="98"/>
      <c r="P8" s="98"/>
      <c r="Q8" s="98"/>
      <c r="R8" s="99" t="s">
        <v>68</v>
      </c>
      <c r="S8" s="99"/>
      <c r="T8" s="9"/>
      <c r="U8" s="9"/>
      <c r="V8" s="1" t="s">
        <v>32</v>
      </c>
      <c r="W8" s="2" t="s">
        <v>70</v>
      </c>
    </row>
    <row r="9" spans="1:23">
      <c r="A9" s="2" t="s">
        <v>33</v>
      </c>
      <c r="B9" s="2" t="s">
        <v>34</v>
      </c>
      <c r="C9" s="2" t="s">
        <v>50</v>
      </c>
      <c r="D9" s="2" t="s">
        <v>35</v>
      </c>
      <c r="E9" s="2" t="s">
        <v>129</v>
      </c>
      <c r="F9" s="2" t="s">
        <v>36</v>
      </c>
      <c r="G9" s="2" t="s">
        <v>37</v>
      </c>
      <c r="H9" s="2" t="s">
        <v>38</v>
      </c>
      <c r="I9" s="2" t="s">
        <v>39</v>
      </c>
      <c r="J9" s="2" t="s">
        <v>40</v>
      </c>
      <c r="K9" s="2" t="s">
        <v>41</v>
      </c>
      <c r="L9" s="2" t="s">
        <v>42</v>
      </c>
      <c r="M9" s="2" t="s">
        <v>43</v>
      </c>
      <c r="N9" s="3" t="s">
        <v>44</v>
      </c>
      <c r="O9" s="3" t="s">
        <v>45</v>
      </c>
      <c r="P9" s="4" t="s">
        <v>44</v>
      </c>
      <c r="Q9" s="4" t="s">
        <v>45</v>
      </c>
      <c r="R9" s="8" t="s">
        <v>44</v>
      </c>
      <c r="S9" s="8" t="s">
        <v>45</v>
      </c>
      <c r="T9" s="2" t="s">
        <v>48</v>
      </c>
      <c r="U9" s="2" t="s">
        <v>49</v>
      </c>
    </row>
    <row r="10" spans="1:23">
      <c r="A10" t="str">
        <f ca="1">CHAR(RANDBETWEEN(65,90))&amp;CHAR(RANDBETWEEN(65,90))&amp;CHAR(RANDBETWEEN(65,90))&amp;(RANDBETWEEN(0,9)&amp;(RANDBETWEEN(0,9)))</f>
        <v>EJS27</v>
      </c>
      <c r="B10" t="s">
        <v>46</v>
      </c>
      <c r="C10">
        <v>4</v>
      </c>
      <c r="D10">
        <v>0</v>
      </c>
      <c r="E10" t="s">
        <v>130</v>
      </c>
      <c r="F10">
        <v>470</v>
      </c>
      <c r="G10">
        <v>38000</v>
      </c>
      <c r="H10">
        <v>0</v>
      </c>
      <c r="I10">
        <v>17.569500000000001</v>
      </c>
      <c r="J10">
        <v>70</v>
      </c>
      <c r="K10">
        <v>18.8871</v>
      </c>
      <c r="L10">
        <f>(K10-I10)/(J10-H10)</f>
        <v>1.8822857142857124E-2</v>
      </c>
      <c r="M10">
        <f>I10-L10*H10</f>
        <v>17.569500000000001</v>
      </c>
      <c r="N10" s="5">
        <v>38.799999999999997</v>
      </c>
      <c r="O10">
        <f>L10*N10+M10</f>
        <v>18.299826857142858</v>
      </c>
      <c r="P10">
        <f>(Q10-M10)/L10</f>
        <v>916.60473630844047</v>
      </c>
      <c r="Q10" s="5">
        <v>34.822620008000001</v>
      </c>
      <c r="R10" s="8">
        <v>60</v>
      </c>
      <c r="S10" s="8">
        <v>18.698871428571429</v>
      </c>
      <c r="T10">
        <f>SQRT((R10-N10)^2+(S10-O10)^2)</f>
        <v>21.20375524688933</v>
      </c>
      <c r="U10">
        <f>ROUNDUP(T10/(F10/60/60),0)</f>
        <v>163</v>
      </c>
      <c r="V10" s="6" t="str">
        <f ca="1">"&lt;atc:aircraft atc:idx="&amp;CHAR(34)&amp;A10&amp;CHAR(34)&amp;" "&amp;"atc:type="&amp;CHAR(34)&amp;B10&amp;CHAR(34)&amp;"&gt;"&amp;
"&lt;atc:start&gt;"&amp;D10&amp;"&lt;/atc:start&gt;"&amp;
"&lt;atc:altitude&gt;"&amp;G10&amp;"&lt;/atc:altitude&gt;"&amp;
"&lt;atc:velocity&gt;"&amp;F10&amp;"&lt;/atc:velocity&gt;"&amp;
"&lt;atc:flightpath&gt;"&amp;
"&lt;atc:point atc:x="&amp;"'"&amp;N10&amp;"'"&amp;" "&amp;"atc:y="&amp;"'"&amp;O10&amp;"'"&amp;"/&gt;"&amp;
"&lt;atc:point atc:x="&amp;"'"&amp;J10&amp;"'"&amp;" "&amp;"atc:y="&amp;"'"&amp;K10&amp;"'"&amp;"/&gt;"&amp;
"&lt;/atc:flightpath&gt;"&amp;
"&lt;atc:handoffKey&gt;"&amp;E10&amp;"&lt;/atc:handoffKey&gt;"&amp;
"&lt;/atc:aircraft&gt;"</f>
        <v>&lt;atc:aircraft atc:idx="EJS27" atc:type="A320"&gt;&lt;atc:start&gt;0&lt;/atc:start&gt;&lt;atc:altitude&gt;38000&lt;/atc:altitude&gt;&lt;atc:velocity&gt;470&lt;/atc:velocity&gt;&lt;atc:flightpath&gt;&lt;atc:point atc:x='38.8' atc:y='18.2998268571429'/&gt;&lt;atc:point atc:x='70' atc:y='18.8871'/&gt;&lt;/atc:flightpath&gt;&lt;atc:handoffKey&gt;key_right&lt;/atc:handoffKey&gt;&lt;/atc:aircraft&gt;</v>
      </c>
      <c r="W10" t="str">
        <f>"&lt;atc:point atc:x="&amp;"'"&amp;N10&amp;"'"&amp;" "&amp;"atc:y="&amp;"'"&amp;O10&amp;"'"&amp;"/&gt;"&amp;
"&lt;atc:point atc:x="&amp;"'"&amp;J10&amp;"'"&amp;" "&amp;"atc:y="&amp;"'"&amp;K10&amp;"'"&amp;"/&gt;"</f>
        <v>&lt;atc:point atc:x='38.8' atc:y='18.2998268571429'/&gt;&lt;atc:point atc:x='70' atc:y='18.8871'/&gt;</v>
      </c>
    </row>
    <row r="11" spans="1:23">
      <c r="A11" t="str">
        <f t="shared" ref="A11:A12" ca="1" si="9">CHAR(RANDBETWEEN(65,90))&amp;CHAR(RANDBETWEEN(65,90))&amp;CHAR(RANDBETWEEN(65,90))&amp;(RANDBETWEEN(0,9)&amp;(RANDBETWEEN(0,9)))</f>
        <v>NCB40</v>
      </c>
      <c r="B11" t="s">
        <v>128</v>
      </c>
      <c r="C11">
        <v>11</v>
      </c>
      <c r="D11">
        <v>0</v>
      </c>
      <c r="E11" t="s">
        <v>130</v>
      </c>
      <c r="F11">
        <v>460</v>
      </c>
      <c r="G11">
        <v>40000</v>
      </c>
      <c r="H11">
        <v>0</v>
      </c>
      <c r="I11">
        <v>17.569500000000001</v>
      </c>
      <c r="J11">
        <v>70</v>
      </c>
      <c r="K11">
        <v>18.8871</v>
      </c>
      <c r="L11">
        <f t="shared" ref="L11:L12" si="10">(K11-I11)/(J11-H11)</f>
        <v>1.8822857142857124E-2</v>
      </c>
      <c r="M11">
        <f t="shared" ref="M11:M12" si="11">I11-L11*H11</f>
        <v>17.569500000000001</v>
      </c>
      <c r="N11" s="5">
        <v>33.1</v>
      </c>
      <c r="O11">
        <f t="shared" ref="O11:O12" si="12">L11*N11+M11</f>
        <v>18.192536571428573</v>
      </c>
      <c r="P11">
        <f t="shared" ref="P11:P12" si="13">(Q11-M11)/L11</f>
        <v>916.60473630844047</v>
      </c>
      <c r="Q11" s="5">
        <v>34.822620008000001</v>
      </c>
      <c r="R11" s="8">
        <v>60</v>
      </c>
      <c r="S11" s="8">
        <v>18.698871428571429</v>
      </c>
      <c r="T11">
        <f t="shared" ref="T11:T12" si="14">SQRT((R11-N11)^2+(S11-O11)^2)</f>
        <v>26.904764912326549</v>
      </c>
      <c r="U11">
        <f t="shared" ref="U11:U12" si="15">ROUNDUP(T11/(F11/60/60),0)</f>
        <v>211</v>
      </c>
      <c r="V11" s="6" t="str">
        <f t="shared" ref="V11" ca="1" si="16">"&lt;atc:aircraft atc:idx="&amp;CHAR(34)&amp;A11&amp;CHAR(34)&amp;" "&amp;"atc:type="&amp;CHAR(34)&amp;B11&amp;CHAR(34)&amp;"&gt;"&amp;
"&lt;atc:start&gt;"&amp;D11&amp;"&lt;/atc:start&gt;"&amp;
"&lt;atc:altitude&gt;"&amp;G11&amp;"&lt;/atc:altitude&gt;"&amp;
"&lt;atc:velocity&gt;"&amp;F11&amp;"&lt;/atc:velocity&gt;"&amp;
"&lt;atc:flightpath&gt;"&amp;
"&lt;atc:point atc:x="&amp;"'"&amp;N11&amp;"'"&amp;" "&amp;"atc:y="&amp;"'"&amp;O11&amp;"'"&amp;"/&gt;"&amp;
"&lt;atc:point atc:x="&amp;"'"&amp;J11&amp;"'"&amp;" "&amp;"atc:y="&amp;"'"&amp;K11&amp;"'"&amp;"/&gt;"&amp;
"&lt;/atc:flightpath&gt;"&amp;
"&lt;atc:handoffKey&gt;"&amp;E11&amp;"&lt;/atc:handoffKey&gt;"&amp;
"&lt;/atc:aircraft&gt;"</f>
        <v>&lt;atc:aircraft atc:idx="NCB40" atc:type="B744"&gt;&lt;atc:start&gt;0&lt;/atc:start&gt;&lt;atc:altitude&gt;40000&lt;/atc:altitude&gt;&lt;atc:velocity&gt;460&lt;/atc:velocity&gt;&lt;atc:flightpath&gt;&lt;atc:point atc:x='33.1' atc:y='18.1925365714286'/&gt;&lt;atc:point atc:x='70' atc:y='18.8871'/&gt;&lt;/atc:flightpath&gt;&lt;atc:handoffKey&gt;key_right&lt;/atc:handoffKey&gt;&lt;/atc:aircraft&gt;</v>
      </c>
      <c r="W11" t="str">
        <f t="shared" ref="W11:W12" si="17">"&lt;atc:point atc:x="&amp;"'"&amp;N11&amp;"'"&amp;" "&amp;"atc:y="&amp;"'"&amp;O11&amp;"'"&amp;"/&gt;"&amp;
"&lt;atc:point atc:x="&amp;"'"&amp;J11&amp;"'"&amp;" "&amp;"atc:y="&amp;"'"&amp;K11&amp;"'"&amp;"/&gt;"</f>
        <v>&lt;atc:point atc:x='33.1' atc:y='18.1925365714286'/&gt;&lt;atc:point atc:x='70' atc:y='18.8871'/&gt;</v>
      </c>
    </row>
    <row r="12" spans="1:23">
      <c r="A12" t="str">
        <f t="shared" ca="1" si="9"/>
        <v>OYJ38</v>
      </c>
      <c r="B12" t="s">
        <v>47</v>
      </c>
      <c r="C12">
        <v>14</v>
      </c>
      <c r="D12">
        <v>0</v>
      </c>
      <c r="E12" t="s">
        <v>130</v>
      </c>
      <c r="F12">
        <v>460</v>
      </c>
      <c r="G12">
        <v>40000</v>
      </c>
      <c r="H12">
        <v>0</v>
      </c>
      <c r="I12">
        <v>17.569500000000001</v>
      </c>
      <c r="J12">
        <v>70</v>
      </c>
      <c r="K12">
        <v>18.8871</v>
      </c>
      <c r="L12">
        <f t="shared" si="10"/>
        <v>1.8822857142857124E-2</v>
      </c>
      <c r="M12">
        <f t="shared" si="11"/>
        <v>17.569500000000001</v>
      </c>
      <c r="N12" s="5">
        <v>37.299999999999997</v>
      </c>
      <c r="O12">
        <f t="shared" si="12"/>
        <v>18.27159257142857</v>
      </c>
      <c r="P12">
        <f t="shared" si="13"/>
        <v>916.60473630844047</v>
      </c>
      <c r="Q12" s="5">
        <v>34.822620008000001</v>
      </c>
      <c r="R12" s="8">
        <v>60</v>
      </c>
      <c r="S12" s="8">
        <v>18.698871428571429</v>
      </c>
      <c r="T12">
        <f t="shared" si="14"/>
        <v>22.704020948320178</v>
      </c>
      <c r="U12">
        <f t="shared" si="15"/>
        <v>178</v>
      </c>
      <c r="V12" s="6" t="str">
        <f ca="1">"&lt;atc:aircraft atc:idx="&amp;CHAR(34)&amp;A12&amp;CHAR(34)&amp;" "&amp;"atc:type="&amp;CHAR(34)&amp;B12&amp;CHAR(34)&amp;"&gt;"&amp;
"&lt;atc:start&gt;"&amp;D12&amp;"&lt;/atc:start&gt;"&amp;
"&lt;atc:altitude&gt;"&amp;G12&amp;"&lt;/atc:altitude&gt;"&amp;
"&lt;atc:velocity&gt;"&amp;F12&amp;"&lt;/atc:velocity&gt;"&amp;
"&lt;atc:flightpath&gt;"&amp;
"&lt;atc:point atc:x="&amp;"'"&amp;N12&amp;"'"&amp;" "&amp;"atc:y="&amp;"'"&amp;O12&amp;"'"&amp;"/&gt;"&amp;
"&lt;atc:point atc:x="&amp;"'"&amp;J12&amp;"'"&amp;" "&amp;"atc:y="&amp;"'"&amp;K12&amp;"'"&amp;"/&gt;"&amp;
"&lt;/atc:flightpath&gt;"&amp;
"&lt;atc:handoffKey&gt;"&amp;E12&amp;"&lt;/atc:handoffKey&gt;"&amp;
"&lt;/atc:aircraft&gt;"</f>
        <v>&lt;atc:aircraft atc:idx="OYJ38" atc:type="B737"&gt;&lt;atc:start&gt;0&lt;/atc:start&gt;&lt;atc:altitude&gt;40000&lt;/atc:altitude&gt;&lt;atc:velocity&gt;460&lt;/atc:velocity&gt;&lt;atc:flightpath&gt;&lt;atc:point atc:x='37.3' atc:y='18.2715925714286'/&gt;&lt;atc:point atc:x='70' atc:y='18.8871'/&gt;&lt;/atc:flightpath&gt;&lt;atc:handoffKey&gt;key_right&lt;/atc:handoffKey&gt;&lt;/atc:aircraft&gt;</v>
      </c>
      <c r="W12" t="str">
        <f t="shared" si="17"/>
        <v>&lt;atc:point atc:x='37.3' atc:y='18.2715925714286'/&gt;&lt;atc:point atc:x='70' atc:y='18.8871'/&gt;</v>
      </c>
    </row>
    <row r="15" spans="1:23">
      <c r="N15" s="5">
        <v>163</v>
      </c>
    </row>
    <row r="16" spans="1:23">
      <c r="N16" s="5">
        <v>211</v>
      </c>
    </row>
    <row r="17" spans="14:14">
      <c r="N17" s="5">
        <v>178</v>
      </c>
    </row>
  </sheetData>
  <mergeCells count="6">
    <mergeCell ref="A8:M8"/>
    <mergeCell ref="N8:Q8"/>
    <mergeCell ref="R8:S8"/>
    <mergeCell ref="A2:M2"/>
    <mergeCell ref="N2:Q2"/>
    <mergeCell ref="R2:S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
  <sheetViews>
    <sheetView workbookViewId="0">
      <selection activeCell="P7" sqref="P7"/>
    </sheetView>
  </sheetViews>
  <sheetFormatPr defaultRowHeight="15"/>
  <cols>
    <col min="1" max="1" width="15.7109375" customWidth="1"/>
    <col min="4" max="4" width="9.140625" customWidth="1"/>
  </cols>
  <sheetData>
    <row r="1" spans="1:24">
      <c r="A1" t="s">
        <v>92</v>
      </c>
      <c r="B1" s="103" t="s">
        <v>93</v>
      </c>
      <c r="C1" s="103"/>
      <c r="D1" s="100" t="s">
        <v>94</v>
      </c>
      <c r="E1" s="100"/>
      <c r="F1" s="15" t="s">
        <v>48</v>
      </c>
      <c r="G1" s="103" t="s">
        <v>95</v>
      </c>
      <c r="H1" s="103"/>
      <c r="I1" s="14" t="s">
        <v>48</v>
      </c>
      <c r="J1" s="100" t="s">
        <v>96</v>
      </c>
      <c r="K1" s="100"/>
      <c r="L1" s="99" t="s">
        <v>68</v>
      </c>
      <c r="M1" s="99"/>
    </row>
    <row r="2" spans="1:24">
      <c r="A2" s="32" t="s">
        <v>97</v>
      </c>
      <c r="B2" s="33" t="s">
        <v>38</v>
      </c>
      <c r="C2" s="33" t="s">
        <v>39</v>
      </c>
      <c r="D2" s="34" t="s">
        <v>40</v>
      </c>
      <c r="E2" s="34" t="s">
        <v>41</v>
      </c>
      <c r="F2" s="35" t="s">
        <v>98</v>
      </c>
      <c r="G2" s="33" t="s">
        <v>90</v>
      </c>
      <c r="H2" s="33" t="s">
        <v>91</v>
      </c>
      <c r="I2" s="33" t="s">
        <v>99</v>
      </c>
      <c r="J2" s="34" t="s">
        <v>100</v>
      </c>
      <c r="K2" s="34" t="s">
        <v>101</v>
      </c>
      <c r="L2" s="8" t="s">
        <v>44</v>
      </c>
      <c r="M2" s="8" t="s">
        <v>45</v>
      </c>
    </row>
    <row r="3" spans="1:24" ht="15.75" thickBot="1">
      <c r="A3" t="s">
        <v>0</v>
      </c>
      <c r="B3">
        <v>50.6008</v>
      </c>
      <c r="C3">
        <v>0</v>
      </c>
      <c r="D3">
        <v>50.508699999999997</v>
      </c>
      <c r="E3">
        <v>35.523200000000003</v>
      </c>
      <c r="F3" s="36">
        <f>SQRT((B3-D3)^2+(C3-E3)^2)</f>
        <v>35.5233193923372</v>
      </c>
      <c r="G3">
        <v>67.275700000000001</v>
      </c>
      <c r="H3">
        <v>52.5</v>
      </c>
      <c r="I3" s="36">
        <f>SQRT((D3-G3)^2+(E3-H3)^2)</f>
        <v>23.860930980160855</v>
      </c>
      <c r="J3" t="s">
        <v>54</v>
      </c>
      <c r="K3" t="s">
        <v>54</v>
      </c>
      <c r="L3" s="8">
        <v>55.58</v>
      </c>
      <c r="M3" s="8">
        <v>40.65795552215662</v>
      </c>
    </row>
    <row r="4" spans="1:24" ht="15.75" thickTop="1">
      <c r="F4">
        <f>ROUNDUP((F3-5)/(B15/60/60),0)</f>
        <v>245</v>
      </c>
      <c r="I4">
        <f>ROUNDUP((I3-5)/(B15/60/60),0)</f>
        <v>151</v>
      </c>
    </row>
    <row r="5" spans="1:24">
      <c r="B5" s="99" t="s">
        <v>102</v>
      </c>
      <c r="C5" s="99"/>
      <c r="D5" s="99"/>
      <c r="E5" s="99"/>
      <c r="F5" s="99"/>
      <c r="G5" s="99"/>
      <c r="H5" s="99"/>
      <c r="I5" s="37" t="s">
        <v>49</v>
      </c>
      <c r="J5" s="7" t="s">
        <v>103</v>
      </c>
      <c r="K5" s="7"/>
      <c r="L5" s="7"/>
      <c r="M5" s="7"/>
      <c r="N5" s="102" t="s">
        <v>111</v>
      </c>
      <c r="O5" s="102"/>
    </row>
    <row r="6" spans="1:24">
      <c r="A6" s="32" t="s">
        <v>104</v>
      </c>
      <c r="B6" s="20" t="s">
        <v>38</v>
      </c>
      <c r="C6" s="20" t="s">
        <v>39</v>
      </c>
      <c r="D6" s="20" t="s">
        <v>40</v>
      </c>
      <c r="E6" s="20" t="s">
        <v>41</v>
      </c>
      <c r="F6" s="20" t="s">
        <v>48</v>
      </c>
      <c r="G6" s="20" t="s">
        <v>42</v>
      </c>
      <c r="H6" s="20" t="s">
        <v>43</v>
      </c>
      <c r="I6" s="38" t="str">
        <f>"@"&amp;B15</f>
        <v>@450</v>
      </c>
      <c r="J6" s="17" t="s">
        <v>44</v>
      </c>
      <c r="K6" s="17" t="s">
        <v>45</v>
      </c>
      <c r="L6" s="17" t="s">
        <v>44</v>
      </c>
      <c r="M6" s="17" t="s">
        <v>45</v>
      </c>
      <c r="N6" s="42" t="s">
        <v>48</v>
      </c>
      <c r="O6" s="42" t="str">
        <f>"Time"&amp;"@"&amp;B15</f>
        <v>Time@450</v>
      </c>
      <c r="X6">
        <v>50.530538593369997</v>
      </c>
    </row>
    <row r="7" spans="1:24">
      <c r="A7" t="s">
        <v>105</v>
      </c>
      <c r="B7">
        <v>50.6008</v>
      </c>
      <c r="C7">
        <v>0</v>
      </c>
      <c r="D7">
        <v>50.508699999999997</v>
      </c>
      <c r="E7">
        <v>35.523200000000003</v>
      </c>
      <c r="F7" s="39">
        <f>SQRT((B7-D7)^2+(C7-E7)^2)</f>
        <v>35.5233193923372</v>
      </c>
      <c r="G7" s="6">
        <f>(E7-C7)/(D7-B7)</f>
        <v>-385.70249728555052</v>
      </c>
      <c r="H7" s="6">
        <f>C7-G7*B7</f>
        <v>19516.854924646686</v>
      </c>
      <c r="I7">
        <f>ROUNDUP(F7/(B15/60/60),0)</f>
        <v>285</v>
      </c>
      <c r="J7" s="5"/>
      <c r="K7">
        <f>G7*J7+H7</f>
        <v>19516.854924646686</v>
      </c>
      <c r="L7" s="40">
        <f>(M7-H7)/G7</f>
        <v>50.528723723088014</v>
      </c>
      <c r="M7" s="40">
        <v>27.8</v>
      </c>
      <c r="N7" s="39">
        <f>F8+SQRT((D7-L7)^2+(E7-M7)^2)</f>
        <v>14.940136512666633</v>
      </c>
      <c r="O7">
        <f>ROUNDUP((0.125+N7)/(B15/60/60),0)</f>
        <v>121</v>
      </c>
      <c r="P7" t="str">
        <f>"&lt;atc:point atc:x="&amp;"'"&amp;ROUND(L7,4)&amp;"'"&amp;" "&amp;"atc:y="&amp;"'"&amp;ROUND(M7,4)&amp;"'"&amp;"/&gt;"</f>
        <v>&lt;atc:point atc:x='50.5287' atc:y='27.8'/&gt;</v>
      </c>
    </row>
    <row r="8" spans="1:24">
      <c r="A8" t="s">
        <v>106</v>
      </c>
      <c r="B8">
        <v>50.508699999999997</v>
      </c>
      <c r="C8">
        <v>35.523200000000003</v>
      </c>
      <c r="D8">
        <v>67.275700000000001</v>
      </c>
      <c r="E8">
        <v>52.5</v>
      </c>
      <c r="F8" s="39">
        <f>SQRT((B8-L3)^2+(C8-M3)^2)</f>
        <v>7.2169105552388464</v>
      </c>
      <c r="G8" s="6">
        <f>(E8-C8)/(D8-B8)</f>
        <v>1.0125126737042998</v>
      </c>
      <c r="H8" s="6">
        <f>C8-G8*B8</f>
        <v>-15.617498882328363</v>
      </c>
      <c r="I8">
        <f>ROUNDUP(F8/(B15/60/60),0)</f>
        <v>58</v>
      </c>
      <c r="J8" s="5"/>
      <c r="K8">
        <f>G8*J8+H8</f>
        <v>-15.617498882328363</v>
      </c>
      <c r="L8" s="40">
        <f>(M8-H8)/G8</f>
        <v>54.63388293200132</v>
      </c>
      <c r="M8" s="40">
        <v>39.700000000000003</v>
      </c>
      <c r="N8" s="39">
        <f>SQRT((L3-L8)^2+(M3-M8)^2)</f>
        <v>1.3464086633666508</v>
      </c>
      <c r="O8">
        <f>ROUNDUP((N8)/(B15/60/60),0)</f>
        <v>11</v>
      </c>
      <c r="P8" t="str">
        <f>"&lt;atc:point atc:x="&amp;"'"&amp;ROUND(L8,4)&amp;"'"&amp;" "&amp;"atc:y="&amp;"'"&amp;ROUND(M8,4)&amp;"'"&amp;"/&gt;"</f>
        <v>&lt;atc:point atc:x='54.6339' atc:y='39.7'/&gt;</v>
      </c>
    </row>
    <row r="9" spans="1:24" ht="15.75" thickBot="1">
      <c r="A9" s="41" t="s">
        <v>107</v>
      </c>
      <c r="B9" s="41"/>
      <c r="C9" s="41"/>
      <c r="D9" s="41"/>
      <c r="E9" s="41"/>
      <c r="F9" s="41">
        <f>F8+F7</f>
        <v>42.740229947576047</v>
      </c>
      <c r="G9" s="41"/>
      <c r="H9" s="41"/>
      <c r="I9" s="41">
        <f t="shared" ref="I9" si="0">ROUNDUP(F9/(450/60/60),0)</f>
        <v>342</v>
      </c>
      <c r="J9" s="41"/>
      <c r="K9" s="41"/>
      <c r="L9" s="41"/>
      <c r="M9" s="41"/>
      <c r="N9" s="41"/>
      <c r="O9" s="41"/>
    </row>
    <row r="10" spans="1:24" ht="15.75" thickTop="1"/>
    <row r="11" spans="1:24">
      <c r="A11" t="s">
        <v>69</v>
      </c>
      <c r="B11" t="str">
        <f ca="1">CHAR(RANDBETWEEN(65,90))&amp;CHAR(RANDBETWEEN(65,90))&amp;CHAR(RANDBETWEEN(65,90))&amp;(RANDBETWEEN(0,9)&amp;(RANDBETWEEN(0,9)))</f>
        <v>IPD29</v>
      </c>
    </row>
    <row r="12" spans="1:24">
      <c r="A12" t="s">
        <v>34</v>
      </c>
      <c r="B12" t="s">
        <v>46</v>
      </c>
    </row>
    <row r="13" spans="1:24">
      <c r="A13" t="s">
        <v>50</v>
      </c>
      <c r="B13">
        <v>16</v>
      </c>
    </row>
    <row r="14" spans="1:24">
      <c r="A14" t="s">
        <v>108</v>
      </c>
      <c r="B14">
        <v>120</v>
      </c>
      <c r="P14" t="s">
        <v>154</v>
      </c>
      <c r="Q14" t="s">
        <v>155</v>
      </c>
    </row>
    <row r="15" spans="1:24">
      <c r="A15" t="s">
        <v>36</v>
      </c>
      <c r="B15">
        <v>450</v>
      </c>
    </row>
    <row r="16" spans="1:24">
      <c r="A16" t="s">
        <v>109</v>
      </c>
      <c r="B16" t="str">
        <f>IF(B14&lt;I8,"LastLeg",IF(B14&lt;(I8+I7),"SecondLast","EvenLater"))</f>
        <v>SecondLast</v>
      </c>
    </row>
    <row r="17" spans="1:2">
      <c r="A17" t="s">
        <v>35</v>
      </c>
      <c r="B17">
        <v>0</v>
      </c>
    </row>
    <row r="18" spans="1:2" ht="15.75" customHeight="1">
      <c r="A18" t="s">
        <v>37</v>
      </c>
      <c r="B18">
        <v>36700</v>
      </c>
    </row>
    <row r="19" spans="1:2" ht="15.75" customHeight="1">
      <c r="A19" t="s">
        <v>129</v>
      </c>
      <c r="B19" t="s">
        <v>132</v>
      </c>
    </row>
    <row r="20" spans="1:2">
      <c r="A20" t="s">
        <v>110</v>
      </c>
      <c r="B20" s="6" t="str">
        <f ca="1">"&lt;atc:aircraft atc:idx="&amp;CHAR(34)&amp;B11&amp;CHAR(34)&amp;" "&amp;"atc:type="&amp;CHAR(34)&amp;B12&amp;CHAR(34)&amp;"&gt;"&amp;
"&lt;atc:start&gt;"&amp;0&amp;"&lt;/atc:start&gt;"&amp;
"&lt;atc:altitude&gt;"&amp;B18&amp;"&lt;/atc:altitude&gt;"&amp;
"&lt;atc:velocity&gt;"&amp;B15&amp;"&lt;/atc:velocity&gt;"&amp;
"&lt;atc:flightpath&gt;"&amp;
IF(
B16 = "LastLeg","&lt;atc:point atc:x="&amp;"'"&amp;L8&amp;"'"&amp;" "&amp;"atc:y="&amp;"'"&amp;M8&amp;"'"&amp;"/&gt;"&amp;
"&lt;atc:point atc:x="&amp;"'"&amp;D8&amp;"'"&amp;" "&amp;"atc:y="&amp;"'"&amp;E8&amp;"'"&amp;"/&gt;"&amp;
"&lt;/atc:flightpath&gt;"&amp;
"&lt;atc:handoffKey&gt;"&amp;B19&amp;"&lt;/atc:handoffKey&gt;"&amp;
"&lt;/atc:aircraft&gt;", IF(
B16 = "SecondLast","&lt;atc:point atc:x="&amp;"'"&amp;L7&amp;"'"&amp;" "&amp;"atc:y="&amp;"'"&amp;M7&amp;"'"&amp;"/&gt;"&amp;
"&lt;atc:point atc:x="&amp;"'"&amp;B8&amp;"'"&amp;" "&amp;"atc:y="&amp;"'"&amp;C8&amp;"'"&amp;"/&gt;"&amp;
"&lt;atc:point atc:x="&amp;"'"&amp;D8&amp;"'"&amp;" "&amp;"atc:y="&amp;"'"&amp;E8&amp;"'"&amp;"/&gt;"&amp;
"&lt;/atc:flightpath&gt;"&amp;
"&lt;atc:handoffKey&gt;"&amp;B19&amp;"&lt;/atc:handoffKey&gt;"&amp;
"&lt;/atc:aircraft&gt;","Manual Required"))</f>
        <v>&lt;atc:aircraft atc:idx="IPD29" atc:type="A320"&gt;&lt;atc:start&gt;0&lt;/atc:start&gt;&lt;atc:altitude&gt;36700&lt;/atc:altitude&gt;&lt;atc:velocity&gt;450&lt;/atc:velocity&gt;&lt;atc:flightpath&gt;&lt;atc:point atc:x='50.528723723088' atc:y='27.8'/&gt;&lt;atc:point atc:x='50.5087' atc:y='35.5232'/&gt;&lt;atc:point atc:x='67.2757' atc:y='52.5'/&gt;&lt;/atc:flightpath&gt;&lt;atc:handoffKey&gt;key_up&lt;/atc:handoffKey&gt;&lt;/atc:aircraft&gt;</v>
      </c>
    </row>
    <row r="21" spans="1:2">
      <c r="A21" t="s">
        <v>149</v>
      </c>
    </row>
    <row r="22" spans="1:2">
      <c r="A22" t="s">
        <v>152</v>
      </c>
    </row>
  </sheetData>
  <mergeCells count="7">
    <mergeCell ref="B5:H5"/>
    <mergeCell ref="N5:O5"/>
    <mergeCell ref="B1:C1"/>
    <mergeCell ref="D1:E1"/>
    <mergeCell ref="G1:H1"/>
    <mergeCell ref="J1:K1"/>
    <mergeCell ref="L1:M1"/>
  </mergeCells>
  <conditionalFormatting sqref="K7:K8">
    <cfRule type="expression" dxfId="42" priority="1">
      <formula>"$J$9+$J$10=0"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workbookViewId="0">
      <selection activeCell="P7" sqref="P7"/>
    </sheetView>
  </sheetViews>
  <sheetFormatPr defaultRowHeight="15"/>
  <cols>
    <col min="1" max="1" width="18.28515625" customWidth="1"/>
  </cols>
  <sheetData>
    <row r="1" spans="1:16">
      <c r="A1" t="s">
        <v>92</v>
      </c>
      <c r="B1" s="103" t="s">
        <v>93</v>
      </c>
      <c r="C1" s="103"/>
      <c r="D1" s="100" t="s">
        <v>94</v>
      </c>
      <c r="E1" s="100"/>
      <c r="F1" s="15" t="s">
        <v>48</v>
      </c>
      <c r="G1" s="103" t="s">
        <v>95</v>
      </c>
      <c r="H1" s="103"/>
      <c r="I1" s="14" t="s">
        <v>48</v>
      </c>
      <c r="J1" s="100" t="s">
        <v>96</v>
      </c>
      <c r="K1" s="100"/>
      <c r="L1" s="43" t="s">
        <v>48</v>
      </c>
      <c r="M1" s="99" t="s">
        <v>68</v>
      </c>
      <c r="N1" s="99"/>
    </row>
    <row r="2" spans="1:16">
      <c r="A2" s="32" t="s">
        <v>97</v>
      </c>
      <c r="B2" s="33" t="s">
        <v>38</v>
      </c>
      <c r="C2" s="33" t="s">
        <v>39</v>
      </c>
      <c r="D2" s="34" t="s">
        <v>40</v>
      </c>
      <c r="E2" s="34" t="s">
        <v>41</v>
      </c>
      <c r="F2" s="35" t="s">
        <v>98</v>
      </c>
      <c r="G2" s="33" t="s">
        <v>90</v>
      </c>
      <c r="H2" s="33" t="s">
        <v>91</v>
      </c>
      <c r="I2" s="33" t="s">
        <v>99</v>
      </c>
      <c r="J2" s="34" t="s">
        <v>100</v>
      </c>
      <c r="K2" s="34" t="s">
        <v>101</v>
      </c>
      <c r="L2" s="34" t="s">
        <v>112</v>
      </c>
      <c r="M2" s="8" t="s">
        <v>44</v>
      </c>
      <c r="N2" s="8" t="s">
        <v>45</v>
      </c>
    </row>
    <row r="3" spans="1:16" ht="15.75" thickBot="1">
      <c r="A3" t="s">
        <v>0</v>
      </c>
      <c r="B3">
        <v>6.7561</v>
      </c>
      <c r="C3">
        <v>52.5</v>
      </c>
      <c r="D3">
        <v>10.7531</v>
      </c>
      <c r="E3">
        <v>42.894599999999997</v>
      </c>
      <c r="F3" s="36">
        <f>SQRT((B3-D3)^2+(C3-E3)^2)</f>
        <v>10.403831897911465</v>
      </c>
      <c r="G3">
        <v>14.3025</v>
      </c>
      <c r="H3">
        <v>34.841700000000003</v>
      </c>
      <c r="I3" s="36">
        <f>SQRT((D3-G3)^2+(E3-H3)^2)</f>
        <v>8.8004226472368874</v>
      </c>
      <c r="J3">
        <v>14.3025</v>
      </c>
      <c r="K3">
        <v>0</v>
      </c>
      <c r="L3" s="36">
        <f>SQRT((G3-J3)^2+(H3-K3)^2)</f>
        <v>34.841700000000003</v>
      </c>
      <c r="M3" s="8">
        <v>14.3025</v>
      </c>
      <c r="N3" s="8">
        <v>9</v>
      </c>
    </row>
    <row r="4" spans="1:16" ht="15.75" thickTop="1"/>
    <row r="5" spans="1:16">
      <c r="B5" s="99" t="s">
        <v>102</v>
      </c>
      <c r="C5" s="99"/>
      <c r="D5" s="99"/>
      <c r="E5" s="99"/>
      <c r="F5" s="99"/>
      <c r="G5" s="99"/>
      <c r="H5" s="99"/>
      <c r="I5" s="37" t="s">
        <v>49</v>
      </c>
      <c r="J5" s="7" t="s">
        <v>103</v>
      </c>
      <c r="K5" s="7"/>
      <c r="L5" s="7"/>
      <c r="M5" s="7"/>
      <c r="N5" s="102" t="s">
        <v>111</v>
      </c>
      <c r="O5" s="102"/>
    </row>
    <row r="6" spans="1:16">
      <c r="A6" s="32" t="s">
        <v>104</v>
      </c>
      <c r="B6" s="20" t="s">
        <v>38</v>
      </c>
      <c r="C6" s="20" t="s">
        <v>39</v>
      </c>
      <c r="D6" s="20" t="s">
        <v>40</v>
      </c>
      <c r="E6" s="20" t="s">
        <v>41</v>
      </c>
      <c r="F6" s="20" t="s">
        <v>48</v>
      </c>
      <c r="G6" s="20" t="s">
        <v>42</v>
      </c>
      <c r="H6" s="20" t="s">
        <v>43</v>
      </c>
      <c r="I6" s="38" t="str">
        <f>"@"&amp;B16</f>
        <v>@450</v>
      </c>
      <c r="J6" s="17" t="s">
        <v>44</v>
      </c>
      <c r="K6" s="17" t="s">
        <v>45</v>
      </c>
      <c r="L6" s="17" t="s">
        <v>44</v>
      </c>
      <c r="M6" s="17" t="s">
        <v>45</v>
      </c>
      <c r="N6" s="42" t="s">
        <v>48</v>
      </c>
      <c r="O6" s="42" t="str">
        <f>"Time"&amp;"@"&amp;B16</f>
        <v>Time@450</v>
      </c>
    </row>
    <row r="7" spans="1:16">
      <c r="A7" t="s">
        <v>113</v>
      </c>
      <c r="B7">
        <v>6.7561</v>
      </c>
      <c r="C7">
        <v>52.5</v>
      </c>
      <c r="D7">
        <v>10.7531</v>
      </c>
      <c r="E7">
        <v>42.894599999999997</v>
      </c>
      <c r="F7" s="39">
        <f>SQRT((B7-D7)^2+(C7-E7)^2)</f>
        <v>10.403831897911465</v>
      </c>
      <c r="G7" s="6">
        <f>(E7-C7)/(D7-B7)</f>
        <v>-2.4031523642732058</v>
      </c>
      <c r="H7" s="6">
        <f>C7-G7*B7</f>
        <v>68.735937688266205</v>
      </c>
      <c r="I7">
        <f>ROUNDUP(F7/(B16/60/60),0)</f>
        <v>84</v>
      </c>
      <c r="J7" s="5">
        <v>6.8</v>
      </c>
      <c r="K7">
        <f>G7*J7+H7</f>
        <v>52.394501611208405</v>
      </c>
      <c r="L7" s="40">
        <f>(M7-H7)/G7</f>
        <v>6.9641600495554581</v>
      </c>
      <c r="M7" s="40">
        <v>52</v>
      </c>
      <c r="N7" s="39">
        <f>SUM(F8:F9)+SQRT((D7-L7)^2+(E7-M7)^2)</f>
        <v>44.504392928874623</v>
      </c>
      <c r="O7">
        <f>ROUNDUP((N7)/(B16/60/60),0)</f>
        <v>357</v>
      </c>
      <c r="P7" t="str">
        <f>"&lt;atc:point atc:x="&amp;"'"&amp;ROUND(L7,4)&amp;"'"&amp;" "&amp;"atc:y="&amp;"'"&amp;ROUND(M7,4)&amp;"'"&amp;"/&gt;"</f>
        <v>&lt;atc:point atc:x='6.9642' atc:y='52'/&gt;</v>
      </c>
    </row>
    <row r="8" spans="1:16">
      <c r="A8" t="s">
        <v>114</v>
      </c>
      <c r="B8">
        <v>10.7531</v>
      </c>
      <c r="C8">
        <v>42.894599999999997</v>
      </c>
      <c r="D8">
        <v>14.3025</v>
      </c>
      <c r="E8">
        <v>34.841700000000003</v>
      </c>
      <c r="F8" s="39">
        <f>SQRT((B8-D8)^2+(C8-E8)^2)</f>
        <v>8.8004226472368874</v>
      </c>
      <c r="G8" s="6">
        <f>(E8-C8)/(D8-B8)</f>
        <v>-2.2688059953794988</v>
      </c>
      <c r="H8" s="6">
        <f>C8-G8*B8</f>
        <v>67.291297748915284</v>
      </c>
      <c r="I8">
        <f>ROUNDUP(F8/(B16/60/60),0)</f>
        <v>71</v>
      </c>
      <c r="J8" s="5">
        <v>6.5194190000000001</v>
      </c>
      <c r="K8">
        <f>G8*J8+H8</f>
        <v>52.500000835324265</v>
      </c>
      <c r="L8" s="40">
        <f>(M8-H8)/G8</f>
        <v>6.5194193681779176</v>
      </c>
      <c r="M8" s="40">
        <v>52.5</v>
      </c>
      <c r="N8" s="39">
        <f>F9+SQRT((D8-L8)^2+(E8-M8)^2)</f>
        <v>45.139158459896834</v>
      </c>
      <c r="O8">
        <f>ROUNDUP((N8)/(B16/60/60),0)</f>
        <v>362</v>
      </c>
      <c r="P8" t="str">
        <f>"&lt;atc:point atc:x="&amp;"'"&amp;ROUND(J8,4)&amp;"'"&amp;" "&amp;"atc:y="&amp;"'"&amp;ROUND(K8,4)&amp;"'"&amp;"/&gt;"</f>
        <v>&lt;atc:point atc:x='6.5194' atc:y='52.5'/&gt;</v>
      </c>
    </row>
    <row r="9" spans="1:16">
      <c r="A9" t="s">
        <v>115</v>
      </c>
      <c r="B9">
        <v>14.3025</v>
      </c>
      <c r="C9">
        <v>34.841700000000003</v>
      </c>
      <c r="D9">
        <v>14.3025</v>
      </c>
      <c r="E9">
        <v>0</v>
      </c>
      <c r="F9" s="39">
        <f>SQRT((B9-M3)^2+(C9-N3)^2)</f>
        <v>25.841700000000003</v>
      </c>
      <c r="G9" s="6" t="s">
        <v>51</v>
      </c>
      <c r="H9" s="6" t="s">
        <v>51</v>
      </c>
      <c r="I9">
        <f>ROUNDUP(F9/(450/60/60),0)</f>
        <v>207</v>
      </c>
      <c r="J9" s="40">
        <v>14.3025</v>
      </c>
      <c r="K9" s="40">
        <v>28.4</v>
      </c>
      <c r="L9" s="10" t="s">
        <v>51</v>
      </c>
      <c r="M9" s="10" t="s">
        <v>51</v>
      </c>
      <c r="N9" s="39">
        <f>SQRT((M3-J9)^2+(N3-K9)^2)</f>
        <v>19.399999999999999</v>
      </c>
      <c r="O9">
        <f>ROUNDUP((N9)/(B16/60/60),0)</f>
        <v>156</v>
      </c>
      <c r="P9" t="str">
        <f>"&lt;atc:point atc:x="&amp;"'"&amp;ROUND(J9,4)&amp;"'"&amp;" "&amp;"atc:y="&amp;"'"&amp;ROUND(K9,4)&amp;"'"&amp;"/&gt;"</f>
        <v>&lt;atc:point atc:x='14.3025' atc:y='28.4'/&gt;</v>
      </c>
    </row>
    <row r="10" spans="1:16" ht="15.75" thickBot="1">
      <c r="A10" s="41" t="s">
        <v>107</v>
      </c>
      <c r="B10" s="41"/>
      <c r="C10" s="41"/>
      <c r="D10" s="41"/>
      <c r="E10" s="41"/>
      <c r="F10" s="41">
        <f>F8+F9+F7</f>
        <v>45.045954545148355</v>
      </c>
      <c r="G10" s="41"/>
      <c r="H10" s="41"/>
      <c r="I10" s="41">
        <f t="shared" ref="I10" si="0">ROUNDUP(F10/(450/60/60),0)</f>
        <v>361</v>
      </c>
      <c r="J10" s="41"/>
      <c r="K10" s="41"/>
      <c r="L10" s="41"/>
      <c r="M10" s="41"/>
      <c r="N10" s="41"/>
      <c r="O10" s="41"/>
    </row>
    <row r="11" spans="1:16" ht="15.75" thickTop="1"/>
    <row r="12" spans="1:16">
      <c r="A12" t="s">
        <v>69</v>
      </c>
      <c r="B12" t="str">
        <f ca="1">CHAR(RANDBETWEEN(65,90))&amp;CHAR(RANDBETWEEN(65,90))&amp;CHAR(RANDBETWEEN(65,90))&amp;(RANDBETWEEN(0,9)&amp;(RANDBETWEEN(0,9)))</f>
        <v>LLO19</v>
      </c>
    </row>
    <row r="13" spans="1:16">
      <c r="A13" t="s">
        <v>34</v>
      </c>
      <c r="B13" t="s">
        <v>128</v>
      </c>
    </row>
    <row r="14" spans="1:16">
      <c r="A14" t="s">
        <v>50</v>
      </c>
      <c r="B14">
        <v>2</v>
      </c>
    </row>
    <row r="15" spans="1:16">
      <c r="A15" t="s">
        <v>108</v>
      </c>
      <c r="B15">
        <v>23</v>
      </c>
      <c r="C15">
        <v>162</v>
      </c>
    </row>
    <row r="16" spans="1:16">
      <c r="A16" t="s">
        <v>36</v>
      </c>
      <c r="B16">
        <v>450</v>
      </c>
    </row>
    <row r="17" spans="1:6">
      <c r="A17" t="s">
        <v>109</v>
      </c>
      <c r="B17" t="str">
        <f>IF(B15&lt;I9,"LastLeg",IF(B15&lt;(I9+I8),"SecondLast","EvenLater"))</f>
        <v>LastLeg</v>
      </c>
    </row>
    <row r="18" spans="1:6">
      <c r="A18" t="s">
        <v>35</v>
      </c>
      <c r="B18">
        <v>0</v>
      </c>
      <c r="E18" t="str">
        <f>"&lt;atc:point atc:x="&amp;"'"&amp;E19&amp;"'"&amp;" "&amp;"atc:y="&amp;"'"&amp;F19&amp;"'"&amp;"/&gt;"</f>
        <v>&lt;atc:point atc:x='53.3153' atc:y='52.5'/&gt;</v>
      </c>
    </row>
    <row r="19" spans="1:6">
      <c r="A19" t="s">
        <v>37</v>
      </c>
      <c r="B19">
        <v>37500</v>
      </c>
      <c r="E19" s="45">
        <v>53.315300000000001</v>
      </c>
      <c r="F19" s="46">
        <v>52.5</v>
      </c>
    </row>
    <row r="20" spans="1:6">
      <c r="A20" t="s">
        <v>129</v>
      </c>
      <c r="B20" t="s">
        <v>133</v>
      </c>
    </row>
    <row r="21" spans="1:6">
      <c r="A21" t="s">
        <v>110</v>
      </c>
      <c r="B21" s="6" t="str">
        <f ca="1">"&lt;atc:aircraft atc:idx="&amp;CHAR(34)&amp;B12&amp;CHAR(34)&amp;" "&amp;"atc:type="&amp;CHAR(34)&amp;B13&amp;CHAR(34)&amp;"&gt;"&amp;
"&lt;atc:start&gt;"&amp;0&amp;"&lt;/atc:start&gt;"&amp;
"&lt;atc:altitude&gt;"&amp;B19&amp;"&lt;/atc:altitude&gt;"&amp;
"&lt;atc:velocity&gt;"&amp;B16&amp;"&lt;/atc:velocity&gt;"&amp;
"&lt;atc:flightpath&gt;"&amp;
IF(
B17 = "LastLeg","&lt;atc:point atc:x="&amp;"'"&amp;J9&amp;"'"&amp;" "&amp;"atc:y="&amp;"'"&amp;K9&amp;"'"&amp;"/&gt;"&amp;
"&lt;atc:point atc:x="&amp;"'"&amp;D9&amp;"'"&amp;" "&amp;"atc:y="&amp;"'"&amp;E9&amp;"'"&amp;"/&gt;"&amp;
"&lt;/atc:flightpath&gt;"&amp;
"&lt;atc:handoffKey&gt;"&amp;B20&amp;"&lt;/atc:handoffKey&gt;"&amp;
"&lt;/atc:aircraft&gt;", IF(
B17 = "SecondLast","&lt;atc:point atc:x="&amp;"'"&amp;L8&amp;"'"&amp;" "&amp;"atc:y="&amp;"'"&amp;M8&amp;"'"&amp;"/&gt;"&amp;
"&lt;atc:point atc:x="&amp;"'"&amp;B9&amp;"'"&amp;" "&amp;"atc:y="&amp;"'"&amp;C9&amp;"'"&amp;"/&gt;"&amp;
"&lt;atc:point atc:x="&amp;"'"&amp;D9&amp;"'"&amp;" "&amp;"atc:y="&amp;"'"&amp;E9&amp;"'"&amp;"/&gt;"&amp;
"&lt;/atc:flightpath&gt;"&amp;
"&lt;atc:handoffKey&gt;"&amp;B20&amp;"&lt;/atc:handoffKey&gt;"&amp;
"&lt;/atc:aircraft&gt;","Manual Required"))</f>
        <v>&lt;atc:aircraft atc:idx="LLO19" atc:type="B744"&gt;&lt;atc:start&gt;0&lt;/atc:start&gt;&lt;atc:altitude&gt;37500&lt;/atc:altitude&gt;&lt;atc:velocity&gt;450&lt;/atc:velocity&gt;&lt;atc:flightpath&gt;&lt;atc:point atc:x='14.3025' atc:y='28.4'/&gt;&lt;atc:point atc:x='14.3025' atc:y='0'/&gt;&lt;/atc:flightpath&gt;&lt;atc:handoffKey&gt;key_down&lt;/atc:handoffKey&gt;&lt;/atc:aircraft&gt;</v>
      </c>
    </row>
    <row r="22" spans="1:6">
      <c r="B22" t="str">
        <f>"&lt;atc:point atc:x="&amp;"'"&amp;J9&amp;"'"&amp;" "&amp;"atc:y="&amp;"'"&amp;K9&amp;"'"&amp;"/&gt;"&amp;
"&lt;atc:point atc:x="&amp;"'"&amp;D9&amp;"'"&amp;" "&amp;"atc:y="&amp;"'"&amp;E9&amp;"'"&amp;"/&gt;"&amp;
"&lt;/atc:flightpath&gt;"</f>
        <v>&lt;atc:point atc:x='14.3025' atc:y='28.4'/&gt;&lt;atc:point atc:x='14.3025' atc:y='0'/&gt;&lt;/atc:flightpath&gt;</v>
      </c>
    </row>
    <row r="23" spans="1:6">
      <c r="B23" s="6" t="str">
        <f ca="1">"&lt;atc:aircraft atc:idx="&amp;CHAR(34)&amp;B12&amp;CHAR(34)&amp;" "&amp;"atc:type="&amp;CHAR(34)&amp;B13&amp;CHAR(34)&amp;"&gt;"&amp;
"&lt;atc:start&gt;"&amp;B18&amp;"&lt;/atc:start&gt;"&amp;
"&lt;atc:altitude&gt;"&amp;B20&amp;"&lt;/atc:altitude&gt;"&amp;
"&lt;atc:velocity&gt;"&amp;B16&amp;"&lt;/atc:velocity&gt;"&amp;
"&lt;atc:flightpath&gt;"&amp;
"&lt;atc:point atc:x="&amp;"'"&amp;B3&amp;"'"&amp;" "&amp;"atc:y="&amp;"'"&amp;C3&amp;"'"&amp;"/&gt;"&amp;
"&lt;atc:point atc:x="&amp;"'"&amp;D3&amp;"'"&amp;" "&amp;"atc:y="&amp;"'"&amp;E3&amp;"'"&amp;"/&gt;"&amp;
"&lt;atc:point atc:x="&amp;"'"&amp;G3&amp;"'"&amp;" "&amp;"atc:y="&amp;"'"&amp;H3&amp;"'"&amp;"/&gt;"&amp;
"&lt;atc:point atc:x="&amp;"'"&amp;J3&amp;"'"&amp;" "&amp;"atc:y="&amp;"'"&amp;K3&amp;"'"&amp;"/&gt;"&amp;
"&lt;/atc:flightpath&gt;"&amp;
"&lt;/atc:aircraft&gt;"</f>
        <v>&lt;atc:aircraft atc:idx="LLO19" atc:type="B744"&gt;&lt;atc:start&gt;0&lt;/atc:start&gt;&lt;atc:altitude&gt;key_down&lt;/atc:altitude&gt;&lt;atc:velocity&gt;450&lt;/atc:velocity&gt;&lt;atc:flightpath&gt;&lt;atc:point atc:x='6.7561' atc:y='52.5'/&gt;&lt;atc:point atc:x='10.7531' atc:y='42.8946'/&gt;&lt;atc:point atc:x='14.3025' atc:y='34.8417'/&gt;&lt;atc:point atc:x='14.3025' atc:y='0'/&gt;&lt;/atc:flightpath&gt;&lt;/atc:aircraft&gt;</v>
      </c>
    </row>
    <row r="24" spans="1:6">
      <c r="B24" t="str">
        <f>"&lt;atc:point atc:x="&amp;"'"&amp;B3&amp;"'"&amp;" "&amp;"atc:y="&amp;"'"&amp;C3&amp;"'"&amp;"/&gt;"&amp;
"&lt;atc:point atc:x="&amp;"'"&amp;D3&amp;"'"&amp;" "&amp;"atc:y="&amp;"'"&amp;E3&amp;"'"&amp;"/&gt;"&amp;
"&lt;atc:point atc:x="&amp;"'"&amp;G3&amp;"'"&amp;" "&amp;"atc:y="&amp;"'"&amp;H3&amp;"'"&amp;"/&gt;"&amp;
"&lt;atc:point atc:x="&amp;"'"&amp;J3&amp;"'"&amp;" "&amp;"atc:y="&amp;"'"&amp;K3&amp;"'"&amp;"/&gt;"</f>
        <v>&lt;atc:point atc:x='6.7561' atc:y='52.5'/&gt;&lt;atc:point atc:x='10.7531' atc:y='42.8946'/&gt;&lt;atc:point atc:x='14.3025' atc:y='34.8417'/&gt;&lt;atc:point atc:x='14.3025' atc:y='0'/&gt;</v>
      </c>
    </row>
    <row r="25" spans="1:6">
      <c r="C25">
        <v>122</v>
      </c>
      <c r="D25">
        <v>162</v>
      </c>
    </row>
  </sheetData>
  <mergeCells count="7">
    <mergeCell ref="N5:O5"/>
    <mergeCell ref="B1:C1"/>
    <mergeCell ref="D1:E1"/>
    <mergeCell ref="G1:H1"/>
    <mergeCell ref="J1:K1"/>
    <mergeCell ref="M1:N1"/>
    <mergeCell ref="B5:H5"/>
  </mergeCells>
  <conditionalFormatting sqref="K7:K8">
    <cfRule type="expression" dxfId="41" priority="1">
      <formula>"$J$9+$J$10=0"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selection activeCell="B22" sqref="B22"/>
    </sheetView>
  </sheetViews>
  <sheetFormatPr defaultRowHeight="15"/>
  <cols>
    <col min="1" max="1" width="19.140625" customWidth="1"/>
  </cols>
  <sheetData>
    <row r="1" spans="1:16">
      <c r="A1" t="s">
        <v>92</v>
      </c>
      <c r="B1" s="103" t="s">
        <v>93</v>
      </c>
      <c r="C1" s="103"/>
      <c r="D1" s="100" t="s">
        <v>94</v>
      </c>
      <c r="E1" s="100"/>
      <c r="F1" s="15" t="s">
        <v>48</v>
      </c>
      <c r="G1" s="103" t="s">
        <v>95</v>
      </c>
      <c r="H1" s="103"/>
      <c r="I1" s="14" t="s">
        <v>48</v>
      </c>
      <c r="J1" s="100" t="s">
        <v>96</v>
      </c>
      <c r="K1" s="100"/>
      <c r="L1" s="43" t="s">
        <v>48</v>
      </c>
      <c r="M1" s="99" t="s">
        <v>68</v>
      </c>
      <c r="N1" s="99"/>
    </row>
    <row r="2" spans="1:16">
      <c r="A2" s="32" t="s">
        <v>97</v>
      </c>
      <c r="B2" s="33" t="s">
        <v>38</v>
      </c>
      <c r="C2" s="33" t="s">
        <v>39</v>
      </c>
      <c r="D2" s="34" t="s">
        <v>40</v>
      </c>
      <c r="E2" s="34" t="s">
        <v>41</v>
      </c>
      <c r="F2" s="35" t="s">
        <v>98</v>
      </c>
      <c r="G2" s="33" t="s">
        <v>90</v>
      </c>
      <c r="H2" s="33" t="s">
        <v>91</v>
      </c>
      <c r="I2" s="33" t="s">
        <v>99</v>
      </c>
      <c r="J2" s="34" t="s">
        <v>100</v>
      </c>
      <c r="K2" s="34" t="s">
        <v>101</v>
      </c>
      <c r="L2" s="34" t="s">
        <v>112</v>
      </c>
      <c r="M2" s="8" t="s">
        <v>44</v>
      </c>
      <c r="N2" s="8" t="s">
        <v>45</v>
      </c>
    </row>
    <row r="3" spans="1:16" ht="15.75" thickBot="1">
      <c r="A3" t="s">
        <v>0</v>
      </c>
      <c r="B3">
        <v>41.753399999999999</v>
      </c>
      <c r="C3">
        <v>0</v>
      </c>
      <c r="D3">
        <v>41.7759</v>
      </c>
      <c r="E3">
        <v>18.355899999999998</v>
      </c>
      <c r="F3" s="36">
        <f>SQRT((B3-D3)^2+(C3-E3)^2)</f>
        <v>18.355913789838954</v>
      </c>
      <c r="G3">
        <v>24.968599999999999</v>
      </c>
      <c r="H3">
        <v>35.042499999999997</v>
      </c>
      <c r="I3" s="36">
        <f>SQRT((D3-G3)^2+(E3-H3)^2)</f>
        <v>23.683917599290876</v>
      </c>
      <c r="J3">
        <v>16.901399999999999</v>
      </c>
      <c r="K3">
        <v>52.5</v>
      </c>
      <c r="L3" s="36">
        <f>SQRT((G3-J3)^2+(H3-K3)^2)</f>
        <v>19.231329181572452</v>
      </c>
      <c r="M3" s="8">
        <v>20.880517814248115</v>
      </c>
      <c r="N3" s="8">
        <v>43.889149984847712</v>
      </c>
      <c r="O3" t="str">
        <f>"&lt;atc:point atc:x="&amp;"'"&amp;ROUND(D3,4)&amp;"'"&amp;" "&amp;"atc:y="&amp;"'"&amp;ROUND(E3,4)&amp;"'"&amp;"/&gt;"</f>
        <v>&lt;atc:point atc:x='41.7759' atc:y='18.3559'/&gt;</v>
      </c>
    </row>
    <row r="4" spans="1:16" ht="15.75" thickTop="1"/>
    <row r="5" spans="1:16">
      <c r="B5" s="99" t="s">
        <v>102</v>
      </c>
      <c r="C5" s="99"/>
      <c r="D5" s="99"/>
      <c r="E5" s="99"/>
      <c r="F5" s="99"/>
      <c r="G5" s="99"/>
      <c r="H5" s="99"/>
      <c r="I5" s="37" t="s">
        <v>49</v>
      </c>
      <c r="J5" s="7" t="s">
        <v>103</v>
      </c>
      <c r="K5" s="7"/>
      <c r="L5" s="7"/>
      <c r="M5" s="7"/>
      <c r="N5" s="102" t="s">
        <v>111</v>
      </c>
      <c r="O5" s="102"/>
    </row>
    <row r="6" spans="1:16">
      <c r="A6" s="32" t="s">
        <v>104</v>
      </c>
      <c r="B6" s="20" t="s">
        <v>38</v>
      </c>
      <c r="C6" s="20" t="s">
        <v>39</v>
      </c>
      <c r="D6" s="20" t="s">
        <v>40</v>
      </c>
      <c r="E6" s="20" t="s">
        <v>41</v>
      </c>
      <c r="F6" s="20" t="s">
        <v>48</v>
      </c>
      <c r="G6" s="20" t="s">
        <v>42</v>
      </c>
      <c r="H6" s="20" t="s">
        <v>43</v>
      </c>
      <c r="I6" s="38" t="str">
        <f>"@"&amp;B16</f>
        <v>@470</v>
      </c>
      <c r="J6" s="17" t="s">
        <v>44</v>
      </c>
      <c r="K6" s="17" t="s">
        <v>45</v>
      </c>
      <c r="L6" s="17" t="s">
        <v>44</v>
      </c>
      <c r="M6" s="17" t="s">
        <v>45</v>
      </c>
      <c r="N6" s="42" t="s">
        <v>48</v>
      </c>
      <c r="O6" s="42" t="str">
        <f>"Time"&amp;"@"&amp;B16</f>
        <v>Time@470</v>
      </c>
    </row>
    <row r="7" spans="1:16">
      <c r="A7" t="s">
        <v>116</v>
      </c>
      <c r="B7">
        <v>41.753399999999999</v>
      </c>
      <c r="C7">
        <v>0</v>
      </c>
      <c r="D7">
        <v>41.7759</v>
      </c>
      <c r="E7">
        <v>18.355899999999998</v>
      </c>
      <c r="F7" s="39">
        <f>SQRT((B7-D7)^2+(C7-E7)^2)</f>
        <v>18.355913789838954</v>
      </c>
      <c r="G7" s="6">
        <f>(E7-C7)/(D7-B7)</f>
        <v>815.81777777774676</v>
      </c>
      <c r="H7" s="6">
        <f>C7-G7*B7</f>
        <v>-34063.16600266537</v>
      </c>
      <c r="I7">
        <f>ROUNDUP(F7/(B16/60/60),0)</f>
        <v>141</v>
      </c>
      <c r="J7" s="5"/>
      <c r="K7">
        <f>G7*J7+H7</f>
        <v>-34063.16600266537</v>
      </c>
      <c r="L7" s="40">
        <f>(M7-H7)/G7</f>
        <v>41.768109167079793</v>
      </c>
      <c r="M7" s="40">
        <v>12</v>
      </c>
      <c r="N7" s="39">
        <f>SUM(F8:F9)+SQRT((D7-L7)^2+(E7-M7)^2)</f>
        <v>39.785366582241657</v>
      </c>
      <c r="O7">
        <f>ROUNDUP((N7)/(B16/60/60),0)</f>
        <v>305</v>
      </c>
      <c r="P7" t="str">
        <f>"&lt;atc:point atc:x="&amp;"'"&amp;ROUND(L7,4)&amp;"'"&amp;" "&amp;"atc:y="&amp;"'"&amp;ROUND(M7,4)&amp;"'"&amp;"/&gt;"</f>
        <v>&lt;atc:point atc:x='41.7681' atc:y='12'/&gt;</v>
      </c>
    </row>
    <row r="8" spans="1:16">
      <c r="A8" t="s">
        <v>117</v>
      </c>
      <c r="B8">
        <v>41.7759</v>
      </c>
      <c r="C8">
        <v>18.355899999999998</v>
      </c>
      <c r="D8">
        <v>24.968599999999999</v>
      </c>
      <c r="E8">
        <v>35.042499999999997</v>
      </c>
      <c r="F8" s="39">
        <f>SQRT((B8-D8)^2+(C8-E8)^2)</f>
        <v>23.683917599290876</v>
      </c>
      <c r="G8" s="6">
        <f>(E8-C8)/(D8-B8)</f>
        <v>-0.99281859668120387</v>
      </c>
      <c r="H8" s="6">
        <f>C8-G8*B8</f>
        <v>59.831790413094303</v>
      </c>
      <c r="I8">
        <f>ROUNDUP(F8/(B16/60/60),0)</f>
        <v>182</v>
      </c>
      <c r="J8" s="5">
        <v>43</v>
      </c>
      <c r="K8">
        <f>G8*J8+H8</f>
        <v>17.140590755802535</v>
      </c>
      <c r="L8" s="40">
        <f>(M8-H8)/G8</f>
        <v>29.141064147879135</v>
      </c>
      <c r="M8" s="40">
        <v>30.9</v>
      </c>
      <c r="N8" s="39">
        <f>F9+SQRT((D8-L8)^2+(E8-M8)^2)</f>
        <v>15.625149918965155</v>
      </c>
      <c r="O8">
        <f>ROUNDUP((N8)/(B16/60/60),0)</f>
        <v>120</v>
      </c>
      <c r="P8" t="str">
        <f>"&lt;atc:point atc:x="&amp;"'"&amp;ROUND(L8,4)&amp;"'"&amp;" "&amp;"atc:y="&amp;"'"&amp;ROUND(M8,4)&amp;"'"&amp;"/&gt;"</f>
        <v>&lt;atc:point atc:x='29.1411' atc:y='30.9'/&gt;</v>
      </c>
    </row>
    <row r="9" spans="1:16">
      <c r="A9" t="s">
        <v>118</v>
      </c>
      <c r="B9">
        <v>24.968599999999999</v>
      </c>
      <c r="C9">
        <v>35.042499999999997</v>
      </c>
      <c r="D9">
        <v>16.901399999999999</v>
      </c>
      <c r="E9">
        <v>52.5</v>
      </c>
      <c r="F9" s="39">
        <f>SQRT((B9-M3)^2+(C9-N3)^2)</f>
        <v>9.7455442080916139</v>
      </c>
      <c r="G9" s="6">
        <f>(E9-C9)/(D9-B9)</f>
        <v>-2.1640098175327256</v>
      </c>
      <c r="H9" s="6">
        <f>C9-G9*B9</f>
        <v>89.074795530047609</v>
      </c>
      <c r="I9">
        <f>ROUNDUP(F9/(B16/60/60),0)</f>
        <v>75</v>
      </c>
      <c r="J9" s="40">
        <v>22.5</v>
      </c>
      <c r="K9">
        <f>G9*J9+H9</f>
        <v>40.384574635561286</v>
      </c>
      <c r="L9" s="10" t="s">
        <v>51</v>
      </c>
      <c r="M9" s="10" t="s">
        <v>51</v>
      </c>
      <c r="N9" s="39">
        <f>SQRT((M3-J9)^2+(N3-K9)^2)</f>
        <v>3.8606697513247332</v>
      </c>
      <c r="O9">
        <f>ROUNDUP((N9)/(B16/60/60),0)</f>
        <v>30</v>
      </c>
      <c r="P9" t="str">
        <f>"&lt;atc:point atc:x="&amp;"'"&amp;ROUND(J9,4)&amp;"'"&amp;" "&amp;"atc:y="&amp;"'"&amp;ROUND(K9,4)&amp;"'"&amp;"/&gt;"</f>
        <v>&lt;atc:point atc:x='22.5' atc:y='40.3846'/&gt;</v>
      </c>
    </row>
    <row r="10" spans="1:16" ht="15.75" thickBot="1">
      <c r="A10" s="41" t="s">
        <v>107</v>
      </c>
      <c r="B10" s="41"/>
      <c r="C10" s="41"/>
      <c r="D10" s="41"/>
      <c r="E10" s="41"/>
      <c r="F10" s="41">
        <f>F8+F9+F7</f>
        <v>51.785375597221446</v>
      </c>
      <c r="G10" s="41"/>
      <c r="H10" s="41"/>
      <c r="I10" s="41">
        <f t="shared" ref="I10" si="0">ROUNDUP(F10/(450/60/60),0)</f>
        <v>415</v>
      </c>
      <c r="J10" s="41"/>
      <c r="K10" s="41"/>
      <c r="L10" s="41"/>
      <c r="M10" s="41"/>
      <c r="N10" s="41"/>
      <c r="O10" s="41"/>
    </row>
    <row r="11" spans="1:16" ht="15.75" thickTop="1"/>
    <row r="12" spans="1:16">
      <c r="A12" t="s">
        <v>69</v>
      </c>
      <c r="B12" t="str">
        <f ca="1">CHAR(RANDBETWEEN(65,90))&amp;CHAR(RANDBETWEEN(65,90))&amp;CHAR(RANDBETWEEN(65,90))&amp;(RANDBETWEEN(0,9)&amp;(RANDBETWEEN(0,9)))</f>
        <v>JVM54</v>
      </c>
    </row>
    <row r="13" spans="1:16">
      <c r="A13" t="s">
        <v>34</v>
      </c>
      <c r="B13" t="s">
        <v>127</v>
      </c>
      <c r="E13" s="45"/>
      <c r="F13" s="46"/>
      <c r="G13" s="45"/>
      <c r="H13" s="46"/>
      <c r="I13" s="45"/>
      <c r="J13" s="46"/>
      <c r="K13" s="45"/>
      <c r="L13" s="46"/>
    </row>
    <row r="14" spans="1:16">
      <c r="A14" t="s">
        <v>50</v>
      </c>
      <c r="B14">
        <v>2</v>
      </c>
    </row>
    <row r="15" spans="1:16">
      <c r="A15" t="s">
        <v>108</v>
      </c>
      <c r="B15">
        <v>104</v>
      </c>
    </row>
    <row r="16" spans="1:16">
      <c r="A16" t="s">
        <v>36</v>
      </c>
      <c r="B16">
        <v>470</v>
      </c>
    </row>
    <row r="17" spans="1:2">
      <c r="A17" t="s">
        <v>109</v>
      </c>
      <c r="B17" t="str">
        <f>IF(B15&lt;I9,"LastLeg",IF(B15&lt;(I9+I8),"SecondLast","EvenLater"))</f>
        <v>SecondLast</v>
      </c>
    </row>
    <row r="18" spans="1:2">
      <c r="A18" t="s">
        <v>35</v>
      </c>
      <c r="B18">
        <v>0</v>
      </c>
    </row>
    <row r="19" spans="1:2">
      <c r="A19" t="s">
        <v>37</v>
      </c>
      <c r="B19">
        <v>38000</v>
      </c>
    </row>
    <row r="20" spans="1:2">
      <c r="A20" t="s">
        <v>129</v>
      </c>
      <c r="B20" t="s">
        <v>132</v>
      </c>
    </row>
    <row r="21" spans="1:2">
      <c r="A21" t="s">
        <v>110</v>
      </c>
      <c r="B21" s="6" t="str">
        <f ca="1">"&lt;atc:aircraft atc:idx="&amp;CHAR(34)&amp;B12&amp;CHAR(34)&amp;" "&amp;"atc:type="&amp;CHAR(34)&amp;B13&amp;CHAR(34)&amp;"&gt;"&amp;
"&lt;atc:start&gt;"&amp;0&amp;"&lt;/atc:start&gt;"&amp;
"&lt;atc:altitude&gt;"&amp;B19&amp;"&lt;/atc:altitude&gt;"&amp;
"&lt;atc:velocity&gt;"&amp;B16&amp;"&lt;/atc:velocity&gt;"&amp;
"&lt;atc:flightpath&gt;"&amp;
IF(
B17 = "LastLeg","&lt;atc:point atc:x="&amp;"'"&amp;J9&amp;"'"&amp;" "&amp;"atc:y="&amp;"'"&amp;ROUND(K9,4)&amp;"'"&amp;"/&gt;"&amp;
"&lt;atc:point atc:x="&amp;"'"&amp;D9&amp;"'"&amp;" "&amp;"atc:y="&amp;"'"&amp;E9&amp;"'"&amp;"/&gt;"&amp;
"&lt;/atc:flightpath&gt;"&amp;
"&lt;atc:handoffKey&gt;"&amp;B20&amp;"&lt;/atc:handoffKey&gt;"&amp;
"&lt;/atc:aircraft&gt;", IF(
B17 = "SecondLast","&lt;atc:point atc:x="&amp;"'"&amp;L8&amp;"'"&amp;" "&amp;"atc:y="&amp;"'"&amp;M8&amp;"'"&amp;"/&gt;"&amp;CHAR(10)&amp;
"&lt;atc:point atc:x="&amp;"'"&amp;B9&amp;"'"&amp;" "&amp;"atc:y="&amp;"'"&amp;C9&amp;"'"&amp;"/&gt;"&amp;CHAR(10)&amp;
"&lt;atc:point atc:x="&amp;"'"&amp;D9&amp;"'"&amp;" "&amp;"atc:y="&amp;"'"&amp;E9&amp;"'"&amp;"/&gt;"&amp;CHAR(10)&amp;
"&lt;/atc:flightpath&gt;"&amp;
"&lt;atc:handoffKey&gt;"&amp;B20&amp;"&lt;/atc:handoffKey&gt;"&amp;
"&lt;/atc:aircraft&gt;","Manual Required"))</f>
        <v>&lt;atc:aircraft atc:idx="JVM54" atc:type="B747"&gt;&lt;atc:start&gt;0&lt;/atc:start&gt;&lt;atc:altitude&gt;38000&lt;/atc:altitude&gt;&lt;atc:velocity&gt;470&lt;/atc:velocity&gt;&lt;atc:flightpath&gt;&lt;atc:point atc:x='29.1410641478791' atc:y='30.9'/&gt;
&lt;atc:point atc:x='24.9686' atc:y='35.0425'/&gt;
&lt;atc:point atc:x='16.9014' atc:y='52.5'/&gt;
&lt;/atc:flightpath&gt;&lt;atc:handoffKey&gt;key_up&lt;/atc:handoffKey&gt;&lt;/atc:aircraft&gt;</v>
      </c>
    </row>
    <row r="22" spans="1:2">
      <c r="A22" t="s">
        <v>150</v>
      </c>
      <c r="B22" t="str">
        <f ca="1">"&lt;atc:aircraft atc:idx="&amp;CHAR(34)&amp;B12&amp;CHAR(34)&amp;" "&amp;"atc:type="&amp;CHAR(34)&amp;B13&amp;CHAR(34)&amp;"&gt;"&amp;
"&lt;atc:start&gt;"&amp;0&amp;"&lt;/atc:start&gt;"&amp;
"&lt;atc:altitude&gt;"&amp;B19&amp;"&lt;/atc:altitude&gt;"&amp;
"&lt;atc:velocity&gt;"&amp;B16&amp;"&lt;/atc:velocity&gt;"&amp;
"&lt;atc:flightpath&gt;"&amp;
IF(
B17 = "LastLeg","&lt;atc:point atc:x="&amp;"'"&amp;J9&amp;"'"&amp;" "&amp;"atc:y="&amp;"'"&amp;ROUND(K9,4)&amp;"'"&amp;"/&gt;"&amp;
"&lt;atc:point atc:x="&amp;"'"&amp;D9&amp;"'"&amp;" "&amp;"atc:y="&amp;"'"&amp;E9&amp;"'"&amp;"/&gt;"&amp;
"&lt;/atc:flightpath&gt;"&amp;
"&lt;atc:handoffKey&gt;"&amp;B20&amp;"&lt;/atc:handoffKey&gt;"&amp;
"&lt;/atc:aircraft&gt;", IF(
B17 = "SecondLast","&lt;atc:point atc:x="&amp;"'"&amp;L8&amp;"'"&amp;" "&amp;"atc:y="&amp;"'"&amp;M8&amp;"'"&amp;"/&gt;"&amp;
"&lt;atc:point atc:x="&amp;"'"&amp;B9&amp;"'"&amp;" "&amp;"atc:y="&amp;"'"&amp;C9&amp;"'"&amp;"/&gt;"&amp;
"&lt;atc:point atc:x="&amp;"'"&amp;D9&amp;"'"&amp;" "&amp;"atc:y="&amp;"'"&amp;E9&amp;"'"&amp;"/&gt;"&amp;
"&lt;/atc:flightpath&gt;"&amp;
"&lt;/atc:aircraft&gt;","Manual Required"))</f>
        <v>&lt;atc:aircraft atc:idx="JVM54" atc:type="B747"&gt;&lt;atc:start&gt;0&lt;/atc:start&gt;&lt;atc:altitude&gt;38000&lt;/atc:altitude&gt;&lt;atc:velocity&gt;470&lt;/atc:velocity&gt;&lt;atc:flightpath&gt;&lt;atc:point atc:x='29.1410641478791' atc:y='30.9'/&gt;&lt;atc:point atc:x='24.9686' atc:y='35.0425'/&gt;&lt;atc:point atc:x='16.9014' atc:y='52.5'/&gt;&lt;/atc:flightpath&gt;&lt;/atc:aircraft&gt;</v>
      </c>
    </row>
    <row r="23" spans="1:2">
      <c r="A23" t="s">
        <v>149</v>
      </c>
      <c r="B23" s="6" t="str">
        <f ca="1">"&lt;atc:aircraft atc:idx="&amp;CHAR(34)&amp;B12&amp;CHAR(34)&amp;" "&amp;"atc:type="&amp;CHAR(34)&amp;B13&amp;CHAR(34)&amp;"&gt;"&amp;
"&lt;atc:start&gt;"&amp;B18&amp;"&lt;/atc:start&gt;"&amp;
"&lt;atc:altitude&gt;"&amp;B20&amp;"&lt;/atc:altitude&gt;"&amp;
"&lt;atc:velocity&gt;"&amp;B16&amp;"&lt;/atc:velocity&gt;"&amp;
"&lt;atc:flightpath&gt;"&amp;
"&lt;atc:point atc:x="&amp;"'"&amp;B3&amp;"'"&amp;" "&amp;"atc:y="&amp;"'"&amp;C3&amp;"'"&amp;"/&gt;"&amp;
"&lt;atc:point atc:x="&amp;"'"&amp;D3&amp;"'"&amp;" "&amp;"atc:y="&amp;"'"&amp;E3&amp;"'"&amp;"/&gt;"&amp;
"&lt;atc:point atc:x="&amp;"'"&amp;G3&amp;"'"&amp;" "&amp;"atc:y="&amp;"'"&amp;H3&amp;"'"&amp;"/&gt;"&amp;
"&lt;atc:point atc:x="&amp;"'"&amp;J3&amp;"'"&amp;" "&amp;"atc:y="&amp;"'"&amp;K3&amp;"'"&amp;"/&gt;"&amp;
"&lt;/atc:flightpath&gt;"&amp;
"&lt;/atc:aircraft&gt;"</f>
        <v>&lt;atc:aircraft atc:idx="JVM54" atc:type="B747"&gt;&lt;atc:start&gt;0&lt;/atc:start&gt;&lt;atc:altitude&gt;key_up&lt;/atc:altitude&gt;&lt;atc:velocity&gt;470&lt;/atc:velocity&gt;&lt;atc:flightpath&gt;&lt;atc:point atc:x='41.7534' atc:y='0'/&gt;&lt;atc:point atc:x='41.7759' atc:y='18.3559'/&gt;&lt;atc:point atc:x='24.9686' atc:y='35.0425'/&gt;&lt;atc:point atc:x='16.9014' atc:y='52.5'/&gt;&lt;/atc:flightpath&gt;&lt;/atc:aircraft&gt;</v>
      </c>
    </row>
    <row r="24" spans="1:2">
      <c r="B24" t="str">
        <f>"&lt;atc:point atc:x="&amp;"'"&amp;B3&amp;"'"&amp;" "&amp;"atc:y="&amp;"'"&amp;C3&amp;"'"&amp;"/&gt;"&amp;
"&lt;atc:point atc:x="&amp;"'"&amp;D3&amp;"'"&amp;" "&amp;"atc:y="&amp;"'"&amp;E3&amp;"'"&amp;"/&gt;"&amp;
"&lt;atc:point atc:x="&amp;"'"&amp;G3&amp;"'"&amp;" "&amp;"atc:y="&amp;"'"&amp;H3&amp;"'"&amp;"/&gt;"&amp;
"&lt;atc:point atc:x="&amp;"'"&amp;J3&amp;"'"&amp;" "&amp;"atc:y="&amp;"'"&amp;K3&amp;"'"&amp;"/&gt;"</f>
        <v>&lt;atc:point atc:x='41.7534' atc:y='0'/&gt;&lt;atc:point atc:x='41.7759' atc:y='18.3559'/&gt;&lt;atc:point atc:x='24.9686' atc:y='35.0425'/&gt;&lt;atc:point atc:x='16.9014' atc:y='52.5'/&gt;</v>
      </c>
    </row>
  </sheetData>
  <mergeCells count="7">
    <mergeCell ref="B5:H5"/>
    <mergeCell ref="N5:O5"/>
    <mergeCell ref="B1:C1"/>
    <mergeCell ref="D1:E1"/>
    <mergeCell ref="G1:H1"/>
    <mergeCell ref="J1:K1"/>
    <mergeCell ref="M1:N1"/>
  </mergeCells>
  <conditionalFormatting sqref="K7:K9">
    <cfRule type="expression" dxfId="40" priority="1">
      <formula>"$J$9+$J$10=0"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workbookViewId="0">
      <selection activeCell="P8" sqref="P8"/>
    </sheetView>
  </sheetViews>
  <sheetFormatPr defaultRowHeight="15"/>
  <sheetData>
    <row r="1" spans="1:17">
      <c r="A1" t="s">
        <v>92</v>
      </c>
      <c r="B1" s="103" t="s">
        <v>93</v>
      </c>
      <c r="C1" s="103"/>
      <c r="D1" s="100" t="s">
        <v>94</v>
      </c>
      <c r="E1" s="100"/>
      <c r="F1" s="15" t="s">
        <v>48</v>
      </c>
      <c r="G1" s="103" t="s">
        <v>95</v>
      </c>
      <c r="H1" s="103"/>
      <c r="I1" s="14" t="s">
        <v>48</v>
      </c>
      <c r="J1" s="100" t="s">
        <v>96</v>
      </c>
      <c r="K1" s="100"/>
      <c r="L1" s="43" t="s">
        <v>48</v>
      </c>
      <c r="M1" s="99" t="s">
        <v>68</v>
      </c>
      <c r="N1" s="99"/>
      <c r="O1" t="s">
        <v>230</v>
      </c>
      <c r="P1" s="45">
        <v>53.315300000000001</v>
      </c>
      <c r="Q1" s="46">
        <v>52.5</v>
      </c>
    </row>
    <row r="2" spans="1:17">
      <c r="A2" s="32" t="s">
        <v>97</v>
      </c>
      <c r="B2" s="33" t="s">
        <v>38</v>
      </c>
      <c r="C2" s="33" t="s">
        <v>39</v>
      </c>
      <c r="D2" s="34" t="s">
        <v>40</v>
      </c>
      <c r="E2" s="34" t="s">
        <v>41</v>
      </c>
      <c r="F2" s="35" t="s">
        <v>98</v>
      </c>
      <c r="G2" s="33" t="s">
        <v>90</v>
      </c>
      <c r="H2" s="33" t="s">
        <v>91</v>
      </c>
      <c r="I2" s="33" t="s">
        <v>99</v>
      </c>
      <c r="J2" s="34" t="s">
        <v>100</v>
      </c>
      <c r="K2" s="34" t="s">
        <v>101</v>
      </c>
      <c r="L2" s="34" t="s">
        <v>112</v>
      </c>
      <c r="M2" s="8" t="s">
        <v>44</v>
      </c>
      <c r="N2" s="8" t="s">
        <v>45</v>
      </c>
    </row>
    <row r="3" spans="1:17" ht="15.75" thickBot="1">
      <c r="A3" t="s">
        <v>0</v>
      </c>
      <c r="B3">
        <v>51.162700000000001</v>
      </c>
      <c r="C3">
        <v>43.789299999999997</v>
      </c>
      <c r="D3">
        <v>43.043799999999997</v>
      </c>
      <c r="E3">
        <v>35.3827</v>
      </c>
      <c r="F3" s="36">
        <f>SQRT((B3-D3)^2+(C3-E3)^2)</f>
        <v>11.687063821593515</v>
      </c>
      <c r="G3">
        <v>23.700700000000001</v>
      </c>
      <c r="H3">
        <v>18.015599999999999</v>
      </c>
      <c r="I3" s="36">
        <f>SQRT((D3-G3)^2+(E3-H3)^2)</f>
        <v>25.995608860344085</v>
      </c>
      <c r="J3">
        <v>23.711500000000001</v>
      </c>
      <c r="K3">
        <v>0</v>
      </c>
      <c r="L3" s="36">
        <f>SQRT((G3-J3)^2+(H3-K3)^2)</f>
        <v>18.015603237194139</v>
      </c>
      <c r="M3" s="8">
        <v>23.706104675947511</v>
      </c>
      <c r="N3" s="8">
        <v>9</v>
      </c>
    </row>
    <row r="4" spans="1:17" ht="15.75" thickTop="1"/>
    <row r="5" spans="1:17">
      <c r="B5" s="99" t="s">
        <v>102</v>
      </c>
      <c r="C5" s="99"/>
      <c r="D5" s="99"/>
      <c r="E5" s="99"/>
      <c r="F5" s="99"/>
      <c r="G5" s="99"/>
      <c r="H5" s="99"/>
      <c r="I5" s="37" t="s">
        <v>49</v>
      </c>
      <c r="J5" s="7" t="s">
        <v>103</v>
      </c>
      <c r="K5" s="7"/>
      <c r="L5" s="7"/>
      <c r="M5" s="7"/>
      <c r="N5" s="102" t="s">
        <v>111</v>
      </c>
      <c r="O5" s="102"/>
    </row>
    <row r="6" spans="1:17">
      <c r="A6" s="32" t="s">
        <v>104</v>
      </c>
      <c r="B6" s="20" t="s">
        <v>38</v>
      </c>
      <c r="C6" s="20" t="s">
        <v>39</v>
      </c>
      <c r="D6" s="20" t="s">
        <v>40</v>
      </c>
      <c r="E6" s="20" t="s">
        <v>41</v>
      </c>
      <c r="F6" s="20" t="s">
        <v>48</v>
      </c>
      <c r="G6" s="20" t="s">
        <v>42</v>
      </c>
      <c r="H6" s="20" t="s">
        <v>43</v>
      </c>
      <c r="I6" s="38" t="str">
        <f>"@"&amp;B16</f>
        <v>@440</v>
      </c>
      <c r="J6" s="17" t="s">
        <v>44</v>
      </c>
      <c r="K6" s="17" t="s">
        <v>45</v>
      </c>
      <c r="L6" s="17" t="s">
        <v>44</v>
      </c>
      <c r="M6" s="17" t="s">
        <v>45</v>
      </c>
      <c r="N6" s="42" t="s">
        <v>48</v>
      </c>
      <c r="O6" s="42" t="str">
        <f>"Time"&amp;"@"&amp;B16</f>
        <v>Time@440</v>
      </c>
    </row>
    <row r="7" spans="1:17">
      <c r="A7" t="s">
        <v>113</v>
      </c>
      <c r="B7">
        <v>51.162700000000001</v>
      </c>
      <c r="C7">
        <v>43.789299999999997</v>
      </c>
      <c r="D7">
        <v>43.043799999999997</v>
      </c>
      <c r="E7">
        <v>35.3827</v>
      </c>
      <c r="F7" s="39">
        <f>SQRT((B7-D7)^2+(C7-E7)^2)</f>
        <v>11.687063821593515</v>
      </c>
      <c r="G7" s="6">
        <f>(E7-C7)/(D7-B7)</f>
        <v>1.0354358349037422</v>
      </c>
      <c r="H7" s="6">
        <f>C7-G7*B7</f>
        <v>-9.1863929904296953</v>
      </c>
      <c r="I7">
        <f>ROUNDUP(F7/(B16/60/60),0)</f>
        <v>96</v>
      </c>
      <c r="J7" s="5"/>
      <c r="K7">
        <f>G7*J7+H7</f>
        <v>-9.1863929904296953</v>
      </c>
      <c r="L7" s="40">
        <f>(M7-H7)/G7</f>
        <v>44.605750963528649</v>
      </c>
      <c r="M7" s="40">
        <v>37</v>
      </c>
      <c r="N7" s="39">
        <f>SUM(F8:F9)+SQRT((D7-L7)^2+(E7-M7)^2)</f>
        <v>37.259621052829004</v>
      </c>
      <c r="O7">
        <f>ROUNDUP((N7)/(B16/60/60),0)</f>
        <v>305</v>
      </c>
      <c r="P7" t="str">
        <f>"&lt;atc:point atc:x="&amp;"'"&amp;ROUND(L7,4)&amp;"'"&amp;" "&amp;"atc:y="&amp;"'"&amp;ROUND(M7,4)&amp;"'"&amp;"/&gt;"</f>
        <v>&lt;atc:point atc:x='44.6058' atc:y='37'/&gt;</v>
      </c>
    </row>
    <row r="8" spans="1:17">
      <c r="A8" t="s">
        <v>114</v>
      </c>
      <c r="B8">
        <v>43.043799999999997</v>
      </c>
      <c r="C8">
        <v>35.3827</v>
      </c>
      <c r="D8">
        <v>23.700700000000001</v>
      </c>
      <c r="E8">
        <v>18.015599999999999</v>
      </c>
      <c r="F8" s="39">
        <f>SQRT((B8-D8)^2+(C8-E8)^2)</f>
        <v>25.995608860344085</v>
      </c>
      <c r="G8" s="6">
        <f>(E8-C8)/(D8-B8)</f>
        <v>0.89784470948296835</v>
      </c>
      <c r="H8" s="6">
        <f>C8-G8*B8</f>
        <v>-3.2639481060429887</v>
      </c>
      <c r="I8">
        <f>ROUNDUP(F8/(B16/60/60),0)</f>
        <v>213</v>
      </c>
      <c r="J8" s="5">
        <v>26</v>
      </c>
      <c r="K8">
        <f>G8*J8+H8</f>
        <v>20.08001434051419</v>
      </c>
      <c r="L8" s="40">
        <f>(M8-H8)/G8</f>
        <v>30.365995163844278</v>
      </c>
      <c r="M8" s="40">
        <v>24</v>
      </c>
      <c r="N8" s="39">
        <f>F9+SQRT((D8-L8)^2+(E8-M8)^2)</f>
        <v>17.973235402486395</v>
      </c>
      <c r="O8">
        <f>ROUNDUP((N8)/(B16/60/60),0)</f>
        <v>148</v>
      </c>
      <c r="P8" t="str">
        <f>"&lt;atc:point atc:x="&amp;"'"&amp;ROUND(L8,4)&amp;"'"&amp;" "&amp;"atc:y="&amp;"'"&amp;ROUND(M8,4)&amp;"'"&amp;"/&gt;"</f>
        <v>&lt;atc:point atc:x='30.366' atc:y='24'/&gt;</v>
      </c>
    </row>
    <row r="9" spans="1:17">
      <c r="A9" t="s">
        <v>115</v>
      </c>
      <c r="B9">
        <v>23.700700000000001</v>
      </c>
      <c r="C9">
        <v>18.015599999999999</v>
      </c>
      <c r="D9">
        <v>23.711500000000001</v>
      </c>
      <c r="E9">
        <v>0</v>
      </c>
      <c r="F9" s="39">
        <f>SQRT((B9-M3)^2+(C9-N3)^2)</f>
        <v>9.0156016199986393</v>
      </c>
      <c r="G9" s="6">
        <f>(E9-C9)/(D9-B9)</f>
        <v>-1668.1111111111575</v>
      </c>
      <c r="H9" s="6">
        <f>C9-G9*B9</f>
        <v>39553.41661111221</v>
      </c>
      <c r="I9">
        <f>ROUNDUP(F9/(B16/60/60),0)</f>
        <v>74</v>
      </c>
      <c r="J9" s="10">
        <v>14.3025</v>
      </c>
      <c r="K9" s="10">
        <v>14.3025</v>
      </c>
      <c r="L9" s="40">
        <f>(M9-H9)/G9</f>
        <v>23.701668520615467</v>
      </c>
      <c r="M9" s="40">
        <v>16.399999999999999</v>
      </c>
      <c r="N9" s="39">
        <f>SQRT((M3-L9)^2+(N3-M9)^2)</f>
        <v>7.400001329694077</v>
      </c>
      <c r="O9">
        <f>ROUNDUP((N9)/(B16/60/60),0)</f>
        <v>61</v>
      </c>
      <c r="P9" t="str">
        <f>"&lt;atc:point atc:x="&amp;"'"&amp;ROUND(L9,4)&amp;"'"&amp;" "&amp;"atc:y="&amp;"'"&amp;ROUND(M9,4)&amp;"'"&amp;"/&gt;"</f>
        <v>&lt;atc:point atc:x='23.7017' atc:y='16.4'/&gt;</v>
      </c>
    </row>
    <row r="10" spans="1:17" ht="15.75" thickBot="1">
      <c r="A10" s="41" t="s">
        <v>107</v>
      </c>
      <c r="B10" s="41"/>
      <c r="C10" s="41"/>
      <c r="D10" s="41"/>
      <c r="E10" s="41"/>
      <c r="F10" s="41">
        <f>F8+F7</f>
        <v>37.682672681937603</v>
      </c>
      <c r="G10" s="41"/>
      <c r="H10" s="41"/>
      <c r="I10" s="41">
        <f t="shared" ref="I10" si="0">ROUNDUP(F10/(450/60/60),0)</f>
        <v>302</v>
      </c>
      <c r="J10" s="41"/>
      <c r="K10" s="41"/>
      <c r="L10" s="41"/>
      <c r="M10" s="41"/>
      <c r="N10" s="41"/>
      <c r="O10" s="41"/>
    </row>
    <row r="11" spans="1:17" ht="15.75" thickTop="1"/>
    <row r="12" spans="1:17">
      <c r="A12" t="s">
        <v>69</v>
      </c>
      <c r="B12" t="str">
        <f ca="1">CHAR(RANDBETWEEN(65,90))&amp;(RANDBETWEEN(0,9)&amp;(RANDBETWEEN(0,9)))</f>
        <v>T59</v>
      </c>
    </row>
    <row r="13" spans="1:17">
      <c r="A13" t="s">
        <v>34</v>
      </c>
      <c r="B13" t="s">
        <v>151</v>
      </c>
    </row>
    <row r="14" spans="1:17">
      <c r="A14" t="s">
        <v>50</v>
      </c>
      <c r="B14">
        <v>7</v>
      </c>
    </row>
    <row r="15" spans="1:17">
      <c r="A15" t="s">
        <v>108</v>
      </c>
      <c r="B15">
        <v>148</v>
      </c>
    </row>
    <row r="16" spans="1:17">
      <c r="A16" t="s">
        <v>36</v>
      </c>
      <c r="B16">
        <v>440</v>
      </c>
    </row>
    <row r="17" spans="1:4">
      <c r="A17" t="s">
        <v>109</v>
      </c>
      <c r="B17" t="str">
        <f>IF(B15&lt;I9,"LastLeg",IF(B15&lt;(I9+I8),"SecondLast","EvenLater"))</f>
        <v>SecondLast</v>
      </c>
    </row>
    <row r="18" spans="1:4">
      <c r="A18" t="s">
        <v>35</v>
      </c>
      <c r="B18">
        <v>45</v>
      </c>
    </row>
    <row r="19" spans="1:4">
      <c r="A19" t="s">
        <v>37</v>
      </c>
      <c r="B19">
        <v>36000</v>
      </c>
    </row>
    <row r="20" spans="1:4">
      <c r="A20" t="s">
        <v>129</v>
      </c>
      <c r="B20" t="s">
        <v>133</v>
      </c>
    </row>
    <row r="21" spans="1:4">
      <c r="A21" t="s">
        <v>110</v>
      </c>
      <c r="B21" s="6" t="str">
        <f ca="1">"&lt;atc:aircraft atc:idx="&amp;CHAR(34)&amp;B12&amp;CHAR(34)&amp;" "&amp;"atc:type="&amp;CHAR(34)&amp;B13&amp;CHAR(34)&amp;"&gt;"&amp;
"&lt;atc:start&gt;"&amp;0&amp;"&lt;/atc:start&gt;"&amp;
"&lt;atc:altitude&gt;"&amp;B19&amp;"&lt;/atc:altitude&gt;"&amp;
"&lt;atc:velocity&gt;"&amp;B16&amp;"&lt;/atc:velocity&gt;"&amp;
"&lt;atc:flightpath&gt;"&amp;
IF(
B17 = "LastLeg","&lt;atc:point atc:x="&amp;"'"&amp;ROUNDUP(L9,4)&amp;"'"&amp;" "&amp;"atc:y="&amp;"'"&amp;M9&amp;"'"&amp;"/&gt;"&amp;
"&lt;atc:point atc:x="&amp;"'"&amp;D9&amp;"'"&amp;" "&amp;"atc:y="&amp;"'"&amp;E9&amp;"'"&amp;"/&gt;"&amp;
"&lt;/atc:flightpath&gt;"&amp;
"&lt;atc:handoffKey&gt;"&amp;B20&amp;"&lt;/atc:handoffKey&gt;"&amp;
"&lt;/atc:aircraft&gt;", IF(
B17 = "SecondLast","&lt;atc:point atc:x="&amp;"'"&amp;ROUNDUP(L8,4)&amp;"'"&amp;" "&amp;"atc:y="&amp;"'"&amp;M8&amp;"'"&amp;"/&gt;"&amp;
"&lt;atc:point atc:x="&amp;"'"&amp;B9&amp;"'"&amp;" "&amp;"atc:y="&amp;"'"&amp;C9&amp;"'"&amp;"/&gt;"&amp;
"&lt;atc:point atc:x="&amp;"'"&amp;D9&amp;"'"&amp;" "&amp;"atc:y="&amp;"'"&amp;E9&amp;"'"&amp;"/&gt;"&amp;
"&lt;/atc:flightpath&gt;"&amp;
"&lt;atc:handoffKey&gt;"&amp;B20&amp;"&lt;/atc:handoffKey&gt;"&amp;
"&lt;/atc:aircraft&gt;","Manual Required"))</f>
        <v>&lt;atc:aircraft atc:idx="T59" atc:type="B767"&gt;&lt;atc:start&gt;0&lt;/atc:start&gt;&lt;atc:altitude&gt;36000&lt;/atc:altitude&gt;&lt;atc:velocity&gt;440&lt;/atc:velocity&gt;&lt;atc:flightpath&gt;&lt;atc:point atc:x='30.366' atc:y='24'/&gt;&lt;atc:point atc:x='23.7007' atc:y='18.0156'/&gt;&lt;atc:point atc:x='23.7115' atc:y='0'/&gt;&lt;/atc:flightpath&gt;&lt;atc:handoffKey&gt;key_down&lt;/atc:handoffKey&gt;&lt;/atc:aircraft&gt;</v>
      </c>
    </row>
    <row r="22" spans="1:4">
      <c r="A22" t="s">
        <v>149</v>
      </c>
      <c r="B22" s="6" t="str">
        <f>"&lt;atc:point atc:x="&amp;"'"&amp;P1&amp;"'"&amp;" "&amp;"atc:y="&amp;"'"&amp;Q1&amp;"'"&amp;"/&gt;"&amp;
"&lt;atc:point atc:x="&amp;"'"&amp;B3&amp;"'"&amp;" "&amp;"atc:y="&amp;"'"&amp;C3&amp;"'"&amp;"/&gt;"&amp;
"&lt;atc:point atc:x="&amp;"'"&amp;D3&amp;"'"&amp;" "&amp;"atc:y="&amp;"'"&amp;E3&amp;"'"&amp;"/&gt;"&amp;
"&lt;atc:point atc:x="&amp;"'"&amp;G3&amp;"'"&amp;" "&amp;"atc:y="&amp;"'"&amp;H3&amp;"'"&amp;"/&gt;"&amp;
"&lt;atc:point atc:x="&amp;"'"&amp;J3&amp;"'"&amp;" "&amp;"atc:y="&amp;"'"&amp;K3&amp;"'"&amp;"/&gt;"&amp;
"&lt;/atc:flightpath&gt;"&amp;
"&lt;/atc:aircraft&gt;"</f>
        <v>&lt;atc:point atc:x='53.3153' atc:y='52.5'/&gt;&lt;atc:point atc:x='51.1627' atc:y='43.7893'/&gt;&lt;atc:point atc:x='43.0438' atc:y='35.3827'/&gt;&lt;atc:point atc:x='23.7007' atc:y='18.0156'/&gt;&lt;atc:point atc:x='23.7115' atc:y='0'/&gt;&lt;/atc:flightpath&gt;&lt;/atc:aircraft&gt;</v>
      </c>
    </row>
    <row r="26" spans="1:4">
      <c r="D26" t="s">
        <v>153</v>
      </c>
    </row>
  </sheetData>
  <mergeCells count="7">
    <mergeCell ref="B5:H5"/>
    <mergeCell ref="N5:O5"/>
    <mergeCell ref="B1:C1"/>
    <mergeCell ref="D1:E1"/>
    <mergeCell ref="G1:H1"/>
    <mergeCell ref="J1:K1"/>
    <mergeCell ref="M1:N1"/>
  </mergeCells>
  <conditionalFormatting sqref="K7:K8">
    <cfRule type="expression" dxfId="39" priority="1">
      <formula>"$J$9+$J$10=0"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9"/>
  <sheetViews>
    <sheetView workbookViewId="0">
      <selection activeCell="H23" sqref="H23"/>
    </sheetView>
  </sheetViews>
  <sheetFormatPr defaultRowHeight="15"/>
  <cols>
    <col min="3" max="3" width="11.42578125" bestFit="1" customWidth="1"/>
    <col min="4" max="4" width="14.85546875" bestFit="1" customWidth="1"/>
    <col min="6" max="6" width="11.42578125" customWidth="1"/>
    <col min="7" max="7" width="11.7109375" bestFit="1" customWidth="1"/>
    <col min="8" max="8" width="14.85546875" customWidth="1"/>
    <col min="9" max="9" width="11.85546875" bestFit="1" customWidth="1"/>
    <col min="10" max="10" width="12.140625" bestFit="1" customWidth="1"/>
    <col min="11" max="11" width="15.140625" bestFit="1" customWidth="1"/>
    <col min="16" max="16" width="14.140625" bestFit="1" customWidth="1"/>
  </cols>
  <sheetData>
    <row r="1" spans="1:13">
      <c r="A1" s="48" t="s">
        <v>50</v>
      </c>
      <c r="B1" s="49" t="s">
        <v>0</v>
      </c>
      <c r="C1" s="49" t="s">
        <v>158</v>
      </c>
      <c r="D1" s="49" t="s">
        <v>157</v>
      </c>
      <c r="E1" s="49" t="s">
        <v>159</v>
      </c>
      <c r="F1" s="49" t="s">
        <v>52</v>
      </c>
      <c r="G1" s="49" t="s">
        <v>53</v>
      </c>
      <c r="H1" s="49" t="s">
        <v>122</v>
      </c>
      <c r="I1" s="49" t="s">
        <v>156</v>
      </c>
    </row>
    <row r="2" spans="1:13">
      <c r="A2" s="50">
        <v>5</v>
      </c>
      <c r="B2" s="47" t="s">
        <v>1</v>
      </c>
      <c r="C2">
        <f>E2-50</f>
        <v>98</v>
      </c>
      <c r="D2" s="47">
        <v>138</v>
      </c>
      <c r="E2" s="47">
        <f>Table1[[#This Row],[Short Handoff]]-27</f>
        <v>148</v>
      </c>
      <c r="F2" s="54">
        <v>175</v>
      </c>
      <c r="G2" s="54">
        <v>215</v>
      </c>
      <c r="H2" s="47" t="s">
        <v>126</v>
      </c>
      <c r="I2" s="61"/>
    </row>
    <row r="3" spans="1:13">
      <c r="A3" s="50">
        <v>9</v>
      </c>
      <c r="B3" s="51" t="s">
        <v>1</v>
      </c>
      <c r="C3">
        <f t="shared" ref="C3:C17" si="0">E3-50</f>
        <v>83</v>
      </c>
      <c r="D3" s="47">
        <v>123</v>
      </c>
      <c r="E3" s="51">
        <f>Table1[[#This Row],[Short Handoff]]-27</f>
        <v>133</v>
      </c>
      <c r="F3" s="54">
        <v>160</v>
      </c>
      <c r="G3" s="54">
        <v>200</v>
      </c>
      <c r="H3" s="47" t="s">
        <v>126</v>
      </c>
      <c r="I3" s="61"/>
    </row>
    <row r="4" spans="1:13">
      <c r="A4" s="50">
        <v>13</v>
      </c>
      <c r="B4" s="47" t="s">
        <v>1</v>
      </c>
      <c r="C4">
        <f t="shared" si="0"/>
        <v>56</v>
      </c>
      <c r="D4" s="47">
        <v>96</v>
      </c>
      <c r="E4" s="47">
        <f>Table1[[#This Row],[Short Handoff]]-27</f>
        <v>106</v>
      </c>
      <c r="F4" s="54">
        <v>133</v>
      </c>
      <c r="G4" s="54">
        <v>173</v>
      </c>
      <c r="H4" s="47" t="s">
        <v>126</v>
      </c>
      <c r="I4" s="61"/>
      <c r="L4">
        <v>1</v>
      </c>
      <c r="M4" t="str">
        <f>"&lt;----Trial "&amp;L4&amp;"----&gt;"</f>
        <v>&lt;----Trial 1----&gt;</v>
      </c>
    </row>
    <row r="5" spans="1:13">
      <c r="A5" s="50">
        <v>4</v>
      </c>
      <c r="B5" s="47" t="s">
        <v>2</v>
      </c>
      <c r="C5">
        <f t="shared" si="0"/>
        <v>46</v>
      </c>
      <c r="D5" s="47">
        <v>86</v>
      </c>
      <c r="E5" s="47">
        <f>Table1[[#This Row],[Short Handoff]]-27</f>
        <v>96</v>
      </c>
      <c r="F5" s="54">
        <v>123</v>
      </c>
      <c r="G5" s="54">
        <v>163</v>
      </c>
      <c r="H5" s="47" t="s">
        <v>144</v>
      </c>
      <c r="I5" s="61"/>
      <c r="L5">
        <v>2</v>
      </c>
      <c r="M5" t="str">
        <f t="shared" ref="M5:M17" si="1">"&lt;----Trial "&amp;L5&amp;"----&gt;"</f>
        <v>&lt;----Trial 2----&gt;</v>
      </c>
    </row>
    <row r="6" spans="1:13">
      <c r="A6" s="50">
        <v>11</v>
      </c>
      <c r="B6" s="47" t="s">
        <v>2</v>
      </c>
      <c r="C6">
        <f t="shared" si="0"/>
        <v>94</v>
      </c>
      <c r="D6" s="47">
        <v>134</v>
      </c>
      <c r="E6" s="47">
        <f>Table1[[#This Row],[Short Handoff]]-27</f>
        <v>144</v>
      </c>
      <c r="F6" s="54">
        <v>171</v>
      </c>
      <c r="G6" s="54">
        <v>211</v>
      </c>
      <c r="H6" s="47" t="s">
        <v>144</v>
      </c>
      <c r="I6" s="61"/>
      <c r="L6">
        <v>3</v>
      </c>
      <c r="M6" t="str">
        <f t="shared" si="1"/>
        <v>&lt;----Trial 3----&gt;</v>
      </c>
    </row>
    <row r="7" spans="1:13">
      <c r="A7" s="50">
        <v>14</v>
      </c>
      <c r="B7" s="51" t="s">
        <v>2</v>
      </c>
      <c r="C7">
        <f t="shared" si="0"/>
        <v>61</v>
      </c>
      <c r="D7" s="47">
        <v>101</v>
      </c>
      <c r="E7" s="51">
        <f>Table1[[#This Row],[Short Handoff]]-27</f>
        <v>111</v>
      </c>
      <c r="F7" s="54">
        <v>138</v>
      </c>
      <c r="G7" s="54">
        <v>178</v>
      </c>
      <c r="H7" s="47" t="s">
        <v>144</v>
      </c>
      <c r="I7" s="61"/>
      <c r="L7">
        <v>4</v>
      </c>
      <c r="M7" t="str">
        <f t="shared" si="1"/>
        <v>&lt;----Trial 4----&gt;</v>
      </c>
    </row>
    <row r="8" spans="1:13">
      <c r="A8" s="50">
        <v>6</v>
      </c>
      <c r="B8" s="47" t="s">
        <v>3</v>
      </c>
      <c r="C8">
        <f t="shared" si="0"/>
        <v>46</v>
      </c>
      <c r="D8" s="47">
        <v>86</v>
      </c>
      <c r="E8" s="47">
        <f>Table1[[#This Row],[Short Handoff]]-27</f>
        <v>96</v>
      </c>
      <c r="F8" s="54">
        <v>123</v>
      </c>
      <c r="G8" s="54">
        <v>163</v>
      </c>
      <c r="H8" s="47" t="s">
        <v>145</v>
      </c>
      <c r="I8" s="61"/>
      <c r="L8">
        <v>5</v>
      </c>
      <c r="M8" t="str">
        <f t="shared" si="1"/>
        <v>&lt;----Trial 5----&gt;</v>
      </c>
    </row>
    <row r="9" spans="1:13">
      <c r="A9" s="50">
        <v>8</v>
      </c>
      <c r="B9" s="47" t="s">
        <v>3</v>
      </c>
      <c r="C9">
        <f t="shared" si="0"/>
        <v>41</v>
      </c>
      <c r="D9" s="47">
        <v>81</v>
      </c>
      <c r="E9" s="47">
        <f>Table1[[#This Row],[Short Handoff]]-27</f>
        <v>91</v>
      </c>
      <c r="F9" s="54">
        <v>118</v>
      </c>
      <c r="G9" s="54">
        <v>158</v>
      </c>
      <c r="H9" s="47" t="s">
        <v>145</v>
      </c>
      <c r="I9" s="61"/>
      <c r="L9">
        <v>6</v>
      </c>
      <c r="M9" t="str">
        <f t="shared" si="1"/>
        <v>&lt;----Trial 6----&gt;</v>
      </c>
    </row>
    <row r="10" spans="1:13">
      <c r="A10" s="50">
        <v>1</v>
      </c>
      <c r="B10" s="47" t="s">
        <v>4</v>
      </c>
      <c r="C10">
        <f t="shared" si="0"/>
        <v>70</v>
      </c>
      <c r="D10" s="47">
        <v>110</v>
      </c>
      <c r="E10" s="47">
        <f>Table1[[#This Row],[Short Handoff]]-27</f>
        <v>120</v>
      </c>
      <c r="F10" s="54">
        <v>147</v>
      </c>
      <c r="G10" s="54">
        <v>187</v>
      </c>
      <c r="H10" s="47" t="s">
        <v>146</v>
      </c>
      <c r="I10" s="61">
        <f>Table1[[#This Row],[Long Handoff]]-Table1[[#This Row],[Short Encode]]</f>
        <v>77</v>
      </c>
      <c r="L10">
        <v>7</v>
      </c>
      <c r="M10" t="str">
        <f t="shared" si="1"/>
        <v>&lt;----Trial 7----&gt;</v>
      </c>
    </row>
    <row r="11" spans="1:13">
      <c r="A11" s="50">
        <v>2</v>
      </c>
      <c r="B11" s="47" t="s">
        <v>4</v>
      </c>
      <c r="C11">
        <f t="shared" si="0"/>
        <v>92</v>
      </c>
      <c r="D11" s="47">
        <v>132</v>
      </c>
      <c r="E11" s="47">
        <f>Table1[[#This Row],[Short Handoff]]-27</f>
        <v>142</v>
      </c>
      <c r="F11" s="54">
        <v>169</v>
      </c>
      <c r="G11" s="54">
        <v>209</v>
      </c>
      <c r="H11" s="47" t="s">
        <v>146</v>
      </c>
      <c r="I11" s="61"/>
      <c r="L11">
        <v>8</v>
      </c>
      <c r="M11" t="str">
        <f t="shared" si="1"/>
        <v>&lt;----Trial 8----&gt;</v>
      </c>
    </row>
    <row r="12" spans="1:13">
      <c r="A12" s="50">
        <v>3</v>
      </c>
      <c r="B12" s="47" t="s">
        <v>4</v>
      </c>
      <c r="C12">
        <f t="shared" si="0"/>
        <v>45</v>
      </c>
      <c r="D12" s="47">
        <v>85</v>
      </c>
      <c r="E12" s="47">
        <f>Table1[[#This Row],[Short Handoff]]-27</f>
        <v>95</v>
      </c>
      <c r="F12" s="54">
        <v>122</v>
      </c>
      <c r="G12" s="54">
        <v>162</v>
      </c>
      <c r="H12" s="47" t="s">
        <v>146</v>
      </c>
      <c r="I12" s="61"/>
      <c r="L12">
        <v>9</v>
      </c>
      <c r="M12" t="str">
        <f t="shared" si="1"/>
        <v>&lt;----Trial 9----&gt;</v>
      </c>
    </row>
    <row r="13" spans="1:13">
      <c r="A13" s="50">
        <v>10</v>
      </c>
      <c r="B13" s="47" t="s">
        <v>5</v>
      </c>
      <c r="C13">
        <f t="shared" si="0"/>
        <v>73</v>
      </c>
      <c r="D13" s="86">
        <v>113</v>
      </c>
      <c r="E13" s="47">
        <f>Table1[[#This Row],[Short Handoff]]-27</f>
        <v>123</v>
      </c>
      <c r="F13" s="54">
        <v>150</v>
      </c>
      <c r="G13" s="54">
        <v>190</v>
      </c>
      <c r="H13" s="47" t="s">
        <v>145</v>
      </c>
      <c r="I13" s="61"/>
      <c r="L13">
        <v>10</v>
      </c>
      <c r="M13" t="str">
        <f t="shared" si="1"/>
        <v>&lt;----Trial 10----&gt;</v>
      </c>
    </row>
    <row r="14" spans="1:13">
      <c r="A14" s="50">
        <v>15</v>
      </c>
      <c r="B14" s="47" t="s">
        <v>5</v>
      </c>
      <c r="C14">
        <f t="shared" si="0"/>
        <v>94</v>
      </c>
      <c r="D14" s="86">
        <v>134</v>
      </c>
      <c r="E14" s="47">
        <f>Table1[[#This Row],[Short Handoff]]-27</f>
        <v>144</v>
      </c>
      <c r="F14" s="54">
        <v>171</v>
      </c>
      <c r="G14" s="54">
        <v>211</v>
      </c>
      <c r="H14" s="47" t="s">
        <v>145</v>
      </c>
      <c r="I14" s="61"/>
      <c r="L14">
        <v>11</v>
      </c>
      <c r="M14" t="str">
        <f t="shared" si="1"/>
        <v>&lt;----Trial 11----&gt;</v>
      </c>
    </row>
    <row r="15" spans="1:13">
      <c r="A15" s="50">
        <v>16</v>
      </c>
      <c r="B15" s="51" t="s">
        <v>5</v>
      </c>
      <c r="C15">
        <f t="shared" si="0"/>
        <v>88</v>
      </c>
      <c r="D15" s="87">
        <v>128</v>
      </c>
      <c r="E15" s="79">
        <v>138</v>
      </c>
      <c r="F15" s="54">
        <f>Table1[[#This Row],[Int Time]]+27</f>
        <v>165</v>
      </c>
      <c r="G15" s="54">
        <f>Table1[[#This Row],[Short Handoff]]+40</f>
        <v>205</v>
      </c>
      <c r="H15" s="47" t="s">
        <v>145</v>
      </c>
      <c r="I15" s="61"/>
      <c r="L15">
        <v>12</v>
      </c>
      <c r="M15" t="str">
        <f t="shared" si="1"/>
        <v>&lt;----Trial 12----&gt;</v>
      </c>
    </row>
    <row r="16" spans="1:13">
      <c r="A16" s="50">
        <v>7</v>
      </c>
      <c r="B16" s="47" t="s">
        <v>6</v>
      </c>
      <c r="C16">
        <f t="shared" si="0"/>
        <v>73</v>
      </c>
      <c r="D16" s="47">
        <v>113</v>
      </c>
      <c r="E16" s="47">
        <f>Table1[[#This Row],[Short Handoff]]-27</f>
        <v>123</v>
      </c>
      <c r="F16" s="54">
        <v>150</v>
      </c>
      <c r="G16" s="54">
        <v>190</v>
      </c>
      <c r="H16" s="47" t="s">
        <v>146</v>
      </c>
      <c r="I16" s="61"/>
      <c r="L16">
        <v>13</v>
      </c>
      <c r="M16" t="str">
        <f t="shared" si="1"/>
        <v>&lt;----Trial 13----&gt;</v>
      </c>
    </row>
    <row r="17" spans="1:13">
      <c r="A17" s="52">
        <v>12</v>
      </c>
      <c r="B17" s="53" t="s">
        <v>6</v>
      </c>
      <c r="C17">
        <f t="shared" si="0"/>
        <v>70</v>
      </c>
      <c r="D17" s="53">
        <v>110</v>
      </c>
      <c r="E17" s="53">
        <f>Table1[[#This Row],[Short Handoff]]-27</f>
        <v>120</v>
      </c>
      <c r="F17" s="55">
        <v>147</v>
      </c>
      <c r="G17" s="55">
        <v>187</v>
      </c>
      <c r="H17" s="53" t="s">
        <v>146</v>
      </c>
      <c r="I17" s="61"/>
      <c r="L17">
        <v>14</v>
      </c>
      <c r="M17" t="str">
        <f t="shared" si="1"/>
        <v>&lt;----Trial 14----&gt;</v>
      </c>
    </row>
    <row r="18" spans="1:13">
      <c r="A18" s="80"/>
      <c r="B18" s="81"/>
      <c r="C18" s="82"/>
      <c r="D18" s="82"/>
      <c r="E18" s="83"/>
      <c r="F18" s="84"/>
      <c r="G18" s="84"/>
      <c r="H18" s="82"/>
      <c r="I18" s="85"/>
      <c r="K18">
        <v>15</v>
      </c>
      <c r="L18" t="str">
        <f>"&lt;----Trial "&amp;K18&amp;"----&gt;"</f>
        <v>&lt;----Trial 15----&gt;</v>
      </c>
    </row>
    <row r="19" spans="1:13">
      <c r="C19">
        <f>D2-C2</f>
        <v>40</v>
      </c>
      <c r="G19">
        <f>G2-F2</f>
        <v>40</v>
      </c>
    </row>
  </sheetData>
  <pageMargins left="0.7" right="0.7" top="0.75" bottom="0.75" header="0.3" footer="0.3"/>
  <pageSetup paperSize="9" scale="82"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Routes</vt:lpstr>
      <vt:lpstr>Final</vt:lpstr>
      <vt:lpstr>A</vt:lpstr>
      <vt:lpstr>B</vt:lpstr>
      <vt:lpstr>C</vt:lpstr>
      <vt:lpstr>D</vt:lpstr>
      <vt:lpstr>E</vt:lpstr>
      <vt:lpstr>F</vt:lpstr>
      <vt:lpstr>PM Info (OLD)</vt:lpstr>
      <vt:lpstr>InfoBoxes</vt:lpstr>
      <vt:lpstr>Conflicts (OLD)</vt:lpstr>
      <vt:lpstr>Free1</vt:lpstr>
      <vt:lpstr>Conflicts (New)</vt:lpstr>
      <vt:lpstr>Free2</vt:lpstr>
      <vt:lpstr>ScenarioList</vt:lpstr>
      <vt:lpstr>ShayneScenList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David Wilson</dc:creator>
  <cp:lastModifiedBy>Michael David Wilson</cp:lastModifiedBy>
  <cp:lastPrinted>2016-03-30T16:11:36Z</cp:lastPrinted>
  <dcterms:created xsi:type="dcterms:W3CDTF">2016-03-19T04:47:41Z</dcterms:created>
  <dcterms:modified xsi:type="dcterms:W3CDTF">2016-04-10T15:12:38Z</dcterms:modified>
</cp:coreProperties>
</file>