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one-hole-calculator\"/>
    </mc:Choice>
  </mc:AlternateContent>
  <xr:revisionPtr revIDLastSave="0" documentId="13_ncr:1_{5A2DA990-9EF9-4D44-80D6-6729D109E6FF}" xr6:coauthVersionLast="47" xr6:coauthVersionMax="47" xr10:uidLastSave="{00000000-0000-0000-0000-000000000000}"/>
  <bookViews>
    <workbookView xWindow="-108" yWindow="-108" windowWidth="23256" windowHeight="13176" xr2:uid="{B21CDB3D-6794-4DC8-9BB2-2C5640B3E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3" i="1"/>
  <c r="A29" i="1"/>
  <c r="D28" i="1"/>
  <c r="A28" i="1"/>
  <c r="A27" i="1"/>
  <c r="D26" i="1"/>
  <c r="A26" i="1"/>
  <c r="D25" i="1"/>
  <c r="A25" i="1"/>
  <c r="D24" i="1"/>
  <c r="A24" i="1"/>
  <c r="A23" i="1"/>
  <c r="C18" i="1"/>
  <c r="J36" i="1" s="1"/>
  <c r="E17" i="1"/>
  <c r="D17" i="1"/>
  <c r="C17" i="1"/>
  <c r="B17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B6" i="1"/>
  <c r="B5" i="1"/>
  <c r="E16" i="1" l="1"/>
  <c r="D16" i="1"/>
  <c r="F14" i="1"/>
  <c r="J45" i="1"/>
  <c r="F15" i="1"/>
  <c r="F18" i="1"/>
  <c r="J27" i="1"/>
  <c r="F12" i="1"/>
  <c r="F16" i="1"/>
  <c r="J18" i="1"/>
  <c r="J54" i="1"/>
  <c r="F13" i="1"/>
  <c r="F17" i="1"/>
  <c r="H12" i="1" l="1"/>
  <c r="H14" i="1"/>
  <c r="H13" i="1"/>
  <c r="H15" i="1"/>
  <c r="H16" i="1"/>
  <c r="L54" i="1"/>
  <c r="L18" i="1"/>
  <c r="L27" i="1"/>
  <c r="L45" i="1"/>
  <c r="L36" i="1"/>
  <c r="H17" i="1"/>
  <c r="I17" i="1" l="1"/>
  <c r="J17" i="1"/>
  <c r="L17" i="1" s="1"/>
  <c r="B29" i="1"/>
  <c r="C29" i="1" s="1"/>
  <c r="J16" i="1"/>
  <c r="L16" i="1" s="1"/>
  <c r="I16" i="1"/>
  <c r="J14" i="1"/>
  <c r="L14" i="1" s="1"/>
  <c r="I14" i="1"/>
  <c r="J12" i="1"/>
  <c r="L12" i="1" s="1"/>
  <c r="I12" i="1"/>
  <c r="H26" i="1"/>
  <c r="J15" i="1"/>
  <c r="L15" i="1" s="1"/>
  <c r="H23" i="1" s="1"/>
  <c r="I15" i="1"/>
  <c r="J13" i="1"/>
  <c r="L13" i="1" s="1"/>
  <c r="I13" i="1"/>
  <c r="H22" i="1" l="1"/>
  <c r="J23" i="1"/>
  <c r="L23" i="1" s="1"/>
  <c r="I23" i="1"/>
  <c r="I26" i="1"/>
  <c r="H21" i="1"/>
  <c r="H24" i="1"/>
  <c r="H25" i="1"/>
  <c r="J22" i="1"/>
  <c r="L22" i="1" s="1"/>
  <c r="I22" i="1"/>
  <c r="J25" i="1" l="1"/>
  <c r="L25" i="1" s="1"/>
  <c r="I25" i="1"/>
  <c r="J26" i="1"/>
  <c r="L26" i="1" s="1"/>
  <c r="J24" i="1"/>
  <c r="L24" i="1" s="1"/>
  <c r="H32" i="1" s="1"/>
  <c r="I24" i="1"/>
  <c r="J21" i="1"/>
  <c r="L21" i="1" s="1"/>
  <c r="H30" i="1" s="1"/>
  <c r="I21" i="1"/>
  <c r="H31" i="1"/>
  <c r="J30" i="1" l="1"/>
  <c r="L30" i="1" s="1"/>
  <c r="I30" i="1"/>
  <c r="J31" i="1"/>
  <c r="L31" i="1" s="1"/>
  <c r="I31" i="1"/>
  <c r="H34" i="1"/>
  <c r="H35" i="1"/>
  <c r="J32" i="1"/>
  <c r="L32" i="1" s="1"/>
  <c r="H40" i="1" s="1"/>
  <c r="I32" i="1"/>
  <c r="H33" i="1"/>
  <c r="I35" i="1" l="1"/>
  <c r="J35" i="1"/>
  <c r="L35" i="1" s="1"/>
  <c r="J33" i="1"/>
  <c r="L33" i="1" s="1"/>
  <c r="H41" i="1" s="1"/>
  <c r="I33" i="1"/>
  <c r="J34" i="1"/>
  <c r="L34" i="1" s="1"/>
  <c r="I34" i="1"/>
  <c r="J40" i="1"/>
  <c r="L40" i="1" s="1"/>
  <c r="I40" i="1"/>
  <c r="H39" i="1"/>
  <c r="H42" i="1" l="1"/>
  <c r="I42" i="1" s="1"/>
  <c r="H43" i="1"/>
  <c r="H44" i="1"/>
  <c r="J39" i="1"/>
  <c r="L39" i="1" s="1"/>
  <c r="H48" i="1" s="1"/>
  <c r="I39" i="1"/>
  <c r="J42" i="1"/>
  <c r="L42" i="1" s="1"/>
  <c r="H50" i="1" s="1"/>
  <c r="J41" i="1"/>
  <c r="L41" i="1" s="1"/>
  <c r="H49" i="1" s="1"/>
  <c r="I41" i="1"/>
  <c r="J49" i="1" l="1"/>
  <c r="L49" i="1" s="1"/>
  <c r="B24" i="1" s="1"/>
  <c r="I49" i="1"/>
  <c r="F24" i="1" s="1"/>
  <c r="I44" i="1"/>
  <c r="J44" i="1"/>
  <c r="L44" i="1" s="1"/>
  <c r="J50" i="1"/>
  <c r="L50" i="1" s="1"/>
  <c r="B25" i="1" s="1"/>
  <c r="I50" i="1"/>
  <c r="F25" i="1" s="1"/>
  <c r="J43" i="1"/>
  <c r="L43" i="1" s="1"/>
  <c r="H51" i="1" s="1"/>
  <c r="I43" i="1"/>
  <c r="B33" i="1"/>
  <c r="C33" i="1" s="1"/>
  <c r="J48" i="1"/>
  <c r="L48" i="1" s="1"/>
  <c r="B23" i="1" s="1"/>
  <c r="I48" i="1"/>
  <c r="F23" i="1" s="1"/>
  <c r="D33" i="1" l="1"/>
  <c r="E24" i="1"/>
  <c r="C24" i="1"/>
  <c r="J51" i="1"/>
  <c r="L51" i="1" s="1"/>
  <c r="B26" i="1" s="1"/>
  <c r="I51" i="1"/>
  <c r="F26" i="1" s="1"/>
  <c r="B34" i="1"/>
  <c r="C34" i="1" s="1"/>
  <c r="D34" i="1" s="1"/>
  <c r="C23" i="1"/>
  <c r="E23" i="1"/>
  <c r="H52" i="1"/>
  <c r="H53" i="1"/>
  <c r="C25" i="1"/>
  <c r="J53" i="1" l="1"/>
  <c r="L53" i="1" s="1"/>
  <c r="B28" i="1" s="1"/>
  <c r="I53" i="1"/>
  <c r="F28" i="1" s="1"/>
  <c r="C26" i="1"/>
  <c r="E26" i="1"/>
  <c r="B37" i="1"/>
  <c r="C37" i="1" s="1"/>
  <c r="J52" i="1"/>
  <c r="L52" i="1" s="1"/>
  <c r="B27" i="1" s="1"/>
  <c r="I52" i="1"/>
  <c r="F27" i="1" s="1"/>
  <c r="B35" i="1"/>
  <c r="C35" i="1" s="1"/>
  <c r="D35" i="1" s="1"/>
  <c r="B36" i="1"/>
  <c r="C36" i="1" s="1"/>
  <c r="D36" i="1" s="1"/>
  <c r="D37" i="1" l="1"/>
  <c r="E27" i="1"/>
  <c r="C27" i="1"/>
  <c r="C28" i="1"/>
</calcChain>
</file>

<file path=xl/sharedStrings.xml><?xml version="1.0" encoding="utf-8"?>
<sst xmlns="http://schemas.openxmlformats.org/spreadsheetml/2006/main" count="69" uniqueCount="47">
  <si>
    <t>= Ratio of Wavelength / Bore Length (= 2 for flutes, = 4 for clarinets) (or something like that)</t>
  </si>
  <si>
    <t>= Speed of Sound (length/time, same length units as dimensions)</t>
  </si>
  <si>
    <t>= Cutoff Frequency (Hz)</t>
  </si>
  <si>
    <t>= Bore Diameter</t>
  </si>
  <si>
    <t>= Wall Thickness</t>
  </si>
  <si>
    <t xml:space="preserve">1st Iteration                                                           </t>
  </si>
  <si>
    <t>Only Change Red Values</t>
  </si>
  <si>
    <t>Desired Playing Frequency</t>
  </si>
  <si>
    <t>Bore Diameter</t>
  </si>
  <si>
    <t>Hole Diameter</t>
  </si>
  <si>
    <t>Effective Chimney Height</t>
  </si>
  <si>
    <t>Nominal Lengths</t>
  </si>
  <si>
    <t>Hole Spacing</t>
  </si>
  <si>
    <t>Local Cutoff Freq.</t>
  </si>
  <si>
    <t>Open Hole Correction</t>
  </si>
  <si>
    <t>Closed Hole Correction</t>
  </si>
  <si>
    <t>New Hole Positions</t>
  </si>
  <si>
    <t>f (Hz)</t>
  </si>
  <si>
    <t>2a</t>
  </si>
  <si>
    <t>2b</t>
  </si>
  <si>
    <t>Te</t>
  </si>
  <si>
    <t>L</t>
  </si>
  <si>
    <t>2s</t>
  </si>
  <si>
    <t>fc (Hz)</t>
  </si>
  <si>
    <t>Co, Cs</t>
  </si>
  <si>
    <t>Cc</t>
  </si>
  <si>
    <t>L-Co-Cc</t>
  </si>
  <si>
    <r>
      <t xml:space="preserve">C# </t>
    </r>
    <r>
      <rPr>
        <b/>
        <sz val="8"/>
        <rFont val="Arial"/>
        <family val="2"/>
      </rPr>
      <t>&lt;-- O O O O O O</t>
    </r>
  </si>
  <si>
    <r>
      <t xml:space="preserve">B </t>
    </r>
    <r>
      <rPr>
        <b/>
        <sz val="8"/>
        <rFont val="Arial"/>
        <family val="2"/>
      </rPr>
      <t>&lt;--  X O O O O O</t>
    </r>
  </si>
  <si>
    <r>
      <t xml:space="preserve">A </t>
    </r>
    <r>
      <rPr>
        <b/>
        <sz val="8"/>
        <rFont val="Arial"/>
        <family val="2"/>
      </rPr>
      <t>&lt;--  X X O O O O</t>
    </r>
  </si>
  <si>
    <r>
      <t xml:space="preserve">G </t>
    </r>
    <r>
      <rPr>
        <b/>
        <sz val="8"/>
        <rFont val="Arial"/>
        <family val="2"/>
      </rPr>
      <t>&lt;--  X X X O O O</t>
    </r>
  </si>
  <si>
    <r>
      <t xml:space="preserve">F# </t>
    </r>
    <r>
      <rPr>
        <b/>
        <sz val="8"/>
        <rFont val="Arial"/>
        <family val="2"/>
      </rPr>
      <t>&lt;--  X X X X O O</t>
    </r>
  </si>
  <si>
    <r>
      <t xml:space="preserve">E </t>
    </r>
    <r>
      <rPr>
        <b/>
        <sz val="8"/>
        <rFont val="Arial"/>
        <family val="2"/>
      </rPr>
      <t>&lt;--  X X X X X O</t>
    </r>
  </si>
  <si>
    <r>
      <t xml:space="preserve">D </t>
    </r>
    <r>
      <rPr>
        <b/>
        <sz val="8"/>
        <rFont val="Arial"/>
        <family val="2"/>
      </rPr>
      <t>&lt;--  X X X X X X</t>
    </r>
  </si>
  <si>
    <t xml:space="preserve">2nd Iteration                                                           </t>
  </si>
  <si>
    <t>Hole Positions</t>
  </si>
  <si>
    <t>Finger Spread</t>
  </si>
  <si>
    <t>(Decimal)</t>
  </si>
  <si>
    <t>(Fraction)</t>
  </si>
  <si>
    <t xml:space="preserve">3rd Iteration                                                           </t>
  </si>
  <si>
    <t xml:space="preserve">Cross-fingerings:  </t>
  </si>
  <si>
    <t xml:space="preserve">Co  </t>
  </si>
  <si>
    <t>Cents Lowered</t>
  </si>
  <si>
    <t xml:space="preserve">4th Iteration                                                           </t>
  </si>
  <si>
    <t xml:space="preserve">5th Iteration                                                           </t>
  </si>
  <si>
    <t>2s (cm)</t>
  </si>
  <si>
    <t>Tone Hole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</si>
</sst>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2" fillId="0" borderId="2" xfId="0" quotePrefix="1" applyFont="1" applyBorder="1"/>
    <xf numFmtId="0" fontId="2" fillId="0" borderId="2" xfId="0" applyFont="1" applyBorder="1"/>
    <xf numFmtId="0" fontId="2" fillId="0" borderId="3" xfId="0" applyFont="1" applyBorder="1"/>
    <xf numFmtId="2" fontId="3" fillId="0" borderId="1" xfId="0" applyNumberFormat="1" applyFont="1" applyBorder="1"/>
    <xf numFmtId="0" fontId="4" fillId="0" borderId="1" xfId="0" applyFont="1" applyBorder="1"/>
    <xf numFmtId="0" fontId="4" fillId="0" borderId="6" xfId="0" applyFont="1" applyBorder="1"/>
    <xf numFmtId="0" fontId="2" fillId="0" borderId="5" xfId="0" quotePrefix="1" applyFont="1" applyBorder="1"/>
    <xf numFmtId="0" fontId="2" fillId="0" borderId="5" xfId="0" applyFont="1" applyBorder="1"/>
    <xf numFmtId="0" fontId="2" fillId="0" borderId="7" xfId="0" applyFont="1" applyBorder="1"/>
    <xf numFmtId="0" fontId="4" fillId="0" borderId="0" xfId="0" applyFont="1"/>
    <xf numFmtId="0" fontId="2" fillId="0" borderId="0" xfId="0" quotePrefix="1" applyFont="1"/>
    <xf numFmtId="0" fontId="5" fillId="0" borderId="0" xfId="0" applyFont="1"/>
    <xf numFmtId="0" fontId="4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left"/>
    </xf>
    <xf numFmtId="2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3" fontId="3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1" fontId="2" fillId="0" borderId="0" xfId="0" applyNumberFormat="1" applyFont="1"/>
    <xf numFmtId="2" fontId="4" fillId="0" borderId="8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2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8" xfId="0" applyFont="1" applyBorder="1"/>
    <xf numFmtId="164" fontId="3" fillId="0" borderId="8" xfId="0" applyNumberFormat="1" applyFont="1" applyBorder="1" applyAlignment="1">
      <alignment horizontal="center"/>
    </xf>
    <xf numFmtId="13" fontId="4" fillId="0" borderId="8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64" fontId="3" fillId="0" borderId="0" xfId="0" applyNumberFormat="1" applyFont="1"/>
    <xf numFmtId="2" fontId="2" fillId="0" borderId="9" xfId="0" applyNumberFormat="1" applyFont="1" applyBorder="1" applyAlignment="1">
      <alignment horizontal="center"/>
    </xf>
    <xf numFmtId="1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B0CF-0858-459B-B6E4-CE209C287ED3}">
  <dimension ref="A2:AC62"/>
  <sheetViews>
    <sheetView tabSelected="1" workbookViewId="0">
      <selection activeCell="B2" sqref="B2:J2"/>
    </sheetView>
  </sheetViews>
  <sheetFormatPr defaultColWidth="9.109375" defaultRowHeight="10.199999999999999" x14ac:dyDescent="0.2"/>
  <cols>
    <col min="1" max="1" width="19.6640625" style="2" customWidth="1"/>
    <col min="2" max="12" width="8.6640625" style="2" customWidth="1"/>
    <col min="13" max="16384" width="9.109375" style="2"/>
  </cols>
  <sheetData>
    <row r="2" spans="1:16" ht="21" x14ac:dyDescent="0.2">
      <c r="A2" s="1"/>
      <c r="B2" s="58" t="s">
        <v>46</v>
      </c>
      <c r="C2" s="59"/>
      <c r="D2" s="59"/>
      <c r="E2" s="59"/>
      <c r="F2" s="59"/>
      <c r="G2" s="59"/>
      <c r="H2" s="59"/>
      <c r="I2" s="59"/>
      <c r="J2" s="60"/>
      <c r="K2" s="1"/>
      <c r="L2" s="1"/>
    </row>
    <row r="3" spans="1:16" x14ac:dyDescent="0.2">
      <c r="A3" s="3"/>
      <c r="B3" s="4"/>
      <c r="C3" s="4"/>
      <c r="D3" s="4"/>
      <c r="E3" s="4"/>
      <c r="F3" s="4"/>
      <c r="G3" s="4"/>
      <c r="H3" s="4"/>
      <c r="I3" s="4"/>
      <c r="J3" s="5"/>
      <c r="K3" s="6"/>
      <c r="L3" s="6"/>
    </row>
    <row r="4" spans="1:16" x14ac:dyDescent="0.2">
      <c r="B4" s="7">
        <v>2</v>
      </c>
      <c r="C4" s="8" t="s">
        <v>0</v>
      </c>
      <c r="D4" s="9"/>
      <c r="E4" s="9"/>
      <c r="F4" s="9"/>
      <c r="G4" s="9"/>
      <c r="H4" s="9"/>
      <c r="I4" s="9"/>
      <c r="J4" s="10"/>
    </row>
    <row r="5" spans="1:16" x14ac:dyDescent="0.2">
      <c r="B5" s="7">
        <f>1132*12</f>
        <v>13584</v>
      </c>
      <c r="C5" s="8" t="s">
        <v>1</v>
      </c>
      <c r="D5" s="9"/>
      <c r="E5" s="9"/>
      <c r="F5" s="9"/>
      <c r="G5" s="9"/>
      <c r="H5" s="9"/>
      <c r="I5" s="9"/>
      <c r="J5" s="10"/>
    </row>
    <row r="6" spans="1:16" x14ac:dyDescent="0.2">
      <c r="B6" s="11">
        <f>B18*4</f>
        <v>2349.3200000000002</v>
      </c>
      <c r="C6" s="8" t="s">
        <v>2</v>
      </c>
      <c r="D6" s="9"/>
      <c r="E6" s="9"/>
      <c r="F6" s="9"/>
      <c r="G6" s="9"/>
      <c r="H6" s="9"/>
      <c r="I6" s="9"/>
      <c r="J6" s="10"/>
    </row>
    <row r="7" spans="1:16" x14ac:dyDescent="0.2">
      <c r="B7" s="12">
        <v>0.5</v>
      </c>
      <c r="C7" s="8" t="s">
        <v>3</v>
      </c>
      <c r="D7" s="9"/>
      <c r="E7" s="9"/>
      <c r="F7" s="9"/>
      <c r="G7" s="9"/>
      <c r="H7" s="9"/>
      <c r="I7" s="9"/>
      <c r="J7" s="10"/>
    </row>
    <row r="8" spans="1:16" x14ac:dyDescent="0.2">
      <c r="B8" s="13">
        <v>1.4E-2</v>
      </c>
      <c r="C8" s="14" t="s">
        <v>4</v>
      </c>
      <c r="D8" s="15"/>
      <c r="E8" s="15"/>
      <c r="F8" s="15"/>
      <c r="G8" s="15"/>
      <c r="H8" s="15"/>
      <c r="I8" s="15"/>
      <c r="J8" s="16"/>
    </row>
    <row r="9" spans="1:16" x14ac:dyDescent="0.2">
      <c r="B9" s="17"/>
      <c r="C9" s="18"/>
      <c r="H9" s="19" t="s">
        <v>5</v>
      </c>
    </row>
    <row r="10" spans="1:16" ht="30.6" x14ac:dyDescent="0.2">
      <c r="A10" s="20" t="s">
        <v>6</v>
      </c>
      <c r="B10" s="21" t="s">
        <v>7</v>
      </c>
      <c r="C10" s="21" t="s">
        <v>8</v>
      </c>
      <c r="D10" s="21" t="s">
        <v>9</v>
      </c>
      <c r="E10" s="21" t="s">
        <v>10</v>
      </c>
      <c r="F10" s="21" t="s">
        <v>11</v>
      </c>
      <c r="G10" s="22"/>
      <c r="H10" s="21" t="s">
        <v>12</v>
      </c>
      <c r="I10" s="21" t="s">
        <v>13</v>
      </c>
      <c r="J10" s="21" t="s">
        <v>14</v>
      </c>
      <c r="K10" s="21" t="s">
        <v>15</v>
      </c>
      <c r="L10" s="21" t="s">
        <v>16</v>
      </c>
    </row>
    <row r="11" spans="1:16" x14ac:dyDescent="0.2">
      <c r="A11" s="23"/>
      <c r="B11" s="24" t="s">
        <v>17</v>
      </c>
      <c r="C11" s="24" t="s">
        <v>18</v>
      </c>
      <c r="D11" s="24" t="s">
        <v>19</v>
      </c>
      <c r="E11" s="24" t="s">
        <v>20</v>
      </c>
      <c r="F11" s="24" t="s">
        <v>21</v>
      </c>
      <c r="G11" s="25"/>
      <c r="H11" s="24" t="s">
        <v>22</v>
      </c>
      <c r="I11" s="24" t="s">
        <v>23</v>
      </c>
      <c r="J11" s="24" t="s">
        <v>24</v>
      </c>
      <c r="K11" s="24" t="s">
        <v>25</v>
      </c>
      <c r="L11" s="24" t="s">
        <v>26</v>
      </c>
    </row>
    <row r="12" spans="1:16" x14ac:dyDescent="0.2">
      <c r="A12" s="26" t="s">
        <v>27</v>
      </c>
      <c r="B12" s="27">
        <f>$B$18*1.88775</f>
        <v>1108.7322075000002</v>
      </c>
      <c r="C12" s="28">
        <f>B7</f>
        <v>0.5</v>
      </c>
      <c r="D12" s="29">
        <f t="shared" ref="D12:D17" si="0">D23</f>
        <v>0.1875</v>
      </c>
      <c r="E12" s="30">
        <f t="shared" ref="E12:E17" si="1">+$B$8+0.6133*D23</f>
        <v>0.12899374999999999</v>
      </c>
      <c r="F12" s="30">
        <f t="shared" ref="F12:F18" si="2">+$B$5/B12/$B$4</f>
        <v>6.1259156666105952</v>
      </c>
      <c r="G12" s="31"/>
      <c r="H12" s="30">
        <f t="shared" ref="H12:H17" si="3">+F13-F12</f>
        <v>0.75020876012767346</v>
      </c>
      <c r="I12" s="30">
        <f t="shared" ref="I12:I17" si="4">+$B$5*$D23/$C12/2/PI()/SQRT($E12*H12)</f>
        <v>2606.1755886094084</v>
      </c>
      <c r="J12" s="30">
        <f>+H12*0.5*(SQRT(1+4*$E12/H12*($C12/$D23)^2)-1)</f>
        <v>0.53531390619545183</v>
      </c>
      <c r="K12" s="30">
        <v>5.8178023608130291E-3</v>
      </c>
      <c r="L12" s="30">
        <f t="shared" ref="L12:L18" si="5">+$F12-J12-K12</f>
        <v>5.5847839580543308</v>
      </c>
      <c r="M12" s="32"/>
      <c r="N12" s="33"/>
      <c r="O12" s="31"/>
      <c r="P12" s="34"/>
    </row>
    <row r="13" spans="1:16" x14ac:dyDescent="0.2">
      <c r="A13" s="26" t="s">
        <v>28</v>
      </c>
      <c r="B13" s="27">
        <f>$B$18*1.68179</f>
        <v>987.76572069999997</v>
      </c>
      <c r="C13" s="28">
        <f>B7</f>
        <v>0.5</v>
      </c>
      <c r="D13" s="29">
        <f t="shared" si="0"/>
        <v>0.234375</v>
      </c>
      <c r="E13" s="30">
        <f t="shared" si="1"/>
        <v>0.15774218749999999</v>
      </c>
      <c r="F13" s="30">
        <f t="shared" si="2"/>
        <v>6.8761244267382686</v>
      </c>
      <c r="G13" s="31"/>
      <c r="H13" s="30">
        <f t="shared" si="3"/>
        <v>0.84203623403563732</v>
      </c>
      <c r="I13" s="30">
        <f t="shared" si="4"/>
        <v>2780.6720117131863</v>
      </c>
      <c r="J13" s="30">
        <f>+H13*0.5*(SQRT(1+4*$E13/H13*($C13/$D24)^2)-1)</f>
        <v>0.46315151515863467</v>
      </c>
      <c r="K13" s="30">
        <v>9.8403058325968948E-3</v>
      </c>
      <c r="L13" s="30">
        <f t="shared" si="5"/>
        <v>6.4031326057470368</v>
      </c>
      <c r="M13" s="32"/>
      <c r="N13" s="33"/>
      <c r="O13" s="31"/>
      <c r="P13" s="34"/>
    </row>
    <row r="14" spans="1:16" x14ac:dyDescent="0.2">
      <c r="A14" s="26" t="s">
        <v>29</v>
      </c>
      <c r="B14" s="27">
        <f>$B$18*1.49831</f>
        <v>880.00241230000006</v>
      </c>
      <c r="C14" s="28">
        <f>B7</f>
        <v>0.5</v>
      </c>
      <c r="D14" s="29">
        <f t="shared" si="0"/>
        <v>0.234375</v>
      </c>
      <c r="E14" s="30">
        <f t="shared" si="1"/>
        <v>0.15774218749999999</v>
      </c>
      <c r="F14" s="30">
        <f t="shared" si="2"/>
        <v>7.7181606607739059</v>
      </c>
      <c r="G14" s="31"/>
      <c r="H14" s="30">
        <f t="shared" si="3"/>
        <v>0.94526262132505323</v>
      </c>
      <c r="I14" s="30">
        <f t="shared" si="4"/>
        <v>2624.4536868915648</v>
      </c>
      <c r="J14" s="30">
        <f>+H14*0.5*(SQRT(1+4*$E14/H14*($C14/$D25)^2)-1)</f>
        <v>0.47709838364603618</v>
      </c>
      <c r="K14" s="30">
        <v>1.386280930438076E-2</v>
      </c>
      <c r="L14" s="30">
        <f t="shared" si="5"/>
        <v>7.227199467823489</v>
      </c>
      <c r="M14" s="32"/>
      <c r="N14" s="33"/>
      <c r="O14" s="31"/>
      <c r="P14" s="34"/>
    </row>
    <row r="15" spans="1:16" x14ac:dyDescent="0.2">
      <c r="A15" s="26" t="s">
        <v>30</v>
      </c>
      <c r="B15" s="27">
        <f>$B$18*1.33483</f>
        <v>783.98570389999998</v>
      </c>
      <c r="C15" s="28">
        <f>B7</f>
        <v>0.5</v>
      </c>
      <c r="D15" s="29">
        <f t="shared" si="0"/>
        <v>0.171875</v>
      </c>
      <c r="E15" s="30">
        <f t="shared" si="1"/>
        <v>0.11941093749999999</v>
      </c>
      <c r="F15" s="30">
        <f t="shared" si="2"/>
        <v>8.6634232820989592</v>
      </c>
      <c r="G15" s="31"/>
      <c r="H15" s="30">
        <f t="shared" si="3"/>
        <v>0.51509384569022743</v>
      </c>
      <c r="I15" s="30">
        <f t="shared" si="4"/>
        <v>2996.5758620456027</v>
      </c>
      <c r="J15" s="30">
        <f>+H15*0.5*(SQRT(1+4*$E15/H15*($C15/$D26)^2)-1)</f>
        <v>0.50852067696101899</v>
      </c>
      <c r="K15" s="30">
        <v>1.7885312776164626E-2</v>
      </c>
      <c r="L15" s="30">
        <f t="shared" si="5"/>
        <v>8.1370172923617758</v>
      </c>
      <c r="M15" s="32"/>
      <c r="N15" s="33"/>
      <c r="O15" s="31"/>
      <c r="P15" s="34"/>
    </row>
    <row r="16" spans="1:16" ht="11.25" customHeight="1" x14ac:dyDescent="0.2">
      <c r="A16" s="26" t="s">
        <v>31</v>
      </c>
      <c r="B16" s="27">
        <f>$B$18*1.25992</f>
        <v>739.98881359999996</v>
      </c>
      <c r="C16" s="28">
        <f>B7</f>
        <v>0.5</v>
      </c>
      <c r="D16" s="29">
        <f t="shared" si="0"/>
        <v>0.28125</v>
      </c>
      <c r="E16" s="30">
        <f t="shared" si="1"/>
        <v>0.18649062499999999</v>
      </c>
      <c r="F16" s="30">
        <f t="shared" si="2"/>
        <v>9.1785171277891866</v>
      </c>
      <c r="G16" s="31"/>
      <c r="H16" s="30">
        <f t="shared" si="3"/>
        <v>1.1240302232470665</v>
      </c>
      <c r="I16" s="30">
        <f t="shared" si="4"/>
        <v>2656.1514526546689</v>
      </c>
      <c r="J16" s="30">
        <f>+H16*0.5*(SQRT(1+4*$E16/H16*($C16/$D27)^2)-1)</f>
        <v>0.4271093368956107</v>
      </c>
      <c r="K16" s="30">
        <v>2.5043943709758869E-2</v>
      </c>
      <c r="L16" s="30">
        <f t="shared" si="5"/>
        <v>8.7263638471838174</v>
      </c>
      <c r="M16" s="32"/>
      <c r="N16" s="33"/>
      <c r="O16" s="31"/>
      <c r="P16" s="34"/>
    </row>
    <row r="17" spans="1:29" ht="11.25" customHeight="1" x14ac:dyDescent="0.2">
      <c r="A17" s="26" t="s">
        <v>32</v>
      </c>
      <c r="B17" s="27">
        <f>$B$18*1.12246</f>
        <v>659.25443180000002</v>
      </c>
      <c r="C17" s="28">
        <f>B7</f>
        <v>0.5</v>
      </c>
      <c r="D17" s="29">
        <f t="shared" si="0"/>
        <v>0.234375</v>
      </c>
      <c r="E17" s="30">
        <f t="shared" si="1"/>
        <v>0.15774218749999999</v>
      </c>
      <c r="F17" s="30">
        <f t="shared" si="2"/>
        <v>10.302547351036253</v>
      </c>
      <c r="G17" s="31"/>
      <c r="H17" s="30">
        <f t="shared" si="3"/>
        <v>1.2616499486078983</v>
      </c>
      <c r="I17" s="30">
        <f t="shared" si="4"/>
        <v>2271.6724889041011</v>
      </c>
      <c r="J17" s="30">
        <f>+$E$17/(($D$28/$C$17)^2+$E$17*(1/H17 + ($C17-$C$16)/$C$17/H$16))</f>
        <v>0.45754858857412289</v>
      </c>
      <c r="K17" s="30">
        <v>2.9066447181542734E-2</v>
      </c>
      <c r="L17" s="30">
        <f t="shared" si="5"/>
        <v>9.8159323152805857</v>
      </c>
      <c r="M17" s="32"/>
      <c r="P17" s="34"/>
    </row>
    <row r="18" spans="1:29" ht="11.25" customHeight="1" x14ac:dyDescent="0.2">
      <c r="A18" s="26" t="s">
        <v>33</v>
      </c>
      <c r="B18" s="35">
        <v>587.33000000000004</v>
      </c>
      <c r="C18" s="28">
        <f>B7</f>
        <v>0.5</v>
      </c>
      <c r="D18" s="27"/>
      <c r="E18" s="24"/>
      <c r="F18" s="30">
        <f t="shared" si="2"/>
        <v>11.564197299644151</v>
      </c>
      <c r="G18" s="31"/>
      <c r="H18" s="30"/>
      <c r="I18" s="30"/>
      <c r="J18" s="30">
        <f>0.6133*$C18/2</f>
        <v>0.15332499999999999</v>
      </c>
      <c r="K18" s="30">
        <v>2.9066447181542734E-2</v>
      </c>
      <c r="L18" s="30">
        <f t="shared" si="5"/>
        <v>11.381805852462607</v>
      </c>
      <c r="M18" s="32"/>
      <c r="P18" s="34"/>
    </row>
    <row r="19" spans="1:29" ht="11.25" customHeight="1" x14ac:dyDescent="0.2">
      <c r="F19" s="15"/>
      <c r="H19" s="19" t="s">
        <v>34</v>
      </c>
      <c r="M19" s="32"/>
      <c r="N19" s="25"/>
      <c r="O19" s="36"/>
      <c r="P19" s="37"/>
      <c r="Q19" s="25"/>
      <c r="S19" s="36"/>
      <c r="T19" s="25"/>
      <c r="U19" s="25"/>
      <c r="V19" s="25"/>
      <c r="X19" s="36"/>
      <c r="Y19" s="25"/>
      <c r="Z19" s="25"/>
      <c r="AA19" s="25"/>
      <c r="AC19" s="36"/>
    </row>
    <row r="20" spans="1:29" ht="11.25" customHeight="1" x14ac:dyDescent="0.2">
      <c r="A20" s="38"/>
      <c r="B20" s="61" t="s">
        <v>35</v>
      </c>
      <c r="C20" s="62"/>
      <c r="D20" s="57" t="s">
        <v>9</v>
      </c>
      <c r="E20" s="57" t="s">
        <v>36</v>
      </c>
      <c r="F20" s="57" t="s">
        <v>13</v>
      </c>
      <c r="G20" s="22"/>
      <c r="H20" s="24" t="s">
        <v>22</v>
      </c>
      <c r="I20" s="24" t="s">
        <v>23</v>
      </c>
      <c r="J20" s="24" t="s">
        <v>24</v>
      </c>
      <c r="K20" s="24" t="s">
        <v>25</v>
      </c>
      <c r="L20" s="24" t="s">
        <v>26</v>
      </c>
      <c r="M20" s="39"/>
      <c r="N20" s="31"/>
      <c r="P20" s="34"/>
      <c r="Q20" s="31"/>
      <c r="R20" s="33"/>
      <c r="T20" s="33"/>
      <c r="V20" s="31"/>
      <c r="W20" s="33"/>
      <c r="Y20" s="33"/>
      <c r="AA20" s="31"/>
      <c r="AB20" s="33"/>
      <c r="AC20" s="40"/>
    </row>
    <row r="21" spans="1:29" ht="11.25" customHeight="1" x14ac:dyDescent="0.3">
      <c r="A21" s="38"/>
      <c r="B21" s="62"/>
      <c r="C21" s="62"/>
      <c r="D21" s="62"/>
      <c r="E21" s="62"/>
      <c r="F21" s="62"/>
      <c r="G21"/>
      <c r="H21" s="30">
        <f t="shared" ref="H21:H26" si="6">+L13-L12</f>
        <v>0.81834864769270599</v>
      </c>
      <c r="I21" s="30">
        <f t="shared" ref="I21:I26" si="7">+$B$5*$D23/$C12/2/PI()/SQRT($E12*H21)</f>
        <v>2495.3160127684105</v>
      </c>
      <c r="J21" s="30">
        <f>+H21*0.5*(SQRT(1+4*$E12/H21*($C12/$D23)^2)-1)</f>
        <v>0.54899358892305683</v>
      </c>
      <c r="K21" s="30">
        <v>5.8178023608130291E-3</v>
      </c>
      <c r="L21" s="30">
        <f t="shared" ref="L21:L27" si="8">+$F12-J21-K21</f>
        <v>5.571104275326725</v>
      </c>
      <c r="M21" s="39"/>
      <c r="N21" s="31"/>
      <c r="P21" s="34"/>
      <c r="Q21" s="31"/>
      <c r="R21" s="33"/>
      <c r="T21" s="33"/>
      <c r="V21" s="31"/>
      <c r="W21" s="33"/>
      <c r="Y21" s="33"/>
      <c r="AA21" s="31"/>
      <c r="AB21" s="33"/>
      <c r="AC21" s="40"/>
    </row>
    <row r="22" spans="1:29" ht="11.25" customHeight="1" x14ac:dyDescent="0.3">
      <c r="A22" s="38"/>
      <c r="B22" s="24" t="s">
        <v>37</v>
      </c>
      <c r="C22" s="24" t="s">
        <v>38</v>
      </c>
      <c r="D22" s="62"/>
      <c r="E22" s="62"/>
      <c r="F22" s="62"/>
      <c r="G22"/>
      <c r="H22" s="30">
        <f t="shared" si="6"/>
        <v>0.82406686207645219</v>
      </c>
      <c r="I22" s="30">
        <f t="shared" si="7"/>
        <v>2810.8257957740698</v>
      </c>
      <c r="J22" s="30">
        <f>+H22*0.5*(SQRT(1+4*$E13/H22*($C13/$D24)^2)-1)</f>
        <v>0.46053231424261581</v>
      </c>
      <c r="K22" s="30">
        <v>9.8403058325968948E-3</v>
      </c>
      <c r="L22" s="30">
        <f t="shared" si="8"/>
        <v>6.4057518066630559</v>
      </c>
      <c r="M22" s="32"/>
      <c r="P22" s="34"/>
      <c r="Q22" s="31"/>
      <c r="R22" s="33"/>
      <c r="T22" s="33"/>
      <c r="V22" s="31"/>
      <c r="W22" s="33"/>
      <c r="Y22" s="33"/>
      <c r="AA22" s="31"/>
      <c r="AB22" s="33"/>
    </row>
    <row r="23" spans="1:29" ht="11.25" customHeight="1" x14ac:dyDescent="0.2">
      <c r="A23" s="41" t="str">
        <f t="shared" ref="A23:A29" si="9">A12</f>
        <v>C# &lt;-- O O O O O O</v>
      </c>
      <c r="B23" s="42">
        <f t="shared" ref="B23:B29" si="10">+L$54-L48</f>
        <v>5.8143205476189168</v>
      </c>
      <c r="C23" s="29">
        <f t="shared" ref="C23:C28" si="11">ROUND(B23*32,0)/32</f>
        <v>5.8125</v>
      </c>
      <c r="D23" s="43">
        <f>3/16</f>
        <v>0.1875</v>
      </c>
      <c r="E23" s="27">
        <f>B23-B24</f>
        <v>0.83708386548792113</v>
      </c>
      <c r="F23" s="27">
        <f t="shared" ref="F23:F28" si="12">I48</f>
        <v>2466.7649814278448</v>
      </c>
      <c r="H23" s="30">
        <f t="shared" si="6"/>
        <v>0.90981782453828686</v>
      </c>
      <c r="I23" s="30">
        <f t="shared" si="7"/>
        <v>2675.0871501205911</v>
      </c>
      <c r="J23" s="30">
        <f>+H23*0.5*(SQRT(1+4*$E14/H23*($C14/$D25)^2)-1)</f>
        <v>0.47250812257295993</v>
      </c>
      <c r="K23" s="30">
        <v>1.386280930438076E-2</v>
      </c>
      <c r="L23" s="30">
        <f t="shared" si="8"/>
        <v>7.2317897288965654</v>
      </c>
      <c r="M23" s="32"/>
      <c r="N23" s="33"/>
      <c r="O23" s="31"/>
      <c r="P23" s="34"/>
      <c r="Q23" s="31"/>
      <c r="R23" s="33"/>
      <c r="T23" s="33"/>
      <c r="V23" s="31"/>
      <c r="W23" s="33"/>
      <c r="Y23" s="33"/>
      <c r="AA23" s="31"/>
      <c r="AB23" s="33"/>
      <c r="AC23" s="40"/>
    </row>
    <row r="24" spans="1:29" ht="11.25" customHeight="1" x14ac:dyDescent="0.2">
      <c r="A24" s="41" t="str">
        <f t="shared" si="9"/>
        <v>B &lt;--  X O O O O O</v>
      </c>
      <c r="B24" s="42">
        <f t="shared" si="10"/>
        <v>4.9772366821309957</v>
      </c>
      <c r="C24" s="29">
        <f t="shared" si="11"/>
        <v>4.96875</v>
      </c>
      <c r="D24" s="43">
        <f>15/64</f>
        <v>0.234375</v>
      </c>
      <c r="E24" s="27">
        <f>B24-B25</f>
        <v>0.83305490941059723</v>
      </c>
      <c r="F24" s="27">
        <f t="shared" si="12"/>
        <v>2797.1772831206863</v>
      </c>
      <c r="G24" s="31"/>
      <c r="H24" s="30">
        <f t="shared" si="6"/>
        <v>0.58934655482204157</v>
      </c>
      <c r="I24" s="30">
        <f t="shared" si="7"/>
        <v>2801.4513365300395</v>
      </c>
      <c r="J24" s="30">
        <f>+H24*0.5*(SQRT(1+4*$E15/H24*($C15/$D26)^2)-1)</f>
        <v>0.53140039911773629</v>
      </c>
      <c r="K24" s="30">
        <v>1.7885312776164626E-2</v>
      </c>
      <c r="L24" s="30">
        <f t="shared" si="8"/>
        <v>8.1141375702050595</v>
      </c>
      <c r="M24" s="32"/>
      <c r="N24" s="33"/>
      <c r="O24" s="31"/>
      <c r="P24" s="34"/>
    </row>
    <row r="25" spans="1:29" ht="11.25" customHeight="1" x14ac:dyDescent="0.2">
      <c r="A25" s="41" t="str">
        <f t="shared" si="9"/>
        <v>A &lt;--  X X O O O O</v>
      </c>
      <c r="B25" s="42">
        <f t="shared" si="10"/>
        <v>4.1441817727203984</v>
      </c>
      <c r="C25" s="29">
        <f t="shared" si="11"/>
        <v>4.15625</v>
      </c>
      <c r="D25" s="43">
        <f>15/64</f>
        <v>0.234375</v>
      </c>
      <c r="E25" s="30"/>
      <c r="F25" s="27">
        <f t="shared" si="12"/>
        <v>2740.5401717375912</v>
      </c>
      <c r="G25" s="31"/>
      <c r="H25" s="30">
        <f t="shared" si="6"/>
        <v>1.0895684680967683</v>
      </c>
      <c r="I25" s="30">
        <f t="shared" si="7"/>
        <v>2697.8299142363171</v>
      </c>
      <c r="J25" s="30">
        <f>+H25*0.5*(SQRT(1+4*$E16/H25*($C16/$D27)^2)-1)</f>
        <v>0.42422774062294749</v>
      </c>
      <c r="K25" s="30">
        <v>2.5043943709758869E-2</v>
      </c>
      <c r="L25" s="30">
        <f t="shared" si="8"/>
        <v>8.7292454434564792</v>
      </c>
      <c r="M25" s="32"/>
      <c r="N25" s="33"/>
      <c r="O25" s="31"/>
      <c r="P25" s="34"/>
    </row>
    <row r="26" spans="1:29" ht="11.25" customHeight="1" x14ac:dyDescent="0.2">
      <c r="A26" s="41" t="str">
        <f t="shared" si="9"/>
        <v>G &lt;--  X X X O O O</v>
      </c>
      <c r="B26" s="42">
        <f t="shared" si="10"/>
        <v>3.2788871197694398</v>
      </c>
      <c r="C26" s="29">
        <f t="shared" si="11"/>
        <v>3.28125</v>
      </c>
      <c r="D26" s="43">
        <f>11/64</f>
        <v>0.171875</v>
      </c>
      <c r="E26" s="27">
        <f>B26-B27</f>
        <v>0.63027267076054017</v>
      </c>
      <c r="F26" s="27">
        <f t="shared" si="12"/>
        <v>2711.2216833809166</v>
      </c>
      <c r="G26" s="31"/>
      <c r="H26" s="30">
        <f t="shared" si="6"/>
        <v>1.5658735371820214</v>
      </c>
      <c r="I26" s="30">
        <f t="shared" si="7"/>
        <v>2039.0919651486286</v>
      </c>
      <c r="J26" s="30">
        <f>+$E17/(($D28/$C17)^2+$E17*(1/H26 + ($C17-$C16)/$C17/H25))</f>
        <v>0.49223050355661629</v>
      </c>
      <c r="K26" s="30">
        <v>2.9066447181542734E-2</v>
      </c>
      <c r="L26" s="30">
        <f t="shared" si="8"/>
        <v>9.7812504002980933</v>
      </c>
      <c r="M26" s="32"/>
      <c r="N26" s="33"/>
      <c r="O26" s="31"/>
      <c r="P26" s="34"/>
    </row>
    <row r="27" spans="1:29" ht="11.25" customHeight="1" x14ac:dyDescent="0.2">
      <c r="A27" s="41" t="str">
        <f t="shared" si="9"/>
        <v>F# &lt;--  X X X X O O</v>
      </c>
      <c r="B27" s="42">
        <f t="shared" si="10"/>
        <v>2.6486144490088996</v>
      </c>
      <c r="C27" s="29">
        <f t="shared" si="11"/>
        <v>2.65625</v>
      </c>
      <c r="D27" s="43">
        <f>9/32</f>
        <v>0.28125</v>
      </c>
      <c r="E27" s="27">
        <f>B27-B28</f>
        <v>1.0443290606769597</v>
      </c>
      <c r="F27" s="27">
        <f t="shared" si="12"/>
        <v>2755.4950458538574</v>
      </c>
      <c r="G27" s="31"/>
      <c r="H27" s="30"/>
      <c r="I27" s="30"/>
      <c r="J27" s="30">
        <f>0.6133*$C18/2</f>
        <v>0.15332499999999999</v>
      </c>
      <c r="K27" s="30">
        <v>2.9066447181542734E-2</v>
      </c>
      <c r="L27" s="30">
        <f t="shared" si="8"/>
        <v>11.381805852462607</v>
      </c>
      <c r="M27" s="32"/>
      <c r="N27" s="33"/>
      <c r="O27" s="31"/>
      <c r="P27" s="34"/>
    </row>
    <row r="28" spans="1:29" ht="11.25" customHeight="1" x14ac:dyDescent="0.2">
      <c r="A28" s="41" t="str">
        <f t="shared" si="9"/>
        <v>E &lt;--  X X X X X O</v>
      </c>
      <c r="B28" s="42">
        <f t="shared" si="10"/>
        <v>1.6042853883319399</v>
      </c>
      <c r="C28" s="29">
        <f t="shared" si="11"/>
        <v>1.59375</v>
      </c>
      <c r="D28" s="43">
        <f>15/64</f>
        <v>0.234375</v>
      </c>
      <c r="E28" s="30"/>
      <c r="F28" s="27">
        <f t="shared" si="12"/>
        <v>2014.552192837888</v>
      </c>
      <c r="G28" s="31"/>
      <c r="H28" s="19" t="s">
        <v>39</v>
      </c>
      <c r="M28" s="32"/>
      <c r="P28" s="34"/>
    </row>
    <row r="29" spans="1:29" ht="11.25" customHeight="1" x14ac:dyDescent="0.2">
      <c r="A29" s="41" t="str">
        <f t="shared" si="9"/>
        <v>D &lt;--  X X X X X X</v>
      </c>
      <c r="B29" s="42">
        <f t="shared" si="10"/>
        <v>0</v>
      </c>
      <c r="C29" s="29">
        <f>ROUND(B29*32,0)/32</f>
        <v>0</v>
      </c>
      <c r="D29" s="24"/>
      <c r="E29" s="24"/>
      <c r="F29" s="24"/>
      <c r="G29" s="31"/>
      <c r="H29" s="24" t="s">
        <v>22</v>
      </c>
      <c r="I29" s="24" t="s">
        <v>23</v>
      </c>
      <c r="J29" s="24" t="s">
        <v>24</v>
      </c>
      <c r="K29" s="24" t="s">
        <v>25</v>
      </c>
      <c r="L29" s="24" t="s">
        <v>26</v>
      </c>
      <c r="M29" s="32"/>
      <c r="P29" s="34"/>
    </row>
    <row r="30" spans="1:29" ht="11.25" customHeight="1" x14ac:dyDescent="0.2">
      <c r="A30" s="40"/>
      <c r="B30" s="44"/>
      <c r="C30" s="25"/>
      <c r="D30" s="25"/>
      <c r="G30" s="25"/>
      <c r="H30" s="30">
        <f t="shared" ref="H30:H35" si="13">+L22-L21</f>
        <v>0.83464753133633085</v>
      </c>
      <c r="I30" s="30">
        <f t="shared" ref="I30:I35" si="14">+$B$5*$D23/$C12/2/PI()/SQRT($E12*H30)</f>
        <v>2470.8317962274982</v>
      </c>
      <c r="J30" s="30">
        <f>+H30*0.5*(SQRT(1+4*$E12/H30*($C12/$D23)^2)-1)</f>
        <v>0.55209463317972862</v>
      </c>
      <c r="K30" s="30">
        <v>5.8178023608130291E-3</v>
      </c>
      <c r="L30" s="30">
        <f t="shared" ref="L30:L36" si="15">+$F12-J30-K30</f>
        <v>5.5680032310700538</v>
      </c>
      <c r="M30" s="32"/>
      <c r="P30" s="34"/>
    </row>
    <row r="31" spans="1:29" ht="11.25" customHeight="1" x14ac:dyDescent="0.2">
      <c r="A31" s="52" t="s">
        <v>40</v>
      </c>
      <c r="B31" s="54" t="s">
        <v>22</v>
      </c>
      <c r="C31" s="54" t="s">
        <v>41</v>
      </c>
      <c r="D31" s="56" t="s">
        <v>42</v>
      </c>
      <c r="H31" s="30">
        <f t="shared" si="13"/>
        <v>0.82603792223350947</v>
      </c>
      <c r="I31" s="30">
        <f t="shared" si="14"/>
        <v>2807.4702502528412</v>
      </c>
      <c r="J31" s="30">
        <f>+H31*0.5*(SQRT(1+4*$E13/H31*($C13/$D24)^2)-1)</f>
        <v>0.46082262764703663</v>
      </c>
      <c r="K31" s="30">
        <v>9.8403058325968948E-3</v>
      </c>
      <c r="L31" s="30">
        <f t="shared" si="15"/>
        <v>6.4054614932586347</v>
      </c>
      <c r="M31" s="32"/>
      <c r="P31" s="34"/>
    </row>
    <row r="32" spans="1:29" x14ac:dyDescent="0.2">
      <c r="A32" s="53"/>
      <c r="B32" s="55"/>
      <c r="C32" s="55"/>
      <c r="D32" s="57"/>
      <c r="H32" s="30">
        <f t="shared" si="13"/>
        <v>0.8823478413084942</v>
      </c>
      <c r="I32" s="30">
        <f t="shared" si="14"/>
        <v>2716.4095082067374</v>
      </c>
      <c r="J32" s="30">
        <f>+H32*0.5*(SQRT(1+4*$E14/H32*($C14/$D25)^2)-1)</f>
        <v>0.46881174094366429</v>
      </c>
      <c r="K32" s="30">
        <v>1.386280930438076E-2</v>
      </c>
      <c r="L32" s="30">
        <f t="shared" si="15"/>
        <v>7.2354861105258612</v>
      </c>
      <c r="M32" s="32"/>
      <c r="P32" s="34"/>
    </row>
    <row r="33" spans="1:16" x14ac:dyDescent="0.2">
      <c r="A33" s="53"/>
      <c r="B33" s="30">
        <f>+H48+H49</f>
        <v>1.6695302368986864</v>
      </c>
      <c r="C33" s="30">
        <f>+B33*0.5*(SQRT(1+4*$E$12/B33*($C$12/$D$23)^2)-1)</f>
        <v>0.6579754279789185</v>
      </c>
      <c r="D33" s="45">
        <f>+(C33-J48)/$F$12/0.00059</f>
        <v>29.151745288894698</v>
      </c>
      <c r="H33" s="30">
        <f t="shared" si="13"/>
        <v>0.61510787325141969</v>
      </c>
      <c r="I33" s="30">
        <f t="shared" si="14"/>
        <v>2742.1601447412509</v>
      </c>
      <c r="J33" s="30">
        <f>+H33*0.5*(SQRT(1+4*$E15/H33*($C15/$D26)^2)-1)</f>
        <v>0.53872495129022357</v>
      </c>
      <c r="K33" s="30">
        <v>1.7885312776164626E-2</v>
      </c>
      <c r="L33" s="30">
        <f t="shared" si="15"/>
        <v>8.1068130180325717</v>
      </c>
      <c r="M33" s="32"/>
      <c r="P33" s="34"/>
    </row>
    <row r="34" spans="1:16" x14ac:dyDescent="0.2">
      <c r="A34" s="53"/>
      <c r="B34" s="30">
        <f>+H49+H50+H51</f>
        <v>2.3282326206221509</v>
      </c>
      <c r="C34" s="30">
        <f>+B34*0.5*(SQRT(1+4*$E$13/B34*($C$13/$D$24)^2)-1)</f>
        <v>0.57559922854209644</v>
      </c>
      <c r="D34" s="45">
        <f>+(C34-J49)/$F$13/0.00059</f>
        <v>28.071656061841491</v>
      </c>
      <c r="H34" s="30">
        <f t="shared" si="13"/>
        <v>1.0520049568416141</v>
      </c>
      <c r="I34" s="30">
        <f t="shared" si="14"/>
        <v>2745.5726251541487</v>
      </c>
      <c r="J34" s="30">
        <f>+H34*0.5*(SQRT(1+4*$E16/H34*($C16/$D27)^2)-1)</f>
        <v>0.42095735515735599</v>
      </c>
      <c r="K34" s="30">
        <v>2.5043943709758869E-2</v>
      </c>
      <c r="L34" s="30">
        <f t="shared" si="15"/>
        <v>8.7325158289220717</v>
      </c>
      <c r="M34" s="32"/>
      <c r="P34" s="34"/>
    </row>
    <row r="35" spans="1:16" x14ac:dyDescent="0.2">
      <c r="A35" s="53"/>
      <c r="B35" s="30">
        <f>+H50+H51+H52</f>
        <v>2.5405464029462008</v>
      </c>
      <c r="C35" s="30">
        <f>+B35*0.5*(SQRT(1+4*$E$14/B35*($C$14/$D$25)^2)-1)</f>
        <v>0.58376507070859096</v>
      </c>
      <c r="D35" s="45">
        <f>+(C35-J50)/$F$14/0.00059</f>
        <v>25.713358079011655</v>
      </c>
      <c r="H35" s="30">
        <f t="shared" si="13"/>
        <v>1.6005554521645138</v>
      </c>
      <c r="I35" s="30">
        <f t="shared" si="14"/>
        <v>2016.8787635166275</v>
      </c>
      <c r="J35" s="30">
        <f>+$E17/(($D28/$C17)^2+$E17*(1/H35 + ($C17-$C16)/$C17/H34))</f>
        <v>0.49560633717531016</v>
      </c>
      <c r="K35" s="30">
        <v>2.9066447181542734E-2</v>
      </c>
      <c r="L35" s="30">
        <f t="shared" si="15"/>
        <v>9.7778745666793991</v>
      </c>
      <c r="M35" s="32"/>
      <c r="N35" s="33"/>
      <c r="O35" s="31"/>
      <c r="P35" s="34"/>
    </row>
    <row r="36" spans="1:16" x14ac:dyDescent="0.2">
      <c r="A36" s="53"/>
      <c r="B36" s="30">
        <f>+H51+H52</f>
        <v>1.6736684327593956</v>
      </c>
      <c r="C36" s="30">
        <f>+B36*0.5*(SQRT(1+4*$E$15/B36*($C$15/$D$26)^2)-1)</f>
        <v>0.70965231716059141</v>
      </c>
      <c r="D36" s="46">
        <f>+(C36-J51)/$F$15/0.00059</f>
        <v>32.678412093652668</v>
      </c>
      <c r="H36" s="30"/>
      <c r="I36" s="30"/>
      <c r="J36" s="30">
        <f>0.6133*$C18/2</f>
        <v>0.15332499999999999</v>
      </c>
      <c r="K36" s="30">
        <v>2.9066447181542734E-2</v>
      </c>
      <c r="L36" s="30">
        <f t="shared" si="15"/>
        <v>11.381805852462607</v>
      </c>
      <c r="M36" s="32"/>
      <c r="N36" s="33"/>
      <c r="O36" s="31"/>
      <c r="P36" s="34"/>
    </row>
    <row r="37" spans="1:16" x14ac:dyDescent="0.2">
      <c r="A37" s="53"/>
      <c r="B37" s="30">
        <f>+H52+H53</f>
        <v>2.6486966409359969</v>
      </c>
      <c r="C37" s="30">
        <f>+$E$17/(($D$28/$C$17)^2+$E$17*(1/B37 + ($C$17-$C$16)/$C$17/H$16))</f>
        <v>0.56481490127299527</v>
      </c>
      <c r="D37" s="45">
        <f>+(C37-J52)/$F$16/0.00059</f>
        <v>26.689647959135165</v>
      </c>
      <c r="H37" s="19" t="s">
        <v>43</v>
      </c>
      <c r="M37" s="32"/>
      <c r="N37" s="33"/>
      <c r="O37" s="31"/>
      <c r="P37" s="34"/>
    </row>
    <row r="38" spans="1:16" x14ac:dyDescent="0.2">
      <c r="H38" s="24" t="s">
        <v>22</v>
      </c>
      <c r="I38" s="24" t="s">
        <v>23</v>
      </c>
      <c r="J38" s="24" t="s">
        <v>24</v>
      </c>
      <c r="K38" s="24" t="s">
        <v>25</v>
      </c>
      <c r="L38" s="24" t="s">
        <v>26</v>
      </c>
      <c r="M38" s="32"/>
      <c r="N38" s="33"/>
      <c r="O38" s="31"/>
      <c r="P38" s="34"/>
    </row>
    <row r="39" spans="1:16" x14ac:dyDescent="0.2">
      <c r="A39" s="49"/>
      <c r="B39" s="49"/>
      <c r="C39" s="49"/>
      <c r="D39" s="49"/>
      <c r="E39" s="49"/>
      <c r="F39" s="49"/>
      <c r="H39" s="30">
        <f t="shared" ref="H39:H44" si="16">+L31-L30</f>
        <v>0.83745826218858088</v>
      </c>
      <c r="I39" s="30">
        <f t="shared" ref="I39:I44" si="17">+$B$5*$D23/$C12/2/PI()/SQRT($E12*H39)</f>
        <v>2466.6819296281874</v>
      </c>
      <c r="J39" s="30">
        <f>+H39*0.5*(SQRT(1+4*$E12/H39*($C12/$D23)^2)-1)</f>
        <v>0.55262314488016906</v>
      </c>
      <c r="K39" s="30">
        <v>5.8178023608130291E-3</v>
      </c>
      <c r="L39" s="30">
        <f t="shared" ref="L39:L45" si="18">+$F12-J39-K39</f>
        <v>5.5674747193696135</v>
      </c>
      <c r="M39" s="32"/>
      <c r="N39" s="33"/>
      <c r="O39" s="31"/>
      <c r="P39" s="34"/>
    </row>
    <row r="40" spans="1:16" x14ac:dyDescent="0.2">
      <c r="A40" s="49"/>
      <c r="B40" s="49"/>
      <c r="C40" s="49"/>
      <c r="D40" s="49"/>
      <c r="E40" s="49"/>
      <c r="F40" s="49"/>
      <c r="G40" s="6"/>
      <c r="H40" s="30">
        <f t="shared" si="16"/>
        <v>0.83002461726722654</v>
      </c>
      <c r="I40" s="30">
        <f t="shared" si="17"/>
        <v>2800.7198481776954</v>
      </c>
      <c r="J40" s="30">
        <f>+H40*0.5*(SQRT(1+4*$E13/H40*($C13/$D24)^2)-1)</f>
        <v>0.46140753000121176</v>
      </c>
      <c r="K40" s="30">
        <v>9.8403058325968948E-3</v>
      </c>
      <c r="L40" s="30">
        <f t="shared" si="18"/>
        <v>6.4048765909044594</v>
      </c>
      <c r="M40" s="32"/>
      <c r="P40" s="34"/>
    </row>
    <row r="41" spans="1:16" x14ac:dyDescent="0.2">
      <c r="A41" s="6"/>
      <c r="B41" s="50"/>
      <c r="C41" s="50"/>
      <c r="D41" s="51"/>
      <c r="E41" s="50"/>
      <c r="F41" s="50"/>
      <c r="H41" s="30">
        <f t="shared" si="16"/>
        <v>0.87132690750671049</v>
      </c>
      <c r="I41" s="30">
        <f t="shared" si="17"/>
        <v>2733.5347098869138</v>
      </c>
      <c r="J41" s="30">
        <f>+H41*0.5*(SQRT(1+4*$E14/H41*($C14/$D25)^2)-1)</f>
        <v>0.46729289520122519</v>
      </c>
      <c r="K41" s="30">
        <v>1.386280930438076E-2</v>
      </c>
      <c r="L41" s="30">
        <f t="shared" si="18"/>
        <v>7.2370049562682999</v>
      </c>
      <c r="M41" s="32"/>
      <c r="P41" s="34"/>
    </row>
    <row r="42" spans="1:16" x14ac:dyDescent="0.2">
      <c r="D42" s="32"/>
      <c r="E42" s="47"/>
      <c r="H42" s="30">
        <f t="shared" si="16"/>
        <v>0.62570281088949997</v>
      </c>
      <c r="I42" s="30">
        <f t="shared" si="17"/>
        <v>2718.8447182365248</v>
      </c>
      <c r="J42" s="30">
        <f>+H42*0.5*(SQRT(1+4*$E15/H42*($C15/$D26)^2)-1)</f>
        <v>0.54165504286769095</v>
      </c>
      <c r="K42" s="30">
        <v>1.7885312776164626E-2</v>
      </c>
      <c r="L42" s="30">
        <f t="shared" si="18"/>
        <v>8.1038829264551051</v>
      </c>
      <c r="M42" s="32"/>
      <c r="P42" s="34"/>
    </row>
    <row r="43" spans="1:16" x14ac:dyDescent="0.2">
      <c r="D43" s="32"/>
      <c r="H43" s="30">
        <f t="shared" si="16"/>
        <v>1.0453587377573275</v>
      </c>
      <c r="I43" s="30">
        <f t="shared" si="17"/>
        <v>2754.286746165265</v>
      </c>
      <c r="J43" s="30">
        <f>+H43*0.5*(SQRT(1+4*$E16/H43*($C16/$D27)^2)-1)</f>
        <v>0.42036397255281727</v>
      </c>
      <c r="K43" s="30">
        <v>2.5043943709758869E-2</v>
      </c>
      <c r="L43" s="30">
        <f t="shared" si="18"/>
        <v>8.7331092115266102</v>
      </c>
      <c r="M43" s="32"/>
      <c r="P43" s="34"/>
    </row>
    <row r="44" spans="1:16" x14ac:dyDescent="0.2">
      <c r="H44" s="48">
        <f t="shared" si="16"/>
        <v>1.603931285783208</v>
      </c>
      <c r="I44" s="48">
        <f t="shared" si="17"/>
        <v>2014.7551583622183</v>
      </c>
      <c r="J44" s="48">
        <f>+$E17/(($D28/$C17)^2+$E17*(1/H44 + ($C17-$C16)/$C17/H43))</f>
        <v>0.49592954464020855</v>
      </c>
      <c r="K44" s="48">
        <v>2.9066447181542734E-2</v>
      </c>
      <c r="L44" s="48">
        <f t="shared" si="18"/>
        <v>9.7775513592145007</v>
      </c>
      <c r="M44" s="32"/>
      <c r="P44" s="34"/>
    </row>
    <row r="45" spans="1:16" x14ac:dyDescent="0.2">
      <c r="H45" s="30"/>
      <c r="I45" s="30"/>
      <c r="J45" s="30">
        <f>0.6133*$C18/2</f>
        <v>0.15332499999999999</v>
      </c>
      <c r="K45" s="30">
        <v>2.9066447181542734E-2</v>
      </c>
      <c r="L45" s="30">
        <f t="shared" si="18"/>
        <v>11.381805852462607</v>
      </c>
      <c r="M45" s="32"/>
      <c r="P45" s="34"/>
    </row>
    <row r="46" spans="1:16" x14ac:dyDescent="0.2">
      <c r="H46" s="19" t="s">
        <v>44</v>
      </c>
      <c r="M46" s="32"/>
      <c r="N46" s="33"/>
      <c r="O46" s="31"/>
      <c r="P46" s="34"/>
    </row>
    <row r="47" spans="1:16" x14ac:dyDescent="0.2">
      <c r="H47" s="24" t="s">
        <v>45</v>
      </c>
      <c r="I47" s="24" t="s">
        <v>23</v>
      </c>
      <c r="J47" s="24" t="s">
        <v>24</v>
      </c>
      <c r="K47" s="24" t="s">
        <v>25</v>
      </c>
      <c r="L47" s="24" t="s">
        <v>26</v>
      </c>
      <c r="M47" s="32"/>
      <c r="N47" s="33"/>
      <c r="O47" s="31"/>
      <c r="P47" s="34"/>
    </row>
    <row r="48" spans="1:16" x14ac:dyDescent="0.2">
      <c r="H48" s="30">
        <f t="shared" ref="H48:H53" si="19">+L40-L39</f>
        <v>0.83740187153484591</v>
      </c>
      <c r="I48" s="30">
        <f t="shared" ref="I48:I53" si="20">+$B$5*$D23/$C12/2/PI()/SQRT($E12*H48)</f>
        <v>2466.7649814278448</v>
      </c>
      <c r="J48" s="30">
        <f>+H48*0.5*(SQRT(1+4*$E12/H48*($C12/$D23)^2)-1)</f>
        <v>0.55261255940609233</v>
      </c>
      <c r="K48" s="30">
        <v>5.8178023608130291E-3</v>
      </c>
      <c r="L48" s="30">
        <f t="shared" ref="L48:L54" si="21">+$F12-J48-K48</f>
        <v>5.5674853048436903</v>
      </c>
      <c r="M48" s="32"/>
      <c r="N48" s="33"/>
      <c r="O48" s="31"/>
      <c r="P48" s="34"/>
    </row>
    <row r="49" spans="8:16" x14ac:dyDescent="0.2">
      <c r="H49" s="30">
        <f t="shared" si="19"/>
        <v>0.83212836536384049</v>
      </c>
      <c r="I49" s="30">
        <f t="shared" si="20"/>
        <v>2797.1772831206863</v>
      </c>
      <c r="J49" s="30">
        <f>+H49*0.5*(SQRT(1+4*$E13/H49*($C13/$D24)^2)-1)</f>
        <v>0.46171495057406048</v>
      </c>
      <c r="K49" s="30">
        <v>9.8403058325968948E-3</v>
      </c>
      <c r="L49" s="30">
        <f t="shared" si="21"/>
        <v>6.4045691703316114</v>
      </c>
      <c r="M49" s="32"/>
      <c r="N49" s="33"/>
      <c r="O49" s="31"/>
      <c r="P49" s="34"/>
    </row>
    <row r="50" spans="8:16" x14ac:dyDescent="0.2">
      <c r="H50" s="30">
        <f t="shared" si="19"/>
        <v>0.86687797018680524</v>
      </c>
      <c r="I50" s="30">
        <f t="shared" si="20"/>
        <v>2740.5401717375912</v>
      </c>
      <c r="J50" s="30">
        <f>+H50*0.5*(SQRT(1+4*$E14/H50*($C14/$D25)^2)-1)</f>
        <v>0.46667377172731678</v>
      </c>
      <c r="K50" s="30">
        <v>1.386280930438076E-2</v>
      </c>
      <c r="L50" s="30">
        <f t="shared" si="21"/>
        <v>7.2376240797422087</v>
      </c>
      <c r="M50" s="32"/>
      <c r="N50" s="33"/>
      <c r="O50" s="31"/>
      <c r="P50" s="34"/>
    </row>
    <row r="51" spans="8:16" x14ac:dyDescent="0.2">
      <c r="H51" s="30">
        <f t="shared" si="19"/>
        <v>0.62922628507150513</v>
      </c>
      <c r="I51" s="30">
        <f t="shared" si="20"/>
        <v>2711.2216833809166</v>
      </c>
      <c r="J51" s="30">
        <f>+H51*0.5*(SQRT(1+4*$E15/H51*($C15/$D26)^2)-1)</f>
        <v>0.5426192366296283</v>
      </c>
      <c r="K51" s="30">
        <v>1.7885312776164626E-2</v>
      </c>
      <c r="L51" s="30">
        <f t="shared" si="21"/>
        <v>8.1029187326931673</v>
      </c>
      <c r="M51" s="32"/>
      <c r="P51" s="34"/>
    </row>
    <row r="52" spans="8:16" x14ac:dyDescent="0.2">
      <c r="H52" s="30">
        <f t="shared" si="19"/>
        <v>1.0444421476878905</v>
      </c>
      <c r="I52" s="30">
        <f t="shared" si="20"/>
        <v>2755.4950458538574</v>
      </c>
      <c r="J52" s="30">
        <f>+H52*0.5*(SQRT(1+4*$E16/H52*($C16/$D27)^2)-1)</f>
        <v>0.42028178062571964</v>
      </c>
      <c r="K52" s="30">
        <v>2.5043943709758869E-2</v>
      </c>
      <c r="L52" s="30">
        <f t="shared" si="21"/>
        <v>8.7331914034537075</v>
      </c>
      <c r="M52" s="32"/>
      <c r="P52" s="34"/>
    </row>
    <row r="53" spans="8:16" x14ac:dyDescent="0.2">
      <c r="H53" s="30">
        <f t="shared" si="19"/>
        <v>1.6042544932481064</v>
      </c>
      <c r="I53" s="30">
        <f t="shared" si="20"/>
        <v>2014.552192837888</v>
      </c>
      <c r="J53" s="30">
        <f>+$E17/(($D28/$C17)^2+$E17*(1/H53 + ($C17-$C16)/$C17/H52))</f>
        <v>0.49596043972404169</v>
      </c>
      <c r="K53" s="30">
        <v>2.9066447181542734E-2</v>
      </c>
      <c r="L53" s="30">
        <f t="shared" si="21"/>
        <v>9.7775204641306672</v>
      </c>
      <c r="M53" s="32"/>
      <c r="P53" s="34"/>
    </row>
    <row r="54" spans="8:16" x14ac:dyDescent="0.2">
      <c r="H54" s="30"/>
      <c r="I54" s="30"/>
      <c r="J54" s="30">
        <f>0.6133*$C18/2</f>
        <v>0.15332499999999999</v>
      </c>
      <c r="K54" s="30">
        <v>2.9066447181542734E-2</v>
      </c>
      <c r="L54" s="30">
        <f t="shared" si="21"/>
        <v>11.381805852462607</v>
      </c>
      <c r="M54" s="32"/>
      <c r="P54" s="34"/>
    </row>
    <row r="55" spans="8:16" x14ac:dyDescent="0.2">
      <c r="M55" s="32"/>
      <c r="P55" s="34"/>
    </row>
    <row r="56" spans="8:16" x14ac:dyDescent="0.2">
      <c r="M56" s="32"/>
      <c r="P56" s="34"/>
    </row>
    <row r="62" spans="8:16" x14ac:dyDescent="0.2">
      <c r="P62" s="34"/>
    </row>
  </sheetData>
  <mergeCells count="9">
    <mergeCell ref="A31:A37"/>
    <mergeCell ref="B31:B32"/>
    <mergeCell ref="C31:C32"/>
    <mergeCell ref="D31:D32"/>
    <mergeCell ref="B2:J2"/>
    <mergeCell ref="B20:C21"/>
    <mergeCell ref="D20:D22"/>
    <mergeCell ref="E20:E22"/>
    <mergeCell ref="F20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2023-04-11T22:38:00Z</dcterms:created>
  <dcterms:modified xsi:type="dcterms:W3CDTF">2023-04-27T15:19:41Z</dcterms:modified>
</cp:coreProperties>
</file>